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omments5.xml" ContentType="application/vnd.openxmlformats-officedocument.spreadsheetml.comment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82DD734E-6211-43A6-9BD9-0C90C2BB551F}" xr6:coauthVersionLast="47" xr6:coauthVersionMax="47" xr10:uidLastSave="{00000000-0000-0000-0000-000000000000}"/>
  <bookViews>
    <workbookView xWindow="-120" yWindow="-120" windowWidth="29040" windowHeight="15840" tabRatio="773" activeTab="2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4" l="1"/>
  <c r="C10" i="4" l="1"/>
  <c r="F10" i="4" s="1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E10" i="4" s="1"/>
  <c r="W9" i="4"/>
  <c r="W7" i="4"/>
  <c r="W23" i="4"/>
  <c r="E11" i="4" l="1"/>
  <c r="V23" i="4" l="1"/>
  <c r="E12" i="4" l="1"/>
  <c r="M9" i="4"/>
  <c r="V8" i="4"/>
  <c r="V9" i="4" s="1"/>
  <c r="AI20" i="5"/>
  <c r="BL3" i="6" s="1"/>
  <c r="AJ29" i="5"/>
  <c r="V10" i="4" l="1"/>
  <c r="M11" i="4"/>
  <c r="M10" i="4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1" i="4" l="1"/>
  <c r="M12" i="4"/>
  <c r="C50" i="5"/>
  <c r="A48" i="5"/>
  <c r="AF30" i="5"/>
  <c r="AE30" i="5"/>
  <c r="AD30" i="5"/>
  <c r="AF10" i="5"/>
  <c r="AE10" i="5"/>
  <c r="AD10" i="5"/>
  <c r="V12" i="4" l="1"/>
  <c r="M13" i="4"/>
  <c r="AI29" i="5"/>
  <c r="X8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3" i="4" l="1"/>
  <c r="M14" i="4"/>
  <c r="V2" i="12"/>
  <c r="V14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E13" i="4" l="1"/>
  <c r="M15" i="4"/>
  <c r="V15" i="4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E14" i="4" l="1"/>
  <c r="M16" i="4"/>
  <c r="V16" i="4"/>
  <c r="O45" i="6"/>
  <c r="P45" i="6"/>
  <c r="E15" i="4" l="1"/>
  <c r="M17" i="4"/>
  <c r="V17" i="4"/>
  <c r="N45" i="6"/>
  <c r="D124" i="4"/>
  <c r="E16" i="4" l="1"/>
  <c r="M18" i="4"/>
  <c r="V18" i="4"/>
  <c r="M45" i="6"/>
  <c r="CE3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AX199" i="9"/>
  <c r="BR140" i="9"/>
  <c r="BR199" i="9"/>
  <c r="BQ212" i="9"/>
  <c r="BG206" i="9"/>
  <c r="AW197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R17" i="9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B442" i="6" s="1"/>
  <c r="E442" i="6" s="1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B441" i="6" s="1"/>
  <c r="E441" i="6" s="1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B438" i="6" s="1"/>
  <c r="E438" i="6" s="1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B434" i="6" s="1"/>
  <c r="E434" i="6" s="1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6" i="6"/>
  <c r="E446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CG10" i="18"/>
  <c r="BV16" i="18"/>
  <c r="CF75" i="18"/>
  <c r="CF79" i="18"/>
  <c r="BM29" i="18"/>
  <c r="BV30" i="18"/>
  <c r="CF43" i="18"/>
  <c r="BM24" i="18"/>
  <c r="CF30" i="18"/>
  <c r="BL32" i="18"/>
  <c r="CG33" i="18"/>
  <c r="BL36" i="18"/>
  <c r="BL44" i="18"/>
  <c r="BV73" i="18"/>
  <c r="BV79" i="18"/>
  <c r="AW69" i="9"/>
  <c r="BM16" i="18"/>
  <c r="BM37" i="18"/>
  <c r="AX75" i="9"/>
  <c r="BV26" i="18"/>
  <c r="CF18" i="18"/>
  <c r="BV22" i="18"/>
  <c r="BW22" i="18"/>
  <c r="BV42" i="18"/>
  <c r="BV38" i="18"/>
  <c r="BW38" i="18"/>
  <c r="CG38" i="18"/>
  <c r="CF38" i="18"/>
  <c r="BH71" i="9"/>
  <c r="BV24" i="18"/>
  <c r="BG7" i="9"/>
  <c r="CF26" i="18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E17" i="4" l="1"/>
  <c r="M19" i="4"/>
  <c r="V19" i="4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V143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CC45" i="18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E18" i="4" l="1"/>
  <c r="M20" i="4"/>
  <c r="V20" i="4"/>
  <c r="E19" i="4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P228" i="7"/>
  <c r="AQ228" i="7" s="1"/>
  <c r="AW243" i="7" s="1"/>
  <c r="AV243" i="7" s="1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H37" i="5" l="1"/>
  <c r="H36" i="5"/>
  <c r="H35" i="5"/>
  <c r="V21" i="4"/>
  <c r="E20" i="4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AE238" i="6" s="1"/>
  <c r="Z284" i="6" s="1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X247" i="6" s="1"/>
  <c r="C293" i="6" s="1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V22" i="4" l="1"/>
  <c r="E21" i="4"/>
  <c r="G6" i="6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18" i="18"/>
  <c r="CI18" i="18" s="1"/>
  <c r="I18" i="16"/>
  <c r="U64" i="16" s="1"/>
  <c r="H19" i="16"/>
  <c r="CH43" i="18"/>
  <c r="CI43" i="18" s="1"/>
  <c r="CH44" i="18"/>
  <c r="CI44" i="18" s="1"/>
  <c r="BN11" i="18"/>
  <c r="BO11" i="18" s="1"/>
  <c r="BN32" i="18"/>
  <c r="BO32" i="18" s="1"/>
  <c r="BN42" i="18"/>
  <c r="BO42" i="18" s="1"/>
  <c r="BN20" i="18"/>
  <c r="BO20" i="18" s="1"/>
  <c r="G51" i="6"/>
  <c r="H6" i="6"/>
  <c r="G147" i="6"/>
  <c r="G11" i="20" s="1"/>
  <c r="G40" i="20" s="1"/>
  <c r="G474" i="6"/>
  <c r="G96" i="6"/>
  <c r="G190" i="6"/>
  <c r="CH39" i="18"/>
  <c r="CI39" i="18" s="1"/>
  <c r="CH13" i="18"/>
  <c r="CI13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CH10" i="18"/>
  <c r="CI10" i="18" s="1"/>
  <c r="CH11" i="18"/>
  <c r="CI11" i="18" s="1"/>
  <c r="CH20" i="18"/>
  <c r="CI20" i="18" s="1"/>
  <c r="CH23" i="18"/>
  <c r="CI23" i="18" s="1"/>
  <c r="CH34" i="18"/>
  <c r="CI34" i="18" s="1"/>
  <c r="CH28" i="18"/>
  <c r="CI28" i="18" s="1"/>
  <c r="CH27" i="18"/>
  <c r="CI27" i="18" s="1"/>
  <c r="AB239" i="6"/>
  <c r="Q285" i="6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X266" i="6"/>
  <c r="C312" i="6" s="1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S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G266" i="6"/>
  <c r="F266" i="6"/>
  <c r="E266" i="6"/>
  <c r="T266" i="6"/>
  <c r="O263" i="6"/>
  <c r="Y262" i="6"/>
  <c r="F308" i="6" s="1"/>
  <c r="C224" i="6"/>
  <c r="C227" i="6"/>
  <c r="S260" i="6"/>
  <c r="E260" i="6"/>
  <c r="C216" i="6"/>
  <c r="AD262" i="6"/>
  <c r="W308" i="6" s="1"/>
  <c r="T268" i="6"/>
  <c r="N268" i="6"/>
  <c r="G268" i="6"/>
  <c r="D268" i="6"/>
  <c r="I268" i="6"/>
  <c r="H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H46" i="5" l="1"/>
  <c r="F264" i="6"/>
  <c r="E264" i="6"/>
  <c r="AE268" i="6"/>
  <c r="Z314" i="6" s="1"/>
  <c r="N266" i="6"/>
  <c r="S266" i="6"/>
  <c r="D266" i="6"/>
  <c r="M266" i="6"/>
  <c r="F268" i="6"/>
  <c r="AA268" i="6" s="1"/>
  <c r="L314" i="6" s="1"/>
  <c r="C268" i="6"/>
  <c r="E268" i="6"/>
  <c r="U268" i="6" s="1"/>
  <c r="M268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D264" i="6"/>
  <c r="W310" i="6" s="1"/>
  <c r="O264" i="6"/>
  <c r="AB263" i="6" s="1"/>
  <c r="Q309" i="6" s="1"/>
  <c r="Z268" i="6"/>
  <c r="I314" i="6" s="1"/>
  <c r="I261" i="6"/>
  <c r="S261" i="6"/>
  <c r="F261" i="6"/>
  <c r="AA260" i="6" s="1"/>
  <c r="L306" i="6" s="1"/>
  <c r="T261" i="6"/>
  <c r="E261" i="6"/>
  <c r="Z260" i="6" s="1"/>
  <c r="I306" i="6" s="1"/>
  <c r="U264" i="6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U260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O268" i="6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AF267" i="6" s="1"/>
  <c r="AC313" i="6" s="1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Z264" i="6" l="1"/>
  <c r="I310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D312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D312" i="6" l="1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M308" i="6"/>
  <c r="N313" i="6" s="1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AD307" i="6" l="1"/>
  <c r="AE312" i="6" s="1"/>
  <c r="E313" i="6"/>
  <c r="AW40" i="6" s="1"/>
  <c r="BS40" i="6" s="1"/>
  <c r="D307" i="6"/>
  <c r="V315" i="6"/>
  <c r="BB42" i="6" s="1"/>
  <c r="BW42" i="6" s="1"/>
  <c r="H315" i="6"/>
  <c r="AX42" i="6" s="1"/>
  <c r="AZ40" i="6"/>
  <c r="BV40" i="6" s="1"/>
  <c r="M307" i="6"/>
  <c r="N312" i="6" s="1"/>
  <c r="AA308" i="6"/>
  <c r="AB313" i="6" s="1"/>
  <c r="X308" i="6"/>
  <c r="Y313" i="6" s="1"/>
  <c r="J308" i="6"/>
  <c r="K313" i="6" s="1"/>
  <c r="AY41" i="6"/>
  <c r="BU41" i="6" s="1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AD306" i="6" l="1"/>
  <c r="E312" i="6"/>
  <c r="AW39" i="6" s="1"/>
  <c r="BS39" i="6" s="1"/>
  <c r="D306" i="6"/>
  <c r="BN42" i="6"/>
  <c r="BO42" i="6" s="1"/>
  <c r="BT42" i="6"/>
  <c r="M306" i="6"/>
  <c r="AZ39" i="6"/>
  <c r="BV39" i="6" s="1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E311" i="6" l="1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N311" i="6"/>
  <c r="AZ38" i="6" s="1"/>
  <c r="BV38" i="6" s="1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C12" i="4" s="1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F12" i="4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U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F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C21" i="4" s="1"/>
  <c r="U21" i="4" s="1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F21" i="4" l="1"/>
  <c r="M18" i="8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U22" i="4" l="1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U23" i="4" l="1"/>
  <c r="D21" i="8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Q14" i="20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206" i="6" s="1"/>
  <c r="Q135" i="6"/>
  <c r="Q168" i="6"/>
  <c r="Q170" i="6"/>
  <c r="Q161" i="6"/>
  <c r="Q166" i="6"/>
  <c r="Q154" i="6"/>
  <c r="Q212" i="6" l="1"/>
  <c r="AD65" i="5"/>
  <c r="AD64" i="5"/>
  <c r="R143" i="6"/>
  <c r="T249" i="6"/>
  <c r="S249" i="6"/>
  <c r="F249" i="6"/>
  <c r="E249" i="6"/>
  <c r="H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32" i="5" l="1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AA248" i="6" s="1"/>
  <c r="L294" i="6" s="1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9" i="6" s="1"/>
  <c r="L295" i="6" s="1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Y303" i="6" l="1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D286" i="6" s="1"/>
  <c r="D285" i="6" s="1"/>
  <c r="D284" i="6" s="1"/>
  <c r="D283" i="6" s="1"/>
  <c r="D282" i="6" s="1"/>
  <c r="D281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AN288" i="6" l="1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D287" i="6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R276" i="6" l="1"/>
  <c r="BA101" i="7" s="1"/>
  <c r="AE293" i="6"/>
  <c r="BN33" i="6"/>
  <c r="BO33" i="6" s="1"/>
  <c r="C33" i="18" s="1"/>
  <c r="AD286" i="6"/>
  <c r="AE292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/>
  <c r="BA100" i="7" s="1"/>
  <c r="BQ33" i="6" l="1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AL21" i="18" l="1"/>
  <c r="P157" i="13"/>
  <c r="E209" i="13"/>
  <c r="O209" i="13" s="1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I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I210" i="13" s="1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J209" i="13" l="1"/>
  <c r="Z79" i="9"/>
  <c r="AA79" i="9" s="1"/>
  <c r="AB79" i="9" s="1"/>
  <c r="AC79" i="9" s="1"/>
  <c r="P209" i="13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AC203" i="9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D79" i="9" l="1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E292" i="6"/>
  <c r="AW19" i="6" s="1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DD25" i="9" l="1"/>
  <c r="DE25" i="9" s="1"/>
  <c r="H101" i="8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D21" i="4" s="1"/>
  <c r="G21" i="4" s="1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DD28" i="9"/>
  <c r="DE28" i="9" s="1"/>
  <c r="DF28" i="9" s="1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H98" i="8" l="1"/>
  <c r="J98" i="8" s="1"/>
  <c r="CZ8" i="9" s="1"/>
  <c r="DC29" i="9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DH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P315" i="7"/>
  <c r="AQ315" i="7" s="1"/>
  <c r="DD29" i="9"/>
  <c r="DE29" i="9" s="1"/>
  <c r="DF29" i="9" s="1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G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H97" i="8" l="1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DG29" i="9"/>
  <c r="DH2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G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AP316" i="7" l="1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G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G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G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S34" i="4" s="1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G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G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D61" i="8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D10" i="4" s="1"/>
  <c r="G10" i="4" s="1"/>
  <c r="O34" i="4"/>
  <c r="AM213" i="9"/>
  <c r="AN213" i="9"/>
  <c r="AB12" i="16"/>
  <c r="Z12" i="16"/>
  <c r="AM90" i="9"/>
  <c r="AN90" i="9"/>
  <c r="AX90" i="9"/>
  <c r="AW90" i="9"/>
  <c r="AB14" i="16"/>
  <c r="Z14" i="16"/>
  <c r="BQ13" i="6"/>
  <c r="D12" i="4" s="1"/>
  <c r="G12" i="4" s="1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G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G29" i="4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K16" i="4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K20" i="4"/>
  <c r="P20" i="4" s="1"/>
  <c r="R20" i="4" s="1"/>
  <c r="L42" i="4" s="1"/>
  <c r="R42" i="4" s="1"/>
  <c r="V22" i="5" s="1"/>
  <c r="AP120" i="7"/>
  <c r="Q9" i="8" l="1"/>
  <c r="Q23" i="8" s="1"/>
  <c r="V23" i="8"/>
  <c r="U32" i="8" s="1"/>
  <c r="W23" i="8"/>
  <c r="H48" i="8"/>
  <c r="R39" i="4"/>
  <c r="V19" i="5" s="1"/>
  <c r="H46" i="8"/>
  <c r="R37" i="4"/>
  <c r="V17" i="5" s="1"/>
  <c r="R38" i="4"/>
  <c r="V18" i="5" s="1"/>
  <c r="H47" i="8"/>
  <c r="W22" i="5"/>
  <c r="X22" i="5"/>
  <c r="R34" i="4"/>
  <c r="V14" i="5" s="1"/>
  <c r="H43" i="8"/>
  <c r="H45" i="8"/>
  <c r="R36" i="4"/>
  <c r="V16" i="5" s="1"/>
  <c r="W21" i="5"/>
  <c r="X21" i="5" s="1"/>
  <c r="H40" i="8"/>
  <c r="R31" i="4"/>
  <c r="V11" i="5" s="1"/>
  <c r="R40" i="4"/>
  <c r="V20" i="5" s="1"/>
  <c r="H49" i="8"/>
  <c r="H44" i="8"/>
  <c r="R35" i="4"/>
  <c r="V15" i="5" s="1"/>
  <c r="H42" i="8"/>
  <c r="R33" i="4"/>
  <c r="V13" i="5" s="1"/>
  <c r="H41" i="8"/>
  <c r="R32" i="4"/>
  <c r="V12" i="5" s="1"/>
  <c r="W32" i="8" l="1"/>
  <c r="L22" i="8" s="1"/>
  <c r="U24" i="8"/>
  <c r="W24" i="8"/>
  <c r="C18" i="18"/>
  <c r="C45" i="10"/>
  <c r="C21" i="5"/>
  <c r="C19" i="18"/>
  <c r="C44" i="10"/>
  <c r="C22" i="5"/>
  <c r="W27" i="8" l="1"/>
  <c r="W28" i="8" s="1"/>
  <c r="C85" i="5"/>
  <c r="C87" i="5"/>
  <c r="E45" i="10"/>
  <c r="G45" i="10" s="1"/>
  <c r="F45" i="10"/>
  <c r="AS190" i="7"/>
  <c r="C84" i="5"/>
  <c r="C89" i="5"/>
  <c r="E22" i="5"/>
  <c r="R122" i="5"/>
  <c r="C156" i="5"/>
  <c r="H156" i="5" s="1"/>
  <c r="J156" i="5" s="1"/>
  <c r="AA38" i="20"/>
  <c r="AA41" i="20" s="1"/>
  <c r="Y42" i="4"/>
  <c r="C83" i="5"/>
  <c r="G18" i="18"/>
  <c r="F18" i="18"/>
  <c r="H18" i="18"/>
  <c r="AH34" i="18" s="1"/>
  <c r="AS189" i="7"/>
  <c r="E44" i="10"/>
  <c r="G44" i="10" s="1"/>
  <c r="F44" i="10"/>
  <c r="C86" i="5"/>
  <c r="H19" i="18"/>
  <c r="AH33" i="18" s="1"/>
  <c r="F19" i="18"/>
  <c r="G19" i="18"/>
  <c r="C88" i="5"/>
  <c r="AB38" i="20"/>
  <c r="AB41" i="20" s="1"/>
  <c r="E21" i="5"/>
  <c r="Y41" i="4"/>
  <c r="R121" i="5"/>
  <c r="C155" i="5"/>
  <c r="H155" i="5" s="1"/>
  <c r="J155" i="5" s="1"/>
  <c r="E82" i="5" l="1"/>
  <c r="E81" i="5"/>
  <c r="E78" i="5"/>
  <c r="AA41" i="4"/>
  <c r="J68" i="8"/>
  <c r="M68" i="8" s="1"/>
  <c r="E83" i="5"/>
  <c r="L45" i="10"/>
  <c r="J45" i="10"/>
  <c r="B34" i="12"/>
  <c r="E34" i="12" s="1"/>
  <c r="L32" i="9"/>
  <c r="AT34" i="7"/>
  <c r="C173" i="13"/>
  <c r="E87" i="5"/>
  <c r="E88" i="5"/>
  <c r="L21" i="5"/>
  <c r="F21" i="5"/>
  <c r="F88" i="5" s="1"/>
  <c r="J21" i="5"/>
  <c r="AY34" i="7"/>
  <c r="AP58" i="7" s="1"/>
  <c r="AQ58" i="7" s="1"/>
  <c r="AR58" i="7" s="1"/>
  <c r="AL34" i="18"/>
  <c r="AQ33" i="18"/>
  <c r="AX33" i="18" s="1"/>
  <c r="E86" i="5"/>
  <c r="B33" i="12"/>
  <c r="E33" i="12" s="1"/>
  <c r="C172" i="13"/>
  <c r="AT33" i="7"/>
  <c r="L31" i="9"/>
  <c r="L44" i="10"/>
  <c r="J44" i="10"/>
  <c r="AQ34" i="18"/>
  <c r="AX34" i="18" s="1"/>
  <c r="AY34" i="18" s="1"/>
  <c r="AZ34" i="18" s="1"/>
  <c r="BA34" i="18" s="1"/>
  <c r="E85" i="5"/>
  <c r="AL33" i="18"/>
  <c r="AY33" i="7"/>
  <c r="AP57" i="7" s="1"/>
  <c r="AQ57" i="7" s="1"/>
  <c r="AR57" i="7" s="1"/>
  <c r="AA42" i="4"/>
  <c r="J69" i="8"/>
  <c r="M69" i="8" s="1"/>
  <c r="E89" i="5"/>
  <c r="F22" i="5"/>
  <c r="F89" i="5" s="1"/>
  <c r="J22" i="5"/>
  <c r="L22" i="5"/>
  <c r="E84" i="5"/>
  <c r="L79" i="5" l="1"/>
  <c r="M31" i="9"/>
  <c r="AS33" i="18"/>
  <c r="AX95" i="18" s="1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D22" i="17"/>
  <c r="T41" i="4"/>
  <c r="DR32" i="9"/>
  <c r="Y32" i="9"/>
  <c r="DY32" i="9"/>
  <c r="J32" i="9"/>
  <c r="EI32" i="9"/>
  <c r="DS32" i="9"/>
  <c r="DZ32" i="9" s="1"/>
  <c r="EE32" i="9" s="1"/>
  <c r="EJ32" i="9" s="1"/>
  <c r="ED32" i="9"/>
  <c r="I84" i="5"/>
  <c r="L84" i="5" s="1"/>
  <c r="M84" i="5" s="1"/>
  <c r="I89" i="5"/>
  <c r="L89" i="5" s="1"/>
  <c r="M89" i="5" s="1"/>
  <c r="X42" i="4"/>
  <c r="I69" i="8" s="1"/>
  <c r="R22" i="5"/>
  <c r="W42" i="4" s="1"/>
  <c r="H69" i="8" s="1"/>
  <c r="M22" i="5"/>
  <c r="V42" i="4"/>
  <c r="G69" i="8" s="1"/>
  <c r="BC34" i="18"/>
  <c r="BB34" i="18"/>
  <c r="P43" i="10"/>
  <c r="M44" i="10"/>
  <c r="M43" i="10"/>
  <c r="P42" i="10"/>
  <c r="I87" i="5"/>
  <c r="L87" i="5" s="1"/>
  <c r="M87" i="5" s="1"/>
  <c r="I83" i="5"/>
  <c r="L83" i="5" s="1"/>
  <c r="M83" i="5" s="1"/>
  <c r="D23" i="17"/>
  <c r="T42" i="4"/>
  <c r="I85" i="5"/>
  <c r="L85" i="5" s="1"/>
  <c r="M85" i="5" s="1"/>
  <c r="DY31" i="9"/>
  <c r="J31" i="9"/>
  <c r="Y31" i="9"/>
  <c r="T28" i="9"/>
  <c r="ED31" i="9"/>
  <c r="DS31" i="9"/>
  <c r="DZ31" i="9" s="1"/>
  <c r="EE31" i="9" s="1"/>
  <c r="EJ31" i="9" s="1"/>
  <c r="DR31" i="9"/>
  <c r="EI31" i="9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M32" i="9"/>
  <c r="Y94" i="9" s="1"/>
  <c r="AS34" i="18"/>
  <c r="AX96" i="18" s="1"/>
  <c r="AY96" i="18" s="1"/>
  <c r="AZ96" i="18" s="1"/>
  <c r="BA96" i="18" s="1"/>
  <c r="AS57" i="7"/>
  <c r="I86" i="5"/>
  <c r="L86" i="5" s="1"/>
  <c r="M86" i="5" s="1"/>
  <c r="AY33" i="18"/>
  <c r="AZ33" i="18" s="1"/>
  <c r="AS58" i="7"/>
  <c r="J98" i="5"/>
  <c r="K102" i="5" s="1"/>
  <c r="BC96" i="18" l="1"/>
  <c r="BB96" i="18"/>
  <c r="F224" i="13"/>
  <c r="F264" i="13" s="1"/>
  <c r="E224" i="13"/>
  <c r="D224" i="13"/>
  <c r="G224" i="13" s="1"/>
  <c r="G264" i="13" s="1"/>
  <c r="N43" i="10"/>
  <c r="AR32" i="18" s="1"/>
  <c r="O43" i="10"/>
  <c r="AT32" i="18" s="1"/>
  <c r="BH94" i="18" s="1"/>
  <c r="Q43" i="10"/>
  <c r="R43" i="10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S29" i="9"/>
  <c r="O30" i="9"/>
  <c r="O31" i="9"/>
  <c r="S30" i="9"/>
  <c r="N44" i="10"/>
  <c r="AR33" i="18" s="1"/>
  <c r="O44" i="10"/>
  <c r="AT33" i="18" s="1"/>
  <c r="BH95" i="18" s="1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G173" i="13"/>
  <c r="AI152" i="9"/>
  <c r="CB152" i="9"/>
  <c r="CC152" i="9" s="1"/>
  <c r="CD152" i="9" s="1"/>
  <c r="CE152" i="9" s="1"/>
  <c r="U42" i="4"/>
  <c r="E69" i="8"/>
  <c r="F69" i="8" s="1"/>
  <c r="Q42" i="10"/>
  <c r="R42" i="10"/>
  <c r="Z32" i="9"/>
  <c r="AA32" i="9" s="1"/>
  <c r="AB32" i="9" s="1"/>
  <c r="Y156" i="9"/>
  <c r="Z156" i="9" s="1"/>
  <c r="AA156" i="9" s="1"/>
  <c r="AB156" i="9" s="1"/>
  <c r="U41" i="4"/>
  <c r="E68" i="8"/>
  <c r="F68" i="8" s="1"/>
  <c r="AY95" i="18"/>
  <c r="BA33" i="18"/>
  <c r="Y155" i="9"/>
  <c r="Z31" i="9"/>
  <c r="G23" i="17"/>
  <c r="E23" i="17"/>
  <c r="G22" i="17"/>
  <c r="E22" i="17"/>
  <c r="D223" i="13"/>
  <c r="G223" i="13" s="1"/>
  <c r="G263" i="13" s="1"/>
  <c r="E223" i="13"/>
  <c r="F223" i="13"/>
  <c r="F263" i="13" s="1"/>
  <c r="Y93" i="9"/>
  <c r="U28" i="9"/>
  <c r="H22" i="17" l="1"/>
  <c r="H23" i="17"/>
  <c r="CB214" i="9"/>
  <c r="AI214" i="9"/>
  <c r="ED93" i="9"/>
  <c r="Z93" i="9"/>
  <c r="DY93" i="9"/>
  <c r="EI93" i="9"/>
  <c r="DR93" i="9"/>
  <c r="DS93" i="9"/>
  <c r="DZ93" i="9" s="1"/>
  <c r="Y217" i="9"/>
  <c r="AD156" i="9"/>
  <c r="AC156" i="9"/>
  <c r="P31" i="9"/>
  <c r="Q31" i="9"/>
  <c r="BR94" i="18"/>
  <c r="BI94" i="18"/>
  <c r="Z155" i="9"/>
  <c r="AC94" i="9"/>
  <c r="AD94" i="9"/>
  <c r="BR95" i="18"/>
  <c r="BI95" i="18"/>
  <c r="BJ95" i="18" s="1"/>
  <c r="BK95" i="18" s="1"/>
  <c r="U29" i="9"/>
  <c r="T29" i="9"/>
  <c r="AZ95" i="18"/>
  <c r="AC32" i="9"/>
  <c r="AD32" i="9"/>
  <c r="AI34" i="18" s="1"/>
  <c r="CF152" i="9"/>
  <c r="CG152" i="9"/>
  <c r="AC218" i="9"/>
  <c r="AD218" i="9"/>
  <c r="P30" i="9"/>
  <c r="Q30" i="9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AA31" i="9"/>
  <c r="BB33" i="18"/>
  <c r="BC33" i="18"/>
  <c r="AS152" i="9"/>
  <c r="AJ152" i="9"/>
  <c r="BC152" i="9"/>
  <c r="BD152" i="9" s="1"/>
  <c r="BE152" i="9" s="1"/>
  <c r="BF152" i="9" s="1"/>
  <c r="BH152" i="9" s="1"/>
  <c r="BG152" i="9" l="1"/>
  <c r="S263" i="13"/>
  <c r="M72" i="13" s="1"/>
  <c r="M101" i="13"/>
  <c r="X131" i="13" s="1"/>
  <c r="X18" i="13" s="1"/>
  <c r="N101" i="13"/>
  <c r="Y131" i="13" s="1"/>
  <c r="Y18" i="13" s="1"/>
  <c r="Y263" i="13"/>
  <c r="N72" i="13" s="1"/>
  <c r="AI93" i="9"/>
  <c r="CB93" i="9"/>
  <c r="CC93" i="9" s="1"/>
  <c r="CD93" i="9" s="1"/>
  <c r="CE93" i="9" s="1"/>
  <c r="BC214" i="9"/>
  <c r="AJ214" i="9"/>
  <c r="AS214" i="9"/>
  <c r="AB31" i="9"/>
  <c r="L100" i="13"/>
  <c r="W130" i="13" s="1"/>
  <c r="W17" i="13" s="1"/>
  <c r="M264" i="13"/>
  <c r="L73" i="13" s="1"/>
  <c r="L263" i="13"/>
  <c r="E72" i="13" s="1"/>
  <c r="F101" i="13"/>
  <c r="F131" i="13" s="1"/>
  <c r="E18" i="13" s="1"/>
  <c r="F100" i="13"/>
  <c r="F130" i="13" s="1"/>
  <c r="E17" i="13" s="1"/>
  <c r="L264" i="13"/>
  <c r="E73" i="13" s="1"/>
  <c r="N100" i="13"/>
  <c r="Y130" i="13" s="1"/>
  <c r="Y17" i="13" s="1"/>
  <c r="Y264" i="13"/>
  <c r="N73" i="13" s="1"/>
  <c r="CB92" i="9"/>
  <c r="AI92" i="9"/>
  <c r="CB153" i="9"/>
  <c r="AI153" i="9"/>
  <c r="BM95" i="18"/>
  <c r="BL95" i="18"/>
  <c r="AA155" i="9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EE93" i="9"/>
  <c r="EJ93" i="9" s="1"/>
  <c r="AA93" i="9"/>
  <c r="CC214" i="9"/>
  <c r="X264" i="13"/>
  <c r="G73" i="13" s="1"/>
  <c r="H100" i="13"/>
  <c r="H130" i="13" s="1"/>
  <c r="G17" i="13" s="1"/>
  <c r="BS94" i="18"/>
  <c r="CB94" i="18"/>
  <c r="Z217" i="9"/>
  <c r="AK152" i="9"/>
  <c r="M263" i="13"/>
  <c r="L72" i="13" s="1"/>
  <c r="L101" i="13"/>
  <c r="W131" i="13" s="1"/>
  <c r="W18" i="13" s="1"/>
  <c r="R263" i="13"/>
  <c r="F72" i="13" s="1"/>
  <c r="G101" i="13"/>
  <c r="G131" i="13" s="1"/>
  <c r="F18" i="13" s="1"/>
  <c r="BM30" i="9"/>
  <c r="BC30" i="9"/>
  <c r="CB30" i="9"/>
  <c r="AI30" i="9"/>
  <c r="AS30" i="9"/>
  <c r="BA95" i="18"/>
  <c r="AI215" i="9"/>
  <c r="CB215" i="9"/>
  <c r="CC215" i="9" s="1"/>
  <c r="CD215" i="9" s="1"/>
  <c r="CE215" i="9" s="1"/>
  <c r="BS95" i="18"/>
  <c r="BT95" i="18" s="1"/>
  <c r="BU95" i="18" s="1"/>
  <c r="CB95" i="18"/>
  <c r="CC95" i="18" s="1"/>
  <c r="CD95" i="18" s="1"/>
  <c r="CE95" i="18" s="1"/>
  <c r="AT152" i="9"/>
  <c r="S264" i="13"/>
  <c r="M73" i="13" s="1"/>
  <c r="M100" i="13"/>
  <c r="X130" i="13" s="1"/>
  <c r="X17" i="13" s="1"/>
  <c r="H101" i="13"/>
  <c r="H131" i="13" s="1"/>
  <c r="G18" i="13" s="1"/>
  <c r="X263" i="13"/>
  <c r="G72" i="13" s="1"/>
  <c r="R264" i="13"/>
  <c r="F73" i="13" s="1"/>
  <c r="G100" i="13"/>
  <c r="G130" i="13" s="1"/>
  <c r="F17" i="13" s="1"/>
  <c r="BJ94" i="18"/>
  <c r="BK94" i="18" l="1"/>
  <c r="AT30" i="9"/>
  <c r="CC94" i="18"/>
  <c r="AU152" i="9"/>
  <c r="BV95" i="18"/>
  <c r="BW95" i="18"/>
  <c r="AJ30" i="9"/>
  <c r="AA217" i="9"/>
  <c r="BT94" i="18"/>
  <c r="AM31" i="9"/>
  <c r="AN31" i="9"/>
  <c r="AW31" i="9"/>
  <c r="AX31" i="9"/>
  <c r="CC92" i="9"/>
  <c r="AD31" i="9"/>
  <c r="AC31" i="9"/>
  <c r="CF95" i="18"/>
  <c r="CG95" i="18"/>
  <c r="BN30" i="9"/>
  <c r="AL152" i="9"/>
  <c r="CD214" i="9"/>
  <c r="AB93" i="9"/>
  <c r="BQ31" i="9"/>
  <c r="BR31" i="9"/>
  <c r="BM92" i="9"/>
  <c r="BC92" i="9"/>
  <c r="AJ92" i="9"/>
  <c r="AS92" i="9"/>
  <c r="BD214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CF215" i="9"/>
  <c r="CG215" i="9"/>
  <c r="BB95" i="18"/>
  <c r="BC95" i="18"/>
  <c r="CC30" i="9"/>
  <c r="CG31" i="9"/>
  <c r="CF31" i="9"/>
  <c r="AB155" i="9"/>
  <c r="AJ153" i="9"/>
  <c r="BC153" i="9"/>
  <c r="BM153" i="9"/>
  <c r="AS153" i="9"/>
  <c r="AT214" i="9"/>
  <c r="AJ215" i="9"/>
  <c r="AK215" i="9" s="1"/>
  <c r="AL215" i="9" s="1"/>
  <c r="BC215" i="9"/>
  <c r="BD215" i="9" s="1"/>
  <c r="BE215" i="9" s="1"/>
  <c r="BF215" i="9" s="1"/>
  <c r="BM215" i="9"/>
  <c r="AS215" i="9"/>
  <c r="AT215" i="9" s="1"/>
  <c r="AU215" i="9" s="1"/>
  <c r="AV215" i="9" s="1"/>
  <c r="BD30" i="9"/>
  <c r="BG31" i="9"/>
  <c r="BH31" i="9"/>
  <c r="CC153" i="9"/>
  <c r="AK214" i="9"/>
  <c r="CF93" i="9"/>
  <c r="CG93" i="9"/>
  <c r="CD153" i="9" l="1"/>
  <c r="BE30" i="9"/>
  <c r="AD155" i="9"/>
  <c r="AC155" i="9"/>
  <c r="CE214" i="9"/>
  <c r="AU30" i="9"/>
  <c r="AX215" i="9"/>
  <c r="AW215" i="9"/>
  <c r="AU214" i="9"/>
  <c r="BD153" i="9"/>
  <c r="BQ93" i="9"/>
  <c r="BR93" i="9"/>
  <c r="BE214" i="9"/>
  <c r="AT92" i="9"/>
  <c r="AK30" i="9"/>
  <c r="AN215" i="9"/>
  <c r="AM215" i="9"/>
  <c r="BN153" i="9"/>
  <c r="AN93" i="9"/>
  <c r="AM93" i="9"/>
  <c r="BN92" i="9"/>
  <c r="AL214" i="9"/>
  <c r="BN215" i="9"/>
  <c r="AK153" i="9"/>
  <c r="BH93" i="9"/>
  <c r="BG93" i="9"/>
  <c r="AK92" i="9"/>
  <c r="AC93" i="9"/>
  <c r="AD93" i="9"/>
  <c r="AM152" i="9"/>
  <c r="AN152" i="9"/>
  <c r="BO30" i="9"/>
  <c r="CD30" i="9"/>
  <c r="BU94" i="18"/>
  <c r="BM94" i="18"/>
  <c r="BL94" i="18"/>
  <c r="BH215" i="9"/>
  <c r="BG215" i="9"/>
  <c r="AT153" i="9"/>
  <c r="AW93" i="9"/>
  <c r="AX93" i="9"/>
  <c r="BD92" i="9"/>
  <c r="AI33" i="18"/>
  <c r="CD92" i="9"/>
  <c r="AB217" i="9"/>
  <c r="AV152" i="9"/>
  <c r="CD94" i="18"/>
  <c r="CE94" i="18" l="1"/>
  <c r="AX152" i="9"/>
  <c r="AW152" i="9"/>
  <c r="CE30" i="9"/>
  <c r="BP30" i="9"/>
  <c r="BO215" i="9"/>
  <c r="BO92" i="9"/>
  <c r="BO153" i="9"/>
  <c r="AL30" i="9"/>
  <c r="AU92" i="9"/>
  <c r="AV214" i="9"/>
  <c r="CG214" i="9"/>
  <c r="CF214" i="9"/>
  <c r="CE92" i="9"/>
  <c r="AU153" i="9"/>
  <c r="BV94" i="18"/>
  <c r="BW94" i="18"/>
  <c r="AL92" i="9"/>
  <c r="AC217" i="9"/>
  <c r="AD217" i="9"/>
  <c r="BE92" i="9"/>
  <c r="AL153" i="9"/>
  <c r="AN214" i="9"/>
  <c r="AM214" i="9"/>
  <c r="BF214" i="9"/>
  <c r="BE153" i="9"/>
  <c r="AV30" i="9"/>
  <c r="BF30" i="9"/>
  <c r="CE153" i="9"/>
  <c r="BP215" i="9" l="1"/>
  <c r="BG30" i="9"/>
  <c r="BH30" i="9"/>
  <c r="AN153" i="9"/>
  <c r="AM153" i="9"/>
  <c r="BF92" i="9"/>
  <c r="AV153" i="9"/>
  <c r="BP153" i="9"/>
  <c r="CF92" i="9"/>
  <c r="CG92" i="9"/>
  <c r="AM30" i="9"/>
  <c r="AN30" i="9"/>
  <c r="CF153" i="9"/>
  <c r="CG153" i="9"/>
  <c r="BG214" i="9"/>
  <c r="BH214" i="9"/>
  <c r="BR30" i="9"/>
  <c r="BQ30" i="9"/>
  <c r="AX30" i="9"/>
  <c r="AW30" i="9"/>
  <c r="AM92" i="9"/>
  <c r="AN92" i="9"/>
  <c r="BP92" i="9"/>
  <c r="CF94" i="18"/>
  <c r="CG94" i="18"/>
  <c r="BF153" i="9"/>
  <c r="AX214" i="9"/>
  <c r="AW214" i="9"/>
  <c r="AV92" i="9"/>
  <c r="CG30" i="9"/>
  <c r="CF30" i="9"/>
  <c r="BQ92" i="9" l="1"/>
  <c r="BR92" i="9"/>
  <c r="BR153" i="9"/>
  <c r="BQ153" i="9"/>
  <c r="BR215" i="9"/>
  <c r="BQ215" i="9"/>
  <c r="AX153" i="9"/>
  <c r="AW153" i="9"/>
  <c r="BG92" i="9"/>
  <c r="BH92" i="9"/>
  <c r="AW92" i="9"/>
  <c r="AX92" i="9"/>
  <c r="BH153" i="9"/>
  <c r="BG153" i="9"/>
  <c r="AF21" i="12" l="1"/>
  <c r="AF20" i="12"/>
  <c r="AF22" i="12"/>
  <c r="J120" i="5"/>
  <c r="J119" i="5"/>
  <c r="J118" i="5"/>
  <c r="I79" i="5"/>
  <c r="M79" i="5" s="1"/>
  <c r="I80" i="5"/>
  <c r="I81" i="5"/>
  <c r="I82" i="5"/>
  <c r="L80" i="5"/>
  <c r="M80" i="5" s="1"/>
  <c r="L81" i="5"/>
  <c r="M81" i="5" s="1"/>
  <c r="L82" i="5"/>
  <c r="M82" i="5" s="1"/>
  <c r="E79" i="5"/>
  <c r="E80" i="5"/>
  <c r="F86" i="5"/>
  <c r="C78" i="5"/>
  <c r="C79" i="5"/>
  <c r="C80" i="5"/>
  <c r="C81" i="5"/>
  <c r="C82" i="5"/>
  <c r="F82" i="5"/>
  <c r="F87" i="5"/>
  <c r="F84" i="5"/>
  <c r="F85" i="5"/>
  <c r="F83" i="5"/>
  <c r="H36" i="8"/>
  <c r="J36" i="8" s="1"/>
  <c r="K36" i="8" s="1"/>
  <c r="E49" i="8" s="1"/>
  <c r="N49" i="8" s="1"/>
  <c r="E96" i="5" l="1"/>
  <c r="F96" i="5" s="1"/>
  <c r="I96" i="5"/>
  <c r="I98" i="5" s="1"/>
  <c r="J102" i="5" s="1"/>
  <c r="L103" i="5" s="1"/>
  <c r="C96" i="5"/>
  <c r="L96" i="5"/>
  <c r="H94" i="8"/>
  <c r="J94" i="8" s="1"/>
  <c r="CZ12" i="9" s="1"/>
  <c r="DC33" i="9" s="1"/>
  <c r="W20" i="5"/>
  <c r="X20" i="5" s="1"/>
  <c r="H31" i="8"/>
  <c r="J31" i="8" s="1"/>
  <c r="K31" i="8" s="1"/>
  <c r="E44" i="8" s="1"/>
  <c r="N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N46" i="8" s="1"/>
  <c r="H32" i="8"/>
  <c r="J32" i="8" s="1"/>
  <c r="K32" i="8" s="1"/>
  <c r="E45" i="8" s="1"/>
  <c r="N45" i="8" s="1"/>
  <c r="H30" i="8"/>
  <c r="J30" i="8" s="1"/>
  <c r="K30" i="8" s="1"/>
  <c r="E43" i="8" s="1"/>
  <c r="N43" i="8" s="1"/>
  <c r="H34" i="8"/>
  <c r="J34" i="8" s="1"/>
  <c r="K34" i="8" s="1"/>
  <c r="E47" i="8" s="1"/>
  <c r="N47" i="8" s="1"/>
  <c r="H35" i="8"/>
  <c r="J35" i="8" s="1"/>
  <c r="K35" i="8" s="1"/>
  <c r="E48" i="8" s="1"/>
  <c r="N48" i="8" s="1"/>
  <c r="H27" i="8"/>
  <c r="J27" i="8" s="1"/>
  <c r="K27" i="8" s="1"/>
  <c r="E40" i="8" s="1"/>
  <c r="N40" i="8" s="1"/>
  <c r="L102" i="5" l="1"/>
  <c r="L104" i="5"/>
  <c r="M96" i="5"/>
  <c r="R85" i="5"/>
  <c r="R87" i="5" s="1"/>
  <c r="L98" i="5"/>
  <c r="M98" i="5" s="1"/>
  <c r="H85" i="8"/>
  <c r="J85" i="8" s="1"/>
  <c r="CZ21" i="9" s="1"/>
  <c r="DC42" i="9" s="1"/>
  <c r="W11" i="5"/>
  <c r="X11" i="5" s="1"/>
  <c r="H92" i="8"/>
  <c r="J92" i="8" s="1"/>
  <c r="CZ14" i="9" s="1"/>
  <c r="DC35" i="9" s="1"/>
  <c r="W18" i="5"/>
  <c r="X18" i="5" s="1"/>
  <c r="H88" i="8"/>
  <c r="J88" i="8" s="1"/>
  <c r="CZ18" i="9" s="1"/>
  <c r="DC39" i="9" s="1"/>
  <c r="W14" i="5"/>
  <c r="X14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H89" i="8"/>
  <c r="J89" i="8" s="1"/>
  <c r="CZ17" i="9" s="1"/>
  <c r="DC38" i="9" s="1"/>
  <c r="W15" i="5"/>
  <c r="X15" i="5" s="1"/>
  <c r="H93" i="8"/>
  <c r="J93" i="8" s="1"/>
  <c r="CZ13" i="9" s="1"/>
  <c r="DC34" i="9" s="1"/>
  <c r="W19" i="5"/>
  <c r="X19" i="5" s="1"/>
  <c r="H87" i="8"/>
  <c r="J87" i="8" s="1"/>
  <c r="CZ19" i="9" s="1"/>
  <c r="DC40" i="9" s="1"/>
  <c r="W13" i="5"/>
  <c r="X13" i="5" s="1"/>
  <c r="C17" i="18"/>
  <c r="C46" i="10"/>
  <c r="C20" i="5"/>
  <c r="H86" i="8"/>
  <c r="J86" i="8" s="1"/>
  <c r="CZ20" i="9" s="1"/>
  <c r="DC41" i="9" s="1"/>
  <c r="W12" i="5"/>
  <c r="X12" i="5" s="1"/>
  <c r="AP319" i="7"/>
  <c r="AQ319" i="7" s="1"/>
  <c r="DD33" i="9"/>
  <c r="L105" i="5" l="1"/>
  <c r="AP324" i="7"/>
  <c r="AQ324" i="7" s="1"/>
  <c r="DD38" i="9"/>
  <c r="DE38" i="9" s="1"/>
  <c r="DF38" i="9" s="1"/>
  <c r="AP322" i="7"/>
  <c r="AQ322" i="7" s="1"/>
  <c r="DD36" i="9"/>
  <c r="DE36" i="9" s="1"/>
  <c r="DF36" i="9" s="1"/>
  <c r="C52" i="10"/>
  <c r="F52" i="10" s="1"/>
  <c r="C11" i="18"/>
  <c r="C14" i="5"/>
  <c r="AP325" i="7"/>
  <c r="AQ325" i="7" s="1"/>
  <c r="DD39" i="9"/>
  <c r="DE39" i="9" s="1"/>
  <c r="DF39" i="9" s="1"/>
  <c r="DJ39" i="9"/>
  <c r="AS325" i="7" s="1"/>
  <c r="DC43" i="9"/>
  <c r="DD37" i="9"/>
  <c r="DE37" i="9" s="1"/>
  <c r="DF37" i="9" s="1"/>
  <c r="AP323" i="7"/>
  <c r="AQ323" i="7" s="1"/>
  <c r="C15" i="18"/>
  <c r="C48" i="10"/>
  <c r="C18" i="5"/>
  <c r="C54" i="10"/>
  <c r="F54" i="10" s="1"/>
  <c r="C9" i="18"/>
  <c r="C12" i="5"/>
  <c r="Y40" i="4"/>
  <c r="C154" i="5"/>
  <c r="H154" i="5" s="1"/>
  <c r="J154" i="5" s="1"/>
  <c r="AC38" i="20"/>
  <c r="AC41" i="20" s="1"/>
  <c r="R120" i="5"/>
  <c r="E20" i="5"/>
  <c r="AP326" i="7"/>
  <c r="AQ326" i="7" s="1"/>
  <c r="DD40" i="9"/>
  <c r="DE40" i="9" s="1"/>
  <c r="DF40" i="9" s="1"/>
  <c r="DJ40" i="9"/>
  <c r="AS326" i="7" s="1"/>
  <c r="AP321" i="7"/>
  <c r="AQ321" i="7" s="1"/>
  <c r="DD35" i="9"/>
  <c r="DE35" i="9" s="1"/>
  <c r="DF35" i="9" s="1"/>
  <c r="C14" i="18"/>
  <c r="C49" i="10"/>
  <c r="C17" i="5"/>
  <c r="C13" i="18"/>
  <c r="C50" i="10"/>
  <c r="C16" i="5"/>
  <c r="G17" i="18"/>
  <c r="F17" i="18"/>
  <c r="H17" i="18"/>
  <c r="AH35" i="18" s="1"/>
  <c r="C10" i="18"/>
  <c r="C53" i="10"/>
  <c r="F53" i="10" s="1"/>
  <c r="C13" i="5"/>
  <c r="C16" i="18"/>
  <c r="C47" i="10"/>
  <c r="C19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C8" i="18"/>
  <c r="Y19" i="5"/>
  <c r="AB20" i="5" s="1"/>
  <c r="Y40" i="5"/>
  <c r="Y42" i="5"/>
  <c r="Y18" i="5"/>
  <c r="AB21" i="5" s="1"/>
  <c r="Y11" i="5"/>
  <c r="AB28" i="5" s="1"/>
  <c r="Y36" i="5"/>
  <c r="Y13" i="5"/>
  <c r="AB26" i="5" s="1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12" i="5"/>
  <c r="AB27" i="5" s="1"/>
  <c r="C55" i="10"/>
  <c r="F55" i="10" s="1"/>
  <c r="Y39" i="5"/>
  <c r="Y31" i="5"/>
  <c r="Y32" i="5"/>
  <c r="Y43" i="5"/>
  <c r="C11" i="5"/>
  <c r="C12" i="18"/>
  <c r="C51" i="10"/>
  <c r="C15" i="5"/>
  <c r="AP327" i="7"/>
  <c r="AQ327" i="7" s="1"/>
  <c r="DD41" i="9"/>
  <c r="DE41" i="9" s="1"/>
  <c r="DF41" i="9" s="1"/>
  <c r="DJ41" i="9"/>
  <c r="AS327" i="7" s="1"/>
  <c r="AS191" i="7"/>
  <c r="E46" i="10"/>
  <c r="G46" i="10" s="1"/>
  <c r="F46" i="10"/>
  <c r="DE33" i="9"/>
  <c r="AP320" i="7"/>
  <c r="AQ320" i="7" s="1"/>
  <c r="DD34" i="9"/>
  <c r="DE34" i="9" s="1"/>
  <c r="DF34" i="9" s="1"/>
  <c r="AP328" i="7"/>
  <c r="AQ328" i="7" s="1"/>
  <c r="DD42" i="9"/>
  <c r="DE42" i="9" s="1"/>
  <c r="DF42" i="9" s="1"/>
  <c r="DJ42" i="9"/>
  <c r="AS328" i="7" s="1"/>
  <c r="J54" i="10" l="1"/>
  <c r="C182" i="13"/>
  <c r="AT43" i="7"/>
  <c r="L54" i="10"/>
  <c r="B43" i="12"/>
  <c r="E43" i="12" s="1"/>
  <c r="L41" i="9"/>
  <c r="L39" i="9"/>
  <c r="AT41" i="7"/>
  <c r="B41" i="12"/>
  <c r="E41" i="12" s="1"/>
  <c r="J52" i="10"/>
  <c r="L52" i="10"/>
  <c r="C180" i="13"/>
  <c r="B42" i="12"/>
  <c r="E42" i="12" s="1"/>
  <c r="C181" i="13"/>
  <c r="L40" i="9"/>
  <c r="AT42" i="7"/>
  <c r="L53" i="10"/>
  <c r="J53" i="10"/>
  <c r="C183" i="13"/>
  <c r="B44" i="12"/>
  <c r="E44" i="12" s="1"/>
  <c r="L55" i="10"/>
  <c r="L42" i="9"/>
  <c r="J55" i="10"/>
  <c r="AT44" i="7"/>
  <c r="AM9" i="18"/>
  <c r="C153" i="5"/>
  <c r="H153" i="5" s="1"/>
  <c r="J153" i="5" s="1"/>
  <c r="AD38" i="20"/>
  <c r="Y39" i="4"/>
  <c r="R119" i="5"/>
  <c r="E19" i="5"/>
  <c r="C151" i="5"/>
  <c r="H151" i="5" s="1"/>
  <c r="J151" i="5" s="1"/>
  <c r="Y37" i="4"/>
  <c r="AF38" i="20"/>
  <c r="R117" i="5"/>
  <c r="E17" i="5"/>
  <c r="AS192" i="7"/>
  <c r="E47" i="10"/>
  <c r="G47" i="10" s="1"/>
  <c r="F47" i="10"/>
  <c r="AS194" i="7"/>
  <c r="E49" i="10"/>
  <c r="G49" i="10" s="1"/>
  <c r="F49" i="10"/>
  <c r="AA40" i="4"/>
  <c r="J67" i="8"/>
  <c r="M67" i="8" s="1"/>
  <c r="DH39" i="9"/>
  <c r="DG39" i="9"/>
  <c r="AS200" i="7"/>
  <c r="E55" i="10"/>
  <c r="G55" i="10" s="1"/>
  <c r="G16" i="18"/>
  <c r="F16" i="18"/>
  <c r="H16" i="18"/>
  <c r="AH36" i="18" s="1"/>
  <c r="AM10" i="18" s="1"/>
  <c r="F14" i="18"/>
  <c r="G14" i="18"/>
  <c r="H14" i="18"/>
  <c r="AH38" i="18" s="1"/>
  <c r="Y32" i="4"/>
  <c r="E12" i="5"/>
  <c r="AK38" i="20"/>
  <c r="C146" i="5"/>
  <c r="R112" i="5"/>
  <c r="E13" i="5"/>
  <c r="AJ38" i="20"/>
  <c r="Y33" i="4"/>
  <c r="C147" i="5"/>
  <c r="H147" i="5" s="1"/>
  <c r="J147" i="5" s="1"/>
  <c r="R113" i="5"/>
  <c r="G9" i="18"/>
  <c r="F9" i="18"/>
  <c r="H9" i="18"/>
  <c r="AH43" i="18" s="1"/>
  <c r="Y34" i="4"/>
  <c r="C148" i="5"/>
  <c r="H148" i="5" s="1"/>
  <c r="J148" i="5" s="1"/>
  <c r="AI38" i="20"/>
  <c r="R114" i="5"/>
  <c r="E14" i="5"/>
  <c r="DG41" i="9"/>
  <c r="DH41" i="9"/>
  <c r="E53" i="10"/>
  <c r="G53" i="10" s="1"/>
  <c r="AS198" i="7"/>
  <c r="DH35" i="9"/>
  <c r="DG35" i="9"/>
  <c r="E54" i="10"/>
  <c r="G54" i="10" s="1"/>
  <c r="AS199" i="7"/>
  <c r="F11" i="18"/>
  <c r="G11" i="18"/>
  <c r="H11" i="18"/>
  <c r="AH41" i="18" s="1"/>
  <c r="DG42" i="9"/>
  <c r="DH42" i="9"/>
  <c r="F10" i="18"/>
  <c r="G10" i="18"/>
  <c r="H10" i="18"/>
  <c r="AH42" i="18" s="1"/>
  <c r="AE38" i="20"/>
  <c r="C152" i="5"/>
  <c r="H152" i="5" s="1"/>
  <c r="J152" i="5" s="1"/>
  <c r="Y38" i="4"/>
  <c r="R118" i="5"/>
  <c r="E18" i="5"/>
  <c r="AS197" i="7"/>
  <c r="E52" i="10"/>
  <c r="G52" i="10" s="1"/>
  <c r="AY35" i="7"/>
  <c r="AP59" i="7" s="1"/>
  <c r="AQ59" i="7" s="1"/>
  <c r="AR59" i="7" s="1"/>
  <c r="AL35" i="18"/>
  <c r="AQ35" i="18"/>
  <c r="AX35" i="18" s="1"/>
  <c r="E48" i="10"/>
  <c r="G48" i="10" s="1"/>
  <c r="AS193" i="7"/>
  <c r="F48" i="10"/>
  <c r="DH40" i="9"/>
  <c r="DG40" i="9"/>
  <c r="H15" i="18"/>
  <c r="AH37" i="18" s="1"/>
  <c r="F15" i="18"/>
  <c r="G15" i="18"/>
  <c r="DH36" i="9"/>
  <c r="DG36" i="9"/>
  <c r="F8" i="18"/>
  <c r="G8" i="18"/>
  <c r="H8" i="18"/>
  <c r="AH44" i="18" s="1"/>
  <c r="Y35" i="4"/>
  <c r="AH38" i="20"/>
  <c r="C149" i="5"/>
  <c r="H149" i="5" s="1"/>
  <c r="J149" i="5" s="1"/>
  <c r="R115" i="5"/>
  <c r="E15" i="5"/>
  <c r="DG34" i="9"/>
  <c r="DH34" i="9"/>
  <c r="G12" i="18"/>
  <c r="H12" i="18"/>
  <c r="AH40" i="18" s="1"/>
  <c r="F12" i="18"/>
  <c r="Y31" i="4"/>
  <c r="AL38" i="20"/>
  <c r="G62" i="5"/>
  <c r="R111" i="5"/>
  <c r="E11" i="5"/>
  <c r="C150" i="5"/>
  <c r="H150" i="5" s="1"/>
  <c r="J150" i="5" s="1"/>
  <c r="Y36" i="4"/>
  <c r="AG38" i="20"/>
  <c r="R116" i="5"/>
  <c r="E16" i="5"/>
  <c r="F20" i="5"/>
  <c r="L20" i="5"/>
  <c r="J20" i="5"/>
  <c r="DE43" i="9"/>
  <c r="DC46" i="9" s="1"/>
  <c r="DF33" i="9"/>
  <c r="E50" i="10"/>
  <c r="G50" i="10" s="1"/>
  <c r="AS195" i="7"/>
  <c r="F50" i="10"/>
  <c r="DH37" i="9"/>
  <c r="DG37" i="9"/>
  <c r="DG38" i="9"/>
  <c r="DH38" i="9"/>
  <c r="L46" i="10"/>
  <c r="C174" i="13"/>
  <c r="B35" i="12"/>
  <c r="E35" i="12" s="1"/>
  <c r="L33" i="9"/>
  <c r="J46" i="10"/>
  <c r="AT35" i="7"/>
  <c r="E51" i="10"/>
  <c r="G51" i="10" s="1"/>
  <c r="AS196" i="7"/>
  <c r="F51" i="10"/>
  <c r="DD43" i="9"/>
  <c r="H13" i="18"/>
  <c r="AH39" i="18" s="1"/>
  <c r="AM25" i="18" s="1"/>
  <c r="G13" i="18"/>
  <c r="F13" i="18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AM16" i="18" l="1"/>
  <c r="AM23" i="18"/>
  <c r="AM35" i="18"/>
  <c r="AM20" i="18"/>
  <c r="AM31" i="18"/>
  <c r="AS44" i="18"/>
  <c r="AX106" i="18" s="1"/>
  <c r="AY106" i="18" s="1"/>
  <c r="AZ106" i="18" s="1"/>
  <c r="BA106" i="18" s="1"/>
  <c r="M42" i="9"/>
  <c r="Y104" i="9" s="1"/>
  <c r="D180" i="13"/>
  <c r="F180" i="13"/>
  <c r="B231" i="13"/>
  <c r="I181" i="13"/>
  <c r="L181" i="13" s="1"/>
  <c r="Y42" i="9"/>
  <c r="ED42" i="9"/>
  <c r="DR42" i="9"/>
  <c r="J42" i="9"/>
  <c r="DS42" i="9"/>
  <c r="DZ42" i="9" s="1"/>
  <c r="EE42" i="9" s="1"/>
  <c r="EJ42" i="9" s="1"/>
  <c r="EI42" i="9"/>
  <c r="DY42" i="9"/>
  <c r="M53" i="10"/>
  <c r="N53" i="10" s="1"/>
  <c r="AR42" i="18" s="1"/>
  <c r="P55" i="10"/>
  <c r="L12" i="5"/>
  <c r="X32" i="4" s="1"/>
  <c r="I59" i="8" s="1"/>
  <c r="J12" i="5"/>
  <c r="F12" i="5"/>
  <c r="F79" i="5" s="1"/>
  <c r="M39" i="9"/>
  <c r="Y101" i="9" s="1"/>
  <c r="AS41" i="18"/>
  <c r="AX103" i="18" s="1"/>
  <c r="AY103" i="18" s="1"/>
  <c r="AZ103" i="18" s="1"/>
  <c r="BA103" i="18" s="1"/>
  <c r="AY43" i="7"/>
  <c r="AP67" i="7" s="1"/>
  <c r="AQ67" i="7" s="1"/>
  <c r="AR67" i="7" s="1"/>
  <c r="AL43" i="18"/>
  <c r="L11" i="5"/>
  <c r="M11" i="5" s="1"/>
  <c r="F11" i="5"/>
  <c r="F78" i="5" s="1"/>
  <c r="J11" i="5"/>
  <c r="D183" i="13"/>
  <c r="G183" i="13" s="1"/>
  <c r="B234" i="13"/>
  <c r="F183" i="13"/>
  <c r="AS65" i="7"/>
  <c r="M40" i="9"/>
  <c r="Y102" i="9" s="1"/>
  <c r="AS42" i="18"/>
  <c r="AX104" i="18" s="1"/>
  <c r="AY104" i="18" s="1"/>
  <c r="AZ104" i="18" s="1"/>
  <c r="BA104" i="18" s="1"/>
  <c r="DY39" i="9"/>
  <c r="EI39" i="9"/>
  <c r="Y39" i="9"/>
  <c r="DR39" i="9"/>
  <c r="J39" i="9"/>
  <c r="ED39" i="9"/>
  <c r="DS39" i="9"/>
  <c r="DZ39" i="9" s="1"/>
  <c r="EE39" i="9" s="1"/>
  <c r="EJ39" i="9" s="1"/>
  <c r="M54" i="10"/>
  <c r="N54" i="10" s="1"/>
  <c r="AR43" i="18" s="1"/>
  <c r="EI41" i="9"/>
  <c r="Y41" i="9"/>
  <c r="DR41" i="9"/>
  <c r="ED41" i="9"/>
  <c r="DY41" i="9"/>
  <c r="DS41" i="9"/>
  <c r="DZ41" i="9" s="1"/>
  <c r="EE41" i="9" s="1"/>
  <c r="EJ41" i="9" s="1"/>
  <c r="J41" i="9"/>
  <c r="AY42" i="7"/>
  <c r="AP66" i="7" s="1"/>
  <c r="AQ66" i="7" s="1"/>
  <c r="AR66" i="7" s="1"/>
  <c r="AL42" i="18"/>
  <c r="AS66" i="7"/>
  <c r="DY40" i="9"/>
  <c r="DS40" i="9"/>
  <c r="DZ40" i="9" s="1"/>
  <c r="EE40" i="9" s="1"/>
  <c r="EJ40" i="9" s="1"/>
  <c r="DR40" i="9"/>
  <c r="ED40" i="9"/>
  <c r="Y40" i="9"/>
  <c r="EI40" i="9"/>
  <c r="J40" i="9"/>
  <c r="M55" i="10"/>
  <c r="B232" i="13"/>
  <c r="D181" i="13"/>
  <c r="F181" i="13"/>
  <c r="I182" i="13"/>
  <c r="L182" i="13" s="1"/>
  <c r="AS67" i="7"/>
  <c r="F14" i="5"/>
  <c r="F81" i="5" s="1"/>
  <c r="J14" i="5"/>
  <c r="L13" i="5"/>
  <c r="R13" i="5" s="1"/>
  <c r="W33" i="4" s="1"/>
  <c r="H60" i="8" s="1"/>
  <c r="F13" i="5"/>
  <c r="F80" i="5" s="1"/>
  <c r="J13" i="5"/>
  <c r="AL44" i="18"/>
  <c r="AY44" i="7"/>
  <c r="AP68" i="7" s="1"/>
  <c r="AQ68" i="7" s="1"/>
  <c r="AR68" i="7" s="1"/>
  <c r="D182" i="13"/>
  <c r="G182" i="13" s="1"/>
  <c r="F182" i="13"/>
  <c r="B233" i="13"/>
  <c r="AL41" i="18"/>
  <c r="AY41" i="7"/>
  <c r="AP65" i="7" s="1"/>
  <c r="AQ65" i="7" s="1"/>
  <c r="AR65" i="7" s="1"/>
  <c r="AS68" i="7"/>
  <c r="AS43" i="18"/>
  <c r="AX105" i="18" s="1"/>
  <c r="AY105" i="18" s="1"/>
  <c r="AZ105" i="18" s="1"/>
  <c r="BA105" i="18" s="1"/>
  <c r="M41" i="9"/>
  <c r="Y103" i="9" s="1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33" i="18"/>
  <c r="AM26" i="18"/>
  <c r="AM34" i="18"/>
  <c r="AM32" i="18"/>
  <c r="M20" i="5"/>
  <c r="R20" i="5"/>
  <c r="W40" i="4" s="1"/>
  <c r="H67" i="8" s="1"/>
  <c r="V40" i="4"/>
  <c r="G67" i="8" s="1"/>
  <c r="X40" i="4"/>
  <c r="I67" i="8" s="1"/>
  <c r="J60" i="8"/>
  <c r="M60" i="8" s="1"/>
  <c r="AA33" i="4"/>
  <c r="AY36" i="7"/>
  <c r="AP60" i="7" s="1"/>
  <c r="AQ60" i="7" s="1"/>
  <c r="AR60" i="7" s="1"/>
  <c r="AL36" i="18"/>
  <c r="O172" i="13"/>
  <c r="R172" i="13" s="1"/>
  <c r="F174" i="13"/>
  <c r="U168" i="13"/>
  <c r="X168" i="13" s="1"/>
  <c r="I173" i="13"/>
  <c r="L173" i="13" s="1"/>
  <c r="D174" i="13"/>
  <c r="B225" i="13"/>
  <c r="AM40" i="18"/>
  <c r="AQ40" i="18"/>
  <c r="AX40" i="18" s="1"/>
  <c r="AY40" i="18" s="1"/>
  <c r="AZ40" i="18" s="1"/>
  <c r="BA40" i="18" s="1"/>
  <c r="L16" i="5"/>
  <c r="F16" i="5"/>
  <c r="J16" i="5"/>
  <c r="L14" i="5"/>
  <c r="L17" i="5"/>
  <c r="F17" i="5"/>
  <c r="J17" i="5"/>
  <c r="AM41" i="18"/>
  <c r="AQ41" i="18"/>
  <c r="AX41" i="18" s="1"/>
  <c r="AY41" i="18" s="1"/>
  <c r="AZ41" i="18" s="1"/>
  <c r="BA41" i="18" s="1"/>
  <c r="AM39" i="18"/>
  <c r="AQ39" i="18"/>
  <c r="AX39" i="18" s="1"/>
  <c r="AY39" i="18" s="1"/>
  <c r="AZ39" i="18" s="1"/>
  <c r="BA39" i="18" s="1"/>
  <c r="C157" i="5"/>
  <c r="H146" i="5"/>
  <c r="DD44" i="9"/>
  <c r="DC47" i="9"/>
  <c r="DC51" i="9" s="1"/>
  <c r="L50" i="10"/>
  <c r="C178" i="13"/>
  <c r="L37" i="9"/>
  <c r="J50" i="10"/>
  <c r="AT39" i="7"/>
  <c r="B39" i="12"/>
  <c r="E39" i="12" s="1"/>
  <c r="AA36" i="4"/>
  <c r="J63" i="8"/>
  <c r="M63" i="8" s="1"/>
  <c r="F15" i="5"/>
  <c r="L15" i="5"/>
  <c r="J15" i="5"/>
  <c r="AQ37" i="18"/>
  <c r="AX37" i="18" s="1"/>
  <c r="AY37" i="18" s="1"/>
  <c r="AZ37" i="18" s="1"/>
  <c r="BA37" i="18" s="1"/>
  <c r="AM37" i="18"/>
  <c r="F18" i="5"/>
  <c r="L18" i="5"/>
  <c r="J18" i="5"/>
  <c r="J64" i="8"/>
  <c r="M64" i="8" s="1"/>
  <c r="AA37" i="4"/>
  <c r="L51" i="10"/>
  <c r="C179" i="13"/>
  <c r="L38" i="9"/>
  <c r="J51" i="10"/>
  <c r="B40" i="12"/>
  <c r="E40" i="12" s="1"/>
  <c r="AT40" i="7"/>
  <c r="AA34" i="4"/>
  <c r="J61" i="8"/>
  <c r="M61" i="8" s="1"/>
  <c r="M45" i="10"/>
  <c r="N45" i="10" s="1"/>
  <c r="AR34" i="18" s="1"/>
  <c r="P44" i="10"/>
  <c r="Q44" i="10" s="1"/>
  <c r="AY39" i="7"/>
  <c r="AP63" i="7" s="1"/>
  <c r="AQ63" i="7" s="1"/>
  <c r="AR63" i="7" s="1"/>
  <c r="AL39" i="18"/>
  <c r="J65" i="8"/>
  <c r="M65" i="8" s="1"/>
  <c r="AA38" i="4"/>
  <c r="AQ43" i="18"/>
  <c r="AX43" i="18" s="1"/>
  <c r="AY43" i="18" s="1"/>
  <c r="AZ43" i="18" s="1"/>
  <c r="BA43" i="18" s="1"/>
  <c r="AM43" i="18"/>
  <c r="AA32" i="4"/>
  <c r="J59" i="8"/>
  <c r="M59" i="8" s="1"/>
  <c r="F19" i="5"/>
  <c r="L19" i="5"/>
  <c r="J19" i="5"/>
  <c r="AL40" i="18"/>
  <c r="AY40" i="7"/>
  <c r="AP64" i="7" s="1"/>
  <c r="AQ64" i="7" s="1"/>
  <c r="AR64" i="7" s="1"/>
  <c r="DG33" i="9"/>
  <c r="DG43" i="9" s="1"/>
  <c r="DG44" i="9" s="1"/>
  <c r="DC52" i="9" s="1"/>
  <c r="DF43" i="9"/>
  <c r="DF44" i="9" s="1"/>
  <c r="DC50" i="9" s="1"/>
  <c r="DC53" i="9" s="1"/>
  <c r="DH33" i="9"/>
  <c r="DH43" i="9" s="1"/>
  <c r="DH44" i="9" s="1"/>
  <c r="DC49" i="9" s="1"/>
  <c r="L48" i="10"/>
  <c r="C176" i="13"/>
  <c r="L35" i="9"/>
  <c r="J48" i="10"/>
  <c r="B37" i="12"/>
  <c r="E37" i="12" s="1"/>
  <c r="AT37" i="7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S59" i="7"/>
  <c r="AA35" i="4"/>
  <c r="J62" i="8"/>
  <c r="M62" i="8" s="1"/>
  <c r="AY38" i="7"/>
  <c r="AP62" i="7" s="1"/>
  <c r="AQ62" i="7" s="1"/>
  <c r="AR62" i="7" s="1"/>
  <c r="AL38" i="18"/>
  <c r="J66" i="8"/>
  <c r="M66" i="8" s="1"/>
  <c r="AA39" i="4"/>
  <c r="AS35" i="18"/>
  <c r="AX97" i="18" s="1"/>
  <c r="M33" i="9"/>
  <c r="T40" i="4"/>
  <c r="D21" i="17"/>
  <c r="AM44" i="18"/>
  <c r="AQ44" i="18"/>
  <c r="AX44" i="18" s="1"/>
  <c r="AY44" i="18" s="1"/>
  <c r="AZ44" i="18" s="1"/>
  <c r="BA44" i="18" s="1"/>
  <c r="AY37" i="7"/>
  <c r="AP61" i="7" s="1"/>
  <c r="AQ61" i="7" s="1"/>
  <c r="AR61" i="7" s="1"/>
  <c r="AL37" i="18"/>
  <c r="AM42" i="18"/>
  <c r="AQ42" i="18"/>
  <c r="AX42" i="18" s="1"/>
  <c r="AY42" i="18" s="1"/>
  <c r="AZ42" i="18" s="1"/>
  <c r="BA42" i="18" s="1"/>
  <c r="DS33" i="9"/>
  <c r="DZ33" i="9" s="1"/>
  <c r="EE33" i="9" s="1"/>
  <c r="EJ33" i="9" s="1"/>
  <c r="Y33" i="9"/>
  <c r="T30" i="9"/>
  <c r="ED33" i="9"/>
  <c r="J33" i="9"/>
  <c r="EI33" i="9"/>
  <c r="DY33" i="9"/>
  <c r="DR33" i="9"/>
  <c r="J58" i="8"/>
  <c r="M58" i="8" s="1"/>
  <c r="AA31" i="4"/>
  <c r="AY35" i="18"/>
  <c r="AQ36" i="18"/>
  <c r="AX36" i="18" s="1"/>
  <c r="AY36" i="18" s="1"/>
  <c r="AZ36" i="18" s="1"/>
  <c r="BA36" i="18" s="1"/>
  <c r="AM36" i="18"/>
  <c r="L47" i="10"/>
  <c r="M46" i="10" s="1"/>
  <c r="C175" i="13"/>
  <c r="L34" i="9"/>
  <c r="J47" i="10"/>
  <c r="AT36" i="7"/>
  <c r="B36" i="12"/>
  <c r="E36" i="12" s="1"/>
  <c r="V32" i="4" l="1"/>
  <c r="G59" i="8" s="1"/>
  <c r="R12" i="5"/>
  <c r="W32" i="4" s="1"/>
  <c r="H59" i="8" s="1"/>
  <c r="M12" i="5"/>
  <c r="V33" i="4"/>
  <c r="G60" i="8" s="1"/>
  <c r="O53" i="10"/>
  <c r="AT42" i="18" s="1"/>
  <c r="BH104" i="18" s="1"/>
  <c r="BI104" i="18" s="1"/>
  <c r="BJ104" i="18" s="1"/>
  <c r="BK104" i="18" s="1"/>
  <c r="M13" i="5"/>
  <c r="R11" i="5"/>
  <c r="W31" i="4" s="1"/>
  <c r="H58" i="8" s="1"/>
  <c r="X33" i="4"/>
  <c r="I60" i="8" s="1"/>
  <c r="X31" i="4"/>
  <c r="I58" i="8" s="1"/>
  <c r="AZ20" i="7"/>
  <c r="O41" i="9"/>
  <c r="P41" i="9" s="1"/>
  <c r="CB41" i="9" s="1"/>
  <c r="CC41" i="9" s="1"/>
  <c r="CD41" i="9" s="1"/>
  <c r="CE41" i="9" s="1"/>
  <c r="V31" i="4"/>
  <c r="G58" i="8" s="1"/>
  <c r="D15" i="17"/>
  <c r="T34" i="4"/>
  <c r="Y164" i="9"/>
  <c r="Z164" i="9" s="1"/>
  <c r="AA164" i="9" s="1"/>
  <c r="AB164" i="9" s="1"/>
  <c r="Z40" i="9"/>
  <c r="AA40" i="9" s="1"/>
  <c r="AB40" i="9" s="1"/>
  <c r="O40" i="9"/>
  <c r="S42" i="9"/>
  <c r="BR104" i="18"/>
  <c r="BB103" i="18"/>
  <c r="BC103" i="18"/>
  <c r="O42" i="9"/>
  <c r="Z39" i="9"/>
  <c r="AA39" i="9" s="1"/>
  <c r="AB39" i="9" s="1"/>
  <c r="Y163" i="9"/>
  <c r="Z163" i="9" s="1"/>
  <c r="AA163" i="9" s="1"/>
  <c r="AB163" i="9" s="1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Z42" i="9"/>
  <c r="AA42" i="9" s="1"/>
  <c r="AB42" i="9" s="1"/>
  <c r="Y166" i="9"/>
  <c r="Z166" i="9" s="1"/>
  <c r="AA166" i="9" s="1"/>
  <c r="AB166" i="9" s="1"/>
  <c r="D233" i="13"/>
  <c r="G233" i="13" s="1"/>
  <c r="G273" i="13" s="1"/>
  <c r="F233" i="13"/>
  <c r="F273" i="13" s="1"/>
  <c r="E233" i="13"/>
  <c r="F234" i="13"/>
  <c r="F274" i="13" s="1"/>
  <c r="E234" i="13"/>
  <c r="D234" i="13"/>
  <c r="G234" i="13" s="1"/>
  <c r="G274" i="13" s="1"/>
  <c r="T32" i="4"/>
  <c r="D13" i="17"/>
  <c r="E231" i="13"/>
  <c r="F231" i="13"/>
  <c r="F271" i="13" s="1"/>
  <c r="D231" i="13"/>
  <c r="G231" i="13" s="1"/>
  <c r="G271" i="13" s="1"/>
  <c r="O54" i="10"/>
  <c r="AT43" i="18" s="1"/>
  <c r="BH105" i="18" s="1"/>
  <c r="BB104" i="18"/>
  <c r="BC104" i="18"/>
  <c r="T31" i="4"/>
  <c r="D12" i="17"/>
  <c r="J181" i="13"/>
  <c r="M181" i="13" s="1"/>
  <c r="G180" i="13"/>
  <c r="DR103" i="9"/>
  <c r="DS103" i="9"/>
  <c r="DZ103" i="9" s="1"/>
  <c r="EE103" i="9" s="1"/>
  <c r="EJ103" i="9" s="1"/>
  <c r="ED103" i="9"/>
  <c r="Y227" i="9"/>
  <c r="Z227" i="9" s="1"/>
  <c r="AA227" i="9" s="1"/>
  <c r="AB227" i="9" s="1"/>
  <c r="EI103" i="9"/>
  <c r="DY103" i="9"/>
  <c r="Z103" i="9"/>
  <c r="AA103" i="9" s="1"/>
  <c r="AB103" i="9" s="1"/>
  <c r="G181" i="13"/>
  <c r="J182" i="13"/>
  <c r="M182" i="13" s="1"/>
  <c r="Y165" i="9"/>
  <c r="Z165" i="9" s="1"/>
  <c r="AA165" i="9" s="1"/>
  <c r="AB165" i="9" s="1"/>
  <c r="Z41" i="9"/>
  <c r="AA41" i="9" s="1"/>
  <c r="AB41" i="9" s="1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5" i="18"/>
  <c r="BC105" i="18"/>
  <c r="D14" i="17"/>
  <c r="T33" i="4"/>
  <c r="D232" i="13"/>
  <c r="G232" i="13" s="1"/>
  <c r="G272" i="13" s="1"/>
  <c r="E232" i="13"/>
  <c r="F232" i="13"/>
  <c r="F272" i="13" s="1"/>
  <c r="BB106" i="18"/>
  <c r="BC106" i="18"/>
  <c r="AZ23" i="7"/>
  <c r="O45" i="10"/>
  <c r="AT34" i="18" s="1"/>
  <c r="BH96" i="18" s="1"/>
  <c r="BI96" i="18" s="1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O175" i="13"/>
  <c r="R175" i="13" s="1"/>
  <c r="R44" i="10"/>
  <c r="AJ2" i="18"/>
  <c r="AJ3" i="18" s="1"/>
  <c r="N46" i="10"/>
  <c r="AR35" i="18" s="1"/>
  <c r="O46" i="10"/>
  <c r="AT35" i="18" s="1"/>
  <c r="BH97" i="18" s="1"/>
  <c r="AS38" i="18"/>
  <c r="AX100" i="18" s="1"/>
  <c r="AY100" i="18" s="1"/>
  <c r="AZ100" i="18" s="1"/>
  <c r="BA100" i="18" s="1"/>
  <c r="M36" i="9"/>
  <c r="Y98" i="9" s="1"/>
  <c r="I177" i="13"/>
  <c r="L177" i="13" s="1"/>
  <c r="F176" i="13"/>
  <c r="O179" i="13"/>
  <c r="R179" i="13" s="1"/>
  <c r="D176" i="13"/>
  <c r="B227" i="13"/>
  <c r="D179" i="13"/>
  <c r="F179" i="13"/>
  <c r="I180" i="13"/>
  <c r="L180" i="13" s="1"/>
  <c r="B230" i="13"/>
  <c r="T35" i="4"/>
  <c r="D16" i="17"/>
  <c r="U171" i="13"/>
  <c r="X171" i="13" s="1"/>
  <c r="DS36" i="9"/>
  <c r="DZ36" i="9" s="1"/>
  <c r="EE36" i="9" s="1"/>
  <c r="EJ36" i="9" s="1"/>
  <c r="ED36" i="9"/>
  <c r="EI36" i="9"/>
  <c r="DY36" i="9"/>
  <c r="DR36" i="9"/>
  <c r="Y36" i="9"/>
  <c r="J36" i="9"/>
  <c r="P51" i="10"/>
  <c r="Q51" i="10" s="1"/>
  <c r="M49" i="10"/>
  <c r="N49" i="10" s="1"/>
  <c r="AR38" i="18" s="1"/>
  <c r="X35" i="4"/>
  <c r="I62" i="8" s="1"/>
  <c r="M15" i="5"/>
  <c r="R15" i="5"/>
  <c r="W35" i="4" s="1"/>
  <c r="H62" i="8" s="1"/>
  <c r="V35" i="4"/>
  <c r="G62" i="8" s="1"/>
  <c r="T37" i="4"/>
  <c r="D18" i="17"/>
  <c r="X36" i="4"/>
  <c r="I63" i="8" s="1"/>
  <c r="M16" i="5"/>
  <c r="R16" i="5"/>
  <c r="W36" i="4" s="1"/>
  <c r="H63" i="8" s="1"/>
  <c r="V36" i="4"/>
  <c r="G63" i="8" s="1"/>
  <c r="U169" i="13"/>
  <c r="X169" i="13" s="1"/>
  <c r="BC44" i="18"/>
  <c r="BB44" i="18"/>
  <c r="O180" i="13"/>
  <c r="R180" i="13" s="1"/>
  <c r="F177" i="13"/>
  <c r="D177" i="13"/>
  <c r="I178" i="13"/>
  <c r="L178" i="13" s="1"/>
  <c r="B228" i="13"/>
  <c r="P54" i="10"/>
  <c r="M52" i="10"/>
  <c r="N52" i="10" s="1"/>
  <c r="AR41" i="18" s="1"/>
  <c r="BB40" i="18"/>
  <c r="BC40" i="18"/>
  <c r="U170" i="13"/>
  <c r="X170" i="13" s="1"/>
  <c r="J146" i="5"/>
  <c r="H157" i="5"/>
  <c r="R17" i="5"/>
  <c r="W37" i="4" s="1"/>
  <c r="H64" i="8" s="1"/>
  <c r="V37" i="4"/>
  <c r="G64" i="8" s="1"/>
  <c r="M17" i="5"/>
  <c r="X37" i="4"/>
  <c r="I64" i="8" s="1"/>
  <c r="DR34" i="9"/>
  <c r="EI34" i="9"/>
  <c r="DS34" i="9"/>
  <c r="DZ34" i="9" s="1"/>
  <c r="EE34" i="9" s="1"/>
  <c r="EJ34" i="9" s="1"/>
  <c r="DY34" i="9"/>
  <c r="ED34" i="9"/>
  <c r="Y34" i="9"/>
  <c r="J34" i="9"/>
  <c r="S32" i="9" s="1"/>
  <c r="I176" i="13"/>
  <c r="L176" i="13" s="1"/>
  <c r="D175" i="13"/>
  <c r="P173" i="13" s="1"/>
  <c r="S173" i="13" s="1"/>
  <c r="F175" i="13"/>
  <c r="O178" i="13"/>
  <c r="R178" i="13" s="1"/>
  <c r="B226" i="13"/>
  <c r="M48" i="10"/>
  <c r="N48" i="10" s="1"/>
  <c r="AR37" i="18" s="1"/>
  <c r="P50" i="10"/>
  <c r="Q50" i="10" s="1"/>
  <c r="S31" i="9"/>
  <c r="O32" i="9"/>
  <c r="E21" i="17"/>
  <c r="G21" i="17"/>
  <c r="M50" i="10"/>
  <c r="N50" i="10" s="1"/>
  <c r="AR39" i="18" s="1"/>
  <c r="P52" i="10"/>
  <c r="Q52" i="10" s="1"/>
  <c r="DC54" i="9"/>
  <c r="DC55" i="9" s="1"/>
  <c r="BB43" i="18"/>
  <c r="BC43" i="18"/>
  <c r="M47" i="10"/>
  <c r="N47" i="10" s="1"/>
  <c r="AR36" i="18" s="1"/>
  <c r="D225" i="13"/>
  <c r="G225" i="13" s="1"/>
  <c r="G265" i="13" s="1"/>
  <c r="F225" i="13"/>
  <c r="F265" i="13" s="1"/>
  <c r="E225" i="13"/>
  <c r="U177" i="13"/>
  <c r="X177" i="13" s="1"/>
  <c r="U40" i="4"/>
  <c r="E67" i="8"/>
  <c r="F67" i="8" s="1"/>
  <c r="P47" i="10"/>
  <c r="T38" i="4"/>
  <c r="D19" i="17"/>
  <c r="BB39" i="18"/>
  <c r="BC39" i="18"/>
  <c r="G174" i="13"/>
  <c r="V168" i="13"/>
  <c r="Y168" i="13" s="1"/>
  <c r="J173" i="13"/>
  <c r="M173" i="13" s="1"/>
  <c r="P172" i="13"/>
  <c r="S172" i="13" s="1"/>
  <c r="O176" i="13"/>
  <c r="R176" i="13" s="1"/>
  <c r="CB154" i="9"/>
  <c r="AI154" i="9"/>
  <c r="P46" i="10"/>
  <c r="AS63" i="7"/>
  <c r="O173" i="13"/>
  <c r="R173" i="13" s="1"/>
  <c r="BC38" i="18"/>
  <c r="BB38" i="18"/>
  <c r="AY45" i="18"/>
  <c r="AZ35" i="18"/>
  <c r="Z33" i="9"/>
  <c r="Y157" i="9"/>
  <c r="U30" i="9"/>
  <c r="Y95" i="9"/>
  <c r="L47" i="5"/>
  <c r="P48" i="10"/>
  <c r="R18" i="5"/>
  <c r="W38" i="4" s="1"/>
  <c r="H65" i="8" s="1"/>
  <c r="M18" i="5"/>
  <c r="V38" i="4"/>
  <c r="G65" i="8" s="1"/>
  <c r="X38" i="4"/>
  <c r="I65" i="8" s="1"/>
  <c r="AS39" i="18"/>
  <c r="AX101" i="18" s="1"/>
  <c r="AY101" i="18" s="1"/>
  <c r="AZ101" i="18" s="1"/>
  <c r="BA101" i="18" s="1"/>
  <c r="M37" i="9"/>
  <c r="Y99" i="9" s="1"/>
  <c r="U176" i="13"/>
  <c r="X176" i="13" s="1"/>
  <c r="O177" i="13"/>
  <c r="R177" i="13" s="1"/>
  <c r="AX45" i="18"/>
  <c r="AY97" i="18"/>
  <c r="AS61" i="7"/>
  <c r="AS64" i="7"/>
  <c r="DR37" i="9"/>
  <c r="ED37" i="9"/>
  <c r="EI37" i="9"/>
  <c r="DY37" i="9"/>
  <c r="DS37" i="9"/>
  <c r="DZ37" i="9" s="1"/>
  <c r="EE37" i="9" s="1"/>
  <c r="EJ37" i="9" s="1"/>
  <c r="Y37" i="9"/>
  <c r="J37" i="9"/>
  <c r="I174" i="13"/>
  <c r="L174" i="13" s="1"/>
  <c r="O174" i="13"/>
  <c r="R174" i="13" s="1"/>
  <c r="AB41" i="4"/>
  <c r="AC41" i="4" s="1"/>
  <c r="AB32" i="4"/>
  <c r="AC32" i="4" s="1"/>
  <c r="AB39" i="4"/>
  <c r="AC39" i="4" s="1"/>
  <c r="AB33" i="4"/>
  <c r="AC33" i="4" s="1"/>
  <c r="AB40" i="4"/>
  <c r="AC40" i="4" s="1"/>
  <c r="AB35" i="4"/>
  <c r="AC35" i="4" s="1"/>
  <c r="AB31" i="4"/>
  <c r="AC31" i="4" s="1"/>
  <c r="AB38" i="4"/>
  <c r="AC38" i="4" s="1"/>
  <c r="AB34" i="4"/>
  <c r="AC34" i="4" s="1"/>
  <c r="AB37" i="4"/>
  <c r="AC37" i="4" s="1"/>
  <c r="AB36" i="4"/>
  <c r="AC36" i="4" s="1"/>
  <c r="AB42" i="4"/>
  <c r="AC42" i="4" s="1"/>
  <c r="T39" i="4"/>
  <c r="D20" i="17"/>
  <c r="O181" i="13"/>
  <c r="R181" i="13" s="1"/>
  <c r="F178" i="13"/>
  <c r="I179" i="13"/>
  <c r="L179" i="13" s="1"/>
  <c r="D178" i="13"/>
  <c r="B229" i="13"/>
  <c r="BC41" i="18"/>
  <c r="BB41" i="18"/>
  <c r="R14" i="5"/>
  <c r="W34" i="4" s="1"/>
  <c r="H61" i="8" s="1"/>
  <c r="M14" i="5"/>
  <c r="V34" i="4"/>
  <c r="G61" i="8" s="1"/>
  <c r="X34" i="4"/>
  <c r="I61" i="8" s="1"/>
  <c r="U173" i="13"/>
  <c r="X173" i="13" s="1"/>
  <c r="I175" i="13"/>
  <c r="L175" i="13" s="1"/>
  <c r="BC36" i="18"/>
  <c r="BB36" i="18"/>
  <c r="AS60" i="7"/>
  <c r="N67" i="8"/>
  <c r="O67" i="8" s="1"/>
  <c r="N69" i="8"/>
  <c r="O69" i="8" s="1"/>
  <c r="N59" i="8"/>
  <c r="O59" i="8" s="1"/>
  <c r="N61" i="8"/>
  <c r="O61" i="8" s="1"/>
  <c r="N62" i="8"/>
  <c r="O62" i="8" s="1"/>
  <c r="N60" i="8"/>
  <c r="O60" i="8" s="1"/>
  <c r="N65" i="8"/>
  <c r="O65" i="8" s="1"/>
  <c r="N63" i="8"/>
  <c r="O63" i="8" s="1"/>
  <c r="N64" i="8"/>
  <c r="O64" i="8" s="1"/>
  <c r="N58" i="8"/>
  <c r="O58" i="8" s="1"/>
  <c r="N68" i="8"/>
  <c r="O68" i="8" s="1"/>
  <c r="N66" i="8"/>
  <c r="O66" i="8" s="1"/>
  <c r="AS37" i="18"/>
  <c r="AX99" i="18" s="1"/>
  <c r="AY99" i="18" s="1"/>
  <c r="AZ99" i="18" s="1"/>
  <c r="BA99" i="18" s="1"/>
  <c r="M35" i="9"/>
  <c r="Y97" i="9" s="1"/>
  <c r="P45" i="10"/>
  <c r="AS40" i="18"/>
  <c r="AX102" i="18" s="1"/>
  <c r="AY102" i="18" s="1"/>
  <c r="AZ102" i="18" s="1"/>
  <c r="BA102" i="18" s="1"/>
  <c r="M38" i="9"/>
  <c r="Y100" i="9" s="1"/>
  <c r="BB37" i="18"/>
  <c r="BC37" i="18"/>
  <c r="T36" i="4"/>
  <c r="D17" i="17"/>
  <c r="U174" i="13"/>
  <c r="X174" i="13" s="1"/>
  <c r="U175" i="13"/>
  <c r="X175" i="13" s="1"/>
  <c r="BC42" i="18"/>
  <c r="BB42" i="18"/>
  <c r="AS36" i="18"/>
  <c r="AX98" i="18" s="1"/>
  <c r="AY98" i="18" s="1"/>
  <c r="AZ98" i="18" s="1"/>
  <c r="BA98" i="18" s="1"/>
  <c r="M34" i="9"/>
  <c r="Y96" i="9" s="1"/>
  <c r="AS62" i="7"/>
  <c r="EI35" i="9"/>
  <c r="ED35" i="9"/>
  <c r="DS35" i="9"/>
  <c r="DZ35" i="9" s="1"/>
  <c r="EE35" i="9" s="1"/>
  <c r="EJ35" i="9" s="1"/>
  <c r="DY35" i="9"/>
  <c r="DR35" i="9"/>
  <c r="Y35" i="9"/>
  <c r="J35" i="9"/>
  <c r="R19" i="5"/>
  <c r="W39" i="4" s="1"/>
  <c r="H66" i="8" s="1"/>
  <c r="V39" i="4"/>
  <c r="G66" i="8" s="1"/>
  <c r="X39" i="4"/>
  <c r="I66" i="8" s="1"/>
  <c r="M19" i="5"/>
  <c r="K56" i="5"/>
  <c r="P49" i="10"/>
  <c r="DY38" i="9"/>
  <c r="DS38" i="9"/>
  <c r="DZ38" i="9" s="1"/>
  <c r="EE38" i="9" s="1"/>
  <c r="EJ38" i="9" s="1"/>
  <c r="DR38" i="9"/>
  <c r="EI38" i="9"/>
  <c r="ED38" i="9"/>
  <c r="Y38" i="9"/>
  <c r="J38" i="9"/>
  <c r="M51" i="10"/>
  <c r="N51" i="10" s="1"/>
  <c r="AR40" i="18" s="1"/>
  <c r="P53" i="10"/>
  <c r="Q53" i="10" s="1"/>
  <c r="U172" i="13"/>
  <c r="X172" i="13" s="1"/>
  <c r="Q41" i="9" l="1"/>
  <c r="CB103" i="9" s="1"/>
  <c r="CC103" i="9" s="1"/>
  <c r="CD103" i="9" s="1"/>
  <c r="CE103" i="9" s="1"/>
  <c r="CF103" i="9" s="1"/>
  <c r="BR96" i="18"/>
  <c r="CB96" i="18" s="1"/>
  <c r="U33" i="4"/>
  <c r="E60" i="8"/>
  <c r="F60" i="8" s="1"/>
  <c r="AC42" i="9"/>
  <c r="AD42" i="9"/>
  <c r="AI44" i="18" s="1"/>
  <c r="E14" i="17"/>
  <c r="G14" i="17"/>
  <c r="AC102" i="9"/>
  <c r="AD102" i="9"/>
  <c r="AC227" i="9"/>
  <c r="AD227" i="9"/>
  <c r="BM104" i="18"/>
  <c r="BL104" i="18"/>
  <c r="I233" i="13"/>
  <c r="L233" i="13" s="1"/>
  <c r="J233" i="13"/>
  <c r="M233" i="13" s="1"/>
  <c r="BS104" i="18"/>
  <c r="BT104" i="18" s="1"/>
  <c r="BU104" i="18" s="1"/>
  <c r="CB104" i="18"/>
  <c r="CC104" i="18" s="1"/>
  <c r="CD104" i="18" s="1"/>
  <c r="CE104" i="18" s="1"/>
  <c r="G13" i="17"/>
  <c r="E13" i="17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BR105" i="18"/>
  <c r="BI105" i="18"/>
  <c r="BJ105" i="18" s="1"/>
  <c r="BK105" i="18" s="1"/>
  <c r="E59" i="8"/>
  <c r="F59" i="8" s="1"/>
  <c r="U32" i="4"/>
  <c r="Q40" i="9"/>
  <c r="P40" i="9"/>
  <c r="AC166" i="9"/>
  <c r="AD166" i="9"/>
  <c r="AD225" i="9"/>
  <c r="AC225" i="9"/>
  <c r="AD40" i="9"/>
  <c r="AI42" i="18" s="1"/>
  <c r="AC40" i="9"/>
  <c r="AD41" i="9"/>
  <c r="AI43" i="18" s="1"/>
  <c r="AC41" i="9"/>
  <c r="AC164" i="9"/>
  <c r="AD164" i="9"/>
  <c r="AD165" i="9"/>
  <c r="AC165" i="9"/>
  <c r="G12" i="17"/>
  <c r="H12" i="17"/>
  <c r="E12" i="17"/>
  <c r="AD101" i="9"/>
  <c r="AC101" i="9"/>
  <c r="U34" i="4"/>
  <c r="E61" i="8"/>
  <c r="F61" i="8" s="1"/>
  <c r="AD226" i="9"/>
  <c r="AC226" i="9"/>
  <c r="U31" i="4"/>
  <c r="E58" i="8"/>
  <c r="F58" i="8" s="1"/>
  <c r="AC163" i="9"/>
  <c r="AD163" i="9"/>
  <c r="E15" i="17"/>
  <c r="G15" i="17"/>
  <c r="AD228" i="9"/>
  <c r="AC228" i="9"/>
  <c r="AD39" i="9"/>
  <c r="AI41" i="18" s="1"/>
  <c r="AC39" i="9"/>
  <c r="J234" i="13"/>
  <c r="M234" i="13" s="1"/>
  <c r="I234" i="13"/>
  <c r="L234" i="13" s="1"/>
  <c r="AD104" i="9"/>
  <c r="AC104" i="9"/>
  <c r="AD103" i="9"/>
  <c r="AC103" i="9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CG41" i="9"/>
  <c r="CF41" i="9"/>
  <c r="R51" i="10"/>
  <c r="O49" i="10"/>
  <c r="AT38" i="18" s="1"/>
  <c r="BH100" i="18" s="1"/>
  <c r="BI100" i="18" s="1"/>
  <c r="BJ100" i="18" s="1"/>
  <c r="BK100" i="18" s="1"/>
  <c r="O52" i="10"/>
  <c r="AT41" i="18" s="1"/>
  <c r="BH103" i="18" s="1"/>
  <c r="BI103" i="18" s="1"/>
  <c r="BJ103" i="18" s="1"/>
  <c r="BK103" i="18" s="1"/>
  <c r="H21" i="17"/>
  <c r="O34" i="9"/>
  <c r="Q34" i="9" s="1"/>
  <c r="V170" i="13"/>
  <c r="Y170" i="13" s="1"/>
  <c r="O47" i="10"/>
  <c r="AT36" i="18" s="1"/>
  <c r="BH98" i="18" s="1"/>
  <c r="BI98" i="18" s="1"/>
  <c r="BJ98" i="18" s="1"/>
  <c r="BK98" i="18" s="1"/>
  <c r="V174" i="13"/>
  <c r="Y174" i="13" s="1"/>
  <c r="V171" i="13"/>
  <c r="Y171" i="13" s="1"/>
  <c r="O48" i="10"/>
  <c r="AT37" i="18" s="1"/>
  <c r="BH99" i="18" s="1"/>
  <c r="BI99" i="18" s="1"/>
  <c r="BJ99" i="18" s="1"/>
  <c r="BK99" i="18" s="1"/>
  <c r="F188" i="13"/>
  <c r="F193" i="13" s="1"/>
  <c r="P175" i="13"/>
  <c r="S175" i="13" s="1"/>
  <c r="J175" i="13"/>
  <c r="M175" i="13" s="1"/>
  <c r="R50" i="10"/>
  <c r="X188" i="13"/>
  <c r="X193" i="13" s="1"/>
  <c r="X185" i="13"/>
  <c r="X190" i="13" s="1"/>
  <c r="L185" i="13"/>
  <c r="L190" i="13" s="1"/>
  <c r="R186" i="13"/>
  <c r="R191" i="13" s="1"/>
  <c r="DR44" i="9"/>
  <c r="DS47" i="9" s="1"/>
  <c r="Y43" i="9"/>
  <c r="F186" i="13"/>
  <c r="F191" i="13" s="1"/>
  <c r="J174" i="13"/>
  <c r="M174" i="13" s="1"/>
  <c r="P174" i="13"/>
  <c r="S174" i="13" s="1"/>
  <c r="V169" i="13"/>
  <c r="Y169" i="13" s="1"/>
  <c r="O33" i="9"/>
  <c r="P33" i="9" s="1"/>
  <c r="Q45" i="10"/>
  <c r="R45" i="10"/>
  <c r="Z37" i="9"/>
  <c r="AA37" i="9" s="1"/>
  <c r="AB37" i="9" s="1"/>
  <c r="Y161" i="9"/>
  <c r="Z161" i="9" s="1"/>
  <c r="AA161" i="9" s="1"/>
  <c r="AB161" i="9" s="1"/>
  <c r="N25" i="5"/>
  <c r="M47" i="5"/>
  <c r="K57" i="5"/>
  <c r="K59" i="5" s="1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L187" i="13"/>
  <c r="L192" i="13" s="1"/>
  <c r="P177" i="13"/>
  <c r="S177" i="13" s="1"/>
  <c r="S33" i="9"/>
  <c r="E18" i="17"/>
  <c r="G18" i="17"/>
  <c r="F187" i="13"/>
  <c r="F192" i="13" s="1"/>
  <c r="J180" i="13"/>
  <c r="M180" i="13" s="1"/>
  <c r="G179" i="13"/>
  <c r="Y105" i="9"/>
  <c r="Y219" i="9"/>
  <c r="DS95" i="9"/>
  <c r="DR95" i="9"/>
  <c r="ED95" i="9"/>
  <c r="EI95" i="9"/>
  <c r="DY95" i="9"/>
  <c r="Z95" i="9"/>
  <c r="L186" i="13"/>
  <c r="L191" i="13" s="1"/>
  <c r="V177" i="13"/>
  <c r="Y177" i="13" s="1"/>
  <c r="S35" i="9"/>
  <c r="G175" i="13"/>
  <c r="P178" i="13"/>
  <c r="S178" i="13" s="1"/>
  <c r="J176" i="13"/>
  <c r="M176" i="13" s="1"/>
  <c r="E64" i="8"/>
  <c r="F64" i="8" s="1"/>
  <c r="U37" i="4"/>
  <c r="F185" i="13"/>
  <c r="F190" i="13" s="1"/>
  <c r="D227" i="13"/>
  <c r="G227" i="13" s="1"/>
  <c r="G267" i="13" s="1"/>
  <c r="F227" i="13"/>
  <c r="F267" i="13" s="1"/>
  <c r="E227" i="13"/>
  <c r="R49" i="10"/>
  <c r="Q49" i="10"/>
  <c r="BJ96" i="18"/>
  <c r="CB216" i="9"/>
  <c r="AI216" i="9"/>
  <c r="Q46" i="10"/>
  <c r="R46" i="10"/>
  <c r="S36" i="9"/>
  <c r="J157" i="5"/>
  <c r="G176" i="13"/>
  <c r="P179" i="13"/>
  <c r="S179" i="13" s="1"/>
  <c r="J177" i="13"/>
  <c r="M177" i="13" s="1"/>
  <c r="ED44" i="9"/>
  <c r="EE48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Z157" i="9"/>
  <c r="AJ154" i="9"/>
  <c r="BC154" i="9"/>
  <c r="BM154" i="9"/>
  <c r="AS154" i="9"/>
  <c r="U31" i="9"/>
  <c r="T31" i="9"/>
  <c r="O35" i="9"/>
  <c r="S37" i="9"/>
  <c r="DY44" i="9"/>
  <c r="DZ47" i="9" s="1"/>
  <c r="D229" i="13"/>
  <c r="G229" i="13" s="1"/>
  <c r="G269" i="13" s="1"/>
  <c r="F229" i="13"/>
  <c r="F269" i="13" s="1"/>
  <c r="E229" i="13"/>
  <c r="O51" i="10"/>
  <c r="AT40" i="18" s="1"/>
  <c r="BH102" i="18" s="1"/>
  <c r="AA33" i="9"/>
  <c r="CC154" i="9"/>
  <c r="Y158" i="9"/>
  <c r="Z158" i="9" s="1"/>
  <c r="AA158" i="9" s="1"/>
  <c r="AB158" i="9" s="1"/>
  <c r="Z34" i="9"/>
  <c r="AA34" i="9" s="1"/>
  <c r="AB34" i="9" s="1"/>
  <c r="BC98" i="18"/>
  <c r="BB98" i="18"/>
  <c r="E17" i="17"/>
  <c r="G17" i="17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P181" i="13"/>
  <c r="S181" i="13" s="1"/>
  <c r="J179" i="13"/>
  <c r="M179" i="13" s="1"/>
  <c r="G178" i="13"/>
  <c r="R53" i="10"/>
  <c r="R188" i="13"/>
  <c r="R193" i="13" s="1"/>
  <c r="E19" i="17"/>
  <c r="G19" i="17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EI44" i="9"/>
  <c r="EJ47" i="9" s="1"/>
  <c r="R185" i="13"/>
  <c r="R190" i="13" s="1"/>
  <c r="L188" i="13"/>
  <c r="L193" i="13" s="1"/>
  <c r="S41" i="9"/>
  <c r="O39" i="9"/>
  <c r="U36" i="4"/>
  <c r="E63" i="8"/>
  <c r="F63" i="8" s="1"/>
  <c r="BC101" i="18"/>
  <c r="BB101" i="18"/>
  <c r="AZ45" i="18"/>
  <c r="AX48" i="18" s="1"/>
  <c r="BA35" i="18"/>
  <c r="P176" i="13"/>
  <c r="S176" i="13" s="1"/>
  <c r="V175" i="13"/>
  <c r="Y175" i="13" s="1"/>
  <c r="E65" i="8"/>
  <c r="F65" i="8" s="1"/>
  <c r="U38" i="4"/>
  <c r="T32" i="9"/>
  <c r="U32" i="9"/>
  <c r="R187" i="13"/>
  <c r="R192" i="13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X187" i="13"/>
  <c r="X192" i="13" s="1"/>
  <c r="Z38" i="9"/>
  <c r="AA38" i="9" s="1"/>
  <c r="AB38" i="9" s="1"/>
  <c r="Y162" i="9"/>
  <c r="Z162" i="9" s="1"/>
  <c r="AA162" i="9" s="1"/>
  <c r="AB162" i="9" s="1"/>
  <c r="O36" i="9"/>
  <c r="S38" i="9"/>
  <c r="BB99" i="18"/>
  <c r="BC99" i="18"/>
  <c r="AX49" i="18"/>
  <c r="V172" i="13"/>
  <c r="Y172" i="13" s="1"/>
  <c r="Q47" i="10"/>
  <c r="R47" i="10"/>
  <c r="S34" i="9"/>
  <c r="E16" i="17"/>
  <c r="G16" i="17"/>
  <c r="O50" i="10"/>
  <c r="AT39" i="18" s="1"/>
  <c r="BH101" i="18" s="1"/>
  <c r="Z35" i="9"/>
  <c r="AA35" i="9" s="1"/>
  <c r="AB35" i="9" s="1"/>
  <c r="Y159" i="9"/>
  <c r="Z159" i="9" s="1"/>
  <c r="AA159" i="9" s="1"/>
  <c r="AB159" i="9" s="1"/>
  <c r="V176" i="13"/>
  <c r="Y176" i="13" s="1"/>
  <c r="E62" i="8"/>
  <c r="F62" i="8" s="1"/>
  <c r="U35" i="4"/>
  <c r="BB100" i="18"/>
  <c r="BC100" i="18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F228" i="13"/>
  <c r="F268" i="13" s="1"/>
  <c r="D228" i="13"/>
  <c r="G228" i="13" s="1"/>
  <c r="G268" i="13" s="1"/>
  <c r="E228" i="13"/>
  <c r="O37" i="9"/>
  <c r="S39" i="9"/>
  <c r="D230" i="13"/>
  <c r="G230" i="13" s="1"/>
  <c r="G270" i="13" s="1"/>
  <c r="F230" i="13"/>
  <c r="F270" i="13" s="1"/>
  <c r="E230" i="13"/>
  <c r="R52" i="10"/>
  <c r="E20" i="17"/>
  <c r="G20" i="17"/>
  <c r="AY107" i="18"/>
  <c r="AZ97" i="18"/>
  <c r="F226" i="13"/>
  <c r="F266" i="13" s="1"/>
  <c r="D226" i="13"/>
  <c r="G226" i="13" s="1"/>
  <c r="G266" i="13" s="1"/>
  <c r="E226" i="13"/>
  <c r="Y160" i="9"/>
  <c r="Z160" i="9" s="1"/>
  <c r="AA160" i="9" s="1"/>
  <c r="AB160" i="9" s="1"/>
  <c r="Z36" i="9"/>
  <c r="AA36" i="9" s="1"/>
  <c r="AB36" i="9" s="1"/>
  <c r="BI97" i="18"/>
  <c r="BJ97" i="18" s="1"/>
  <c r="BK97" i="18" s="1"/>
  <c r="BR97" i="18"/>
  <c r="BB102" i="18"/>
  <c r="BC102" i="18"/>
  <c r="U39" i="4"/>
  <c r="E66" i="8"/>
  <c r="F66" i="8" s="1"/>
  <c r="O38" i="9"/>
  <c r="S40" i="9"/>
  <c r="AX107" i="18"/>
  <c r="Q48" i="10"/>
  <c r="R48" i="10"/>
  <c r="V173" i="13"/>
  <c r="Y173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Q32" i="9"/>
  <c r="P32" i="9"/>
  <c r="P180" i="13"/>
  <c r="S180" i="13" s="1"/>
  <c r="G177" i="13"/>
  <c r="J178" i="13"/>
  <c r="M178" i="13" s="1"/>
  <c r="CG103" i="9" l="1"/>
  <c r="H13" i="17"/>
  <c r="BR103" i="18"/>
  <c r="CB103" i="18" s="1"/>
  <c r="CC103" i="18" s="1"/>
  <c r="CD103" i="18" s="1"/>
  <c r="CE103" i="18" s="1"/>
  <c r="BS96" i="18"/>
  <c r="BT96" i="18" s="1"/>
  <c r="BR100" i="18"/>
  <c r="CB100" i="18" s="1"/>
  <c r="CC100" i="18" s="1"/>
  <c r="CD100" i="18" s="1"/>
  <c r="CE100" i="18" s="1"/>
  <c r="BR98" i="18"/>
  <c r="CB98" i="18" s="1"/>
  <c r="CC98" i="18" s="1"/>
  <c r="CD98" i="18" s="1"/>
  <c r="CE98" i="18" s="1"/>
  <c r="DS48" i="9"/>
  <c r="DS54" i="9" s="1"/>
  <c r="G36" i="13" s="1"/>
  <c r="H14" i="17"/>
  <c r="H15" i="17"/>
  <c r="CB105" i="18"/>
  <c r="CC105" i="18" s="1"/>
  <c r="CD105" i="18" s="1"/>
  <c r="CE105" i="18" s="1"/>
  <c r="BS105" i="18"/>
  <c r="BT105" i="18" s="1"/>
  <c r="BU105" i="18" s="1"/>
  <c r="BL105" i="18"/>
  <c r="BM105" i="18"/>
  <c r="CF104" i="9"/>
  <c r="CG104" i="9"/>
  <c r="CG228" i="9"/>
  <c r="CF228" i="9"/>
  <c r="CG42" i="9"/>
  <c r="CF42" i="9"/>
  <c r="CG166" i="9"/>
  <c r="CF166" i="9"/>
  <c r="R12" i="17"/>
  <c r="CG104" i="18"/>
  <c r="CF104" i="18"/>
  <c r="F90" i="13"/>
  <c r="F120" i="13" s="1"/>
  <c r="E7" i="13" s="1"/>
  <c r="L274" i="13"/>
  <c r="E83" i="13" s="1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BV104" i="18"/>
  <c r="BW104" i="18"/>
  <c r="L90" i="13"/>
  <c r="W120" i="13" s="1"/>
  <c r="W7" i="13" s="1"/>
  <c r="M274" i="13"/>
  <c r="L83" i="13" s="1"/>
  <c r="AI102" i="9"/>
  <c r="CB102" i="9"/>
  <c r="CC102" i="9" s="1"/>
  <c r="CD102" i="9" s="1"/>
  <c r="CE102" i="9" s="1"/>
  <c r="M273" i="13"/>
  <c r="L82" i="13" s="1"/>
  <c r="L91" i="13"/>
  <c r="W121" i="13" s="1"/>
  <c r="W8" i="13" s="1"/>
  <c r="F91" i="13"/>
  <c r="F121" i="13" s="1"/>
  <c r="E8" i="13" s="1"/>
  <c r="L273" i="13"/>
  <c r="E82" i="13" s="1"/>
  <c r="BR99" i="18"/>
  <c r="BS99" i="18" s="1"/>
  <c r="BT99" i="18" s="1"/>
  <c r="BU99" i="18" s="1"/>
  <c r="P34" i="9"/>
  <c r="AS34" i="9" s="1"/>
  <c r="AT34" i="9" s="1"/>
  <c r="AU34" i="9" s="1"/>
  <c r="AV34" i="9" s="1"/>
  <c r="G188" i="13"/>
  <c r="G193" i="13" s="1"/>
  <c r="EJ48" i="9"/>
  <c r="EJ54" i="9" s="1"/>
  <c r="G39" i="13" s="1"/>
  <c r="S185" i="13"/>
  <c r="S190" i="13" s="1"/>
  <c r="H20" i="17"/>
  <c r="X186" i="13"/>
  <c r="X191" i="13" s="1"/>
  <c r="M186" i="13"/>
  <c r="M191" i="13" s="1"/>
  <c r="BH107" i="18"/>
  <c r="Q33" i="9"/>
  <c r="CB95" i="9" s="1"/>
  <c r="CC95" i="9" s="1"/>
  <c r="CD95" i="9" s="1"/>
  <c r="CE95" i="9" s="1"/>
  <c r="H17" i="17"/>
  <c r="G187" i="13"/>
  <c r="G192" i="13" s="1"/>
  <c r="U230" i="13"/>
  <c r="X230" i="13" s="1"/>
  <c r="H94" i="13" s="1"/>
  <c r="H124" i="13" s="1"/>
  <c r="G11" i="13" s="1"/>
  <c r="H16" i="17"/>
  <c r="I226" i="13"/>
  <c r="L226" i="13" s="1"/>
  <c r="F98" i="13" s="1"/>
  <c r="F128" i="13" s="1"/>
  <c r="E15" i="13" s="1"/>
  <c r="O227" i="13"/>
  <c r="R227" i="13" s="1"/>
  <c r="G97" i="13" s="1"/>
  <c r="G127" i="13" s="1"/>
  <c r="F14" i="13" s="1"/>
  <c r="V234" i="13"/>
  <c r="Y234" i="13" s="1"/>
  <c r="Y274" i="13" s="1"/>
  <c r="N83" i="13" s="1"/>
  <c r="V232" i="13"/>
  <c r="Y232" i="13" s="1"/>
  <c r="Y272" i="13" s="1"/>
  <c r="N81" i="13" s="1"/>
  <c r="I227" i="13"/>
  <c r="L227" i="13" s="1"/>
  <c r="L267" i="13" s="1"/>
  <c r="E76" i="13" s="1"/>
  <c r="U229" i="13"/>
  <c r="X229" i="13" s="1"/>
  <c r="X269" i="13" s="1"/>
  <c r="G78" i="13" s="1"/>
  <c r="O228" i="13"/>
  <c r="R228" i="13" s="1"/>
  <c r="G96" i="13" s="1"/>
  <c r="G126" i="13" s="1"/>
  <c r="F13" i="13" s="1"/>
  <c r="O229" i="13"/>
  <c r="R229" i="13" s="1"/>
  <c r="R269" i="13" s="1"/>
  <c r="F78" i="13" s="1"/>
  <c r="O226" i="13"/>
  <c r="R226" i="13" s="1"/>
  <c r="G98" i="13" s="1"/>
  <c r="G128" i="13" s="1"/>
  <c r="F15" i="13" s="1"/>
  <c r="V226" i="13"/>
  <c r="Y226" i="13" s="1"/>
  <c r="N98" i="13" s="1"/>
  <c r="Y128" i="13" s="1"/>
  <c r="Y15" i="13" s="1"/>
  <c r="U231" i="13"/>
  <c r="X231" i="13" s="1"/>
  <c r="H93" i="13" s="1"/>
  <c r="H123" i="13" s="1"/>
  <c r="G10" i="13" s="1"/>
  <c r="U234" i="13"/>
  <c r="X234" i="13" s="1"/>
  <c r="H90" i="13" s="1"/>
  <c r="H120" i="13" s="1"/>
  <c r="G7" i="13" s="1"/>
  <c r="H18" i="17"/>
  <c r="U233" i="13"/>
  <c r="X233" i="13" s="1"/>
  <c r="H91" i="13" s="1"/>
  <c r="H121" i="13" s="1"/>
  <c r="G8" i="13" s="1"/>
  <c r="V233" i="13"/>
  <c r="Y233" i="13" s="1"/>
  <c r="Y273" i="13" s="1"/>
  <c r="N82" i="13" s="1"/>
  <c r="Y187" i="13"/>
  <c r="Y192" i="13" s="1"/>
  <c r="AX53" i="18"/>
  <c r="V231" i="13"/>
  <c r="Y231" i="13" s="1"/>
  <c r="Y271" i="13" s="1"/>
  <c r="N80" i="13" s="1"/>
  <c r="AF29" i="5"/>
  <c r="B117" i="5" s="1"/>
  <c r="B10" i="19" s="1"/>
  <c r="U228" i="13"/>
  <c r="X228" i="13" s="1"/>
  <c r="H96" i="13" s="1"/>
  <c r="H126" i="13" s="1"/>
  <c r="G13" i="13" s="1"/>
  <c r="O230" i="13"/>
  <c r="R230" i="13" s="1"/>
  <c r="G94" i="13" s="1"/>
  <c r="G124" i="13" s="1"/>
  <c r="F11" i="13" s="1"/>
  <c r="J227" i="13"/>
  <c r="M227" i="13" s="1"/>
  <c r="L97" i="13" s="1"/>
  <c r="W127" i="13" s="1"/>
  <c r="W14" i="13" s="1"/>
  <c r="H19" i="17"/>
  <c r="G186" i="13"/>
  <c r="G191" i="13" s="1"/>
  <c r="P227" i="13"/>
  <c r="S227" i="13" s="1"/>
  <c r="S267" i="13" s="1"/>
  <c r="M76" i="13" s="1"/>
  <c r="G185" i="13"/>
  <c r="G190" i="13" s="1"/>
  <c r="U227" i="13"/>
  <c r="X227" i="13" s="1"/>
  <c r="X267" i="13" s="1"/>
  <c r="G76" i="13" s="1"/>
  <c r="V227" i="13"/>
  <c r="Y227" i="13" s="1"/>
  <c r="N97" i="13" s="1"/>
  <c r="Y127" i="13" s="1"/>
  <c r="Y14" i="13" s="1"/>
  <c r="I232" i="13"/>
  <c r="L232" i="13" s="1"/>
  <c r="J232" i="13"/>
  <c r="M232" i="13" s="1"/>
  <c r="DZ100" i="9"/>
  <c r="EE100" i="9" s="1"/>
  <c r="EJ100" i="9" s="1"/>
  <c r="S188" i="13"/>
  <c r="S193" i="13" s="1"/>
  <c r="BC33" i="9"/>
  <c r="BD33" i="9" s="1"/>
  <c r="BE33" i="9" s="1"/>
  <c r="BF33" i="9" s="1"/>
  <c r="BM33" i="9"/>
  <c r="BN33" i="9" s="1"/>
  <c r="BO33" i="9" s="1"/>
  <c r="BP33" i="9" s="1"/>
  <c r="AI33" i="9"/>
  <c r="AJ33" i="9" s="1"/>
  <c r="AK33" i="9" s="1"/>
  <c r="AL33" i="9" s="1"/>
  <c r="AS33" i="9"/>
  <c r="AT33" i="9" s="1"/>
  <c r="AU33" i="9" s="1"/>
  <c r="AV33" i="9" s="1"/>
  <c r="CB33" i="9"/>
  <c r="CC33" i="9" s="1"/>
  <c r="CD33" i="9" s="1"/>
  <c r="CE33" i="9" s="1"/>
  <c r="T37" i="9"/>
  <c r="U37" i="9"/>
  <c r="AC223" i="9"/>
  <c r="AD223" i="9"/>
  <c r="AD96" i="9"/>
  <c r="AC96" i="9"/>
  <c r="Z105" i="9"/>
  <c r="AA95" i="9"/>
  <c r="R83" i="5"/>
  <c r="R89" i="5" s="1"/>
  <c r="AD5" i="5"/>
  <c r="AD4" i="5"/>
  <c r="C63" i="5" s="1"/>
  <c r="C65" i="5" s="1"/>
  <c r="CB32" i="9"/>
  <c r="BM32" i="9"/>
  <c r="AI32" i="9"/>
  <c r="AS32" i="9"/>
  <c r="BC32" i="9"/>
  <c r="P228" i="13"/>
  <c r="S228" i="13" s="1"/>
  <c r="Y185" i="13"/>
  <c r="AD224" i="9"/>
  <c r="AC224" i="9"/>
  <c r="BA45" i="18"/>
  <c r="BA46" i="18" s="1"/>
  <c r="AX52" i="18" s="1"/>
  <c r="AX55" i="18" s="1"/>
  <c r="BB35" i="18"/>
  <c r="BB45" i="18" s="1"/>
  <c r="BB46" i="18" s="1"/>
  <c r="AX54" i="18" s="1"/>
  <c r="BC35" i="18"/>
  <c r="BC45" i="18" s="1"/>
  <c r="BC46" i="18" s="1"/>
  <c r="AX51" i="18" s="1"/>
  <c r="CD154" i="9"/>
  <c r="P35" i="9"/>
  <c r="Q35" i="9"/>
  <c r="AC99" i="9"/>
  <c r="AD99" i="9"/>
  <c r="AJ216" i="9"/>
  <c r="AS216" i="9"/>
  <c r="BC216" i="9"/>
  <c r="BM216" i="9"/>
  <c r="DY106" i="9"/>
  <c r="AC161" i="9"/>
  <c r="AD161" i="9"/>
  <c r="AC100" i="9"/>
  <c r="AD100" i="9"/>
  <c r="DZ97" i="9"/>
  <c r="EE97" i="9" s="1"/>
  <c r="EJ97" i="9" s="1"/>
  <c r="CB155" i="9"/>
  <c r="AI155" i="9"/>
  <c r="CC216" i="9"/>
  <c r="EI106" i="9"/>
  <c r="AD37" i="9"/>
  <c r="AI39" i="18" s="1"/>
  <c r="AC37" i="9"/>
  <c r="V230" i="13"/>
  <c r="Y230" i="13" s="1"/>
  <c r="F99" i="13"/>
  <c r="F129" i="13" s="1"/>
  <c r="E16" i="13" s="1"/>
  <c r="L265" i="13"/>
  <c r="E74" i="13" s="1"/>
  <c r="P229" i="13"/>
  <c r="S229" i="13" s="1"/>
  <c r="V228" i="13"/>
  <c r="Y228" i="13" s="1"/>
  <c r="AZ107" i="18"/>
  <c r="AX110" i="18" s="1"/>
  <c r="AU110" i="18" s="1"/>
  <c r="BA97" i="18"/>
  <c r="AC97" i="9"/>
  <c r="AD97" i="9"/>
  <c r="Z43" i="9"/>
  <c r="CB217" i="9"/>
  <c r="CC217" i="9" s="1"/>
  <c r="CD217" i="9" s="1"/>
  <c r="CE217" i="9" s="1"/>
  <c r="AI217" i="9"/>
  <c r="BK96" i="18"/>
  <c r="T35" i="9"/>
  <c r="U35" i="9"/>
  <c r="ED106" i="9"/>
  <c r="AX111" i="18"/>
  <c r="U39" i="9"/>
  <c r="T39" i="9"/>
  <c r="T34" i="9"/>
  <c r="U34" i="9"/>
  <c r="U38" i="9"/>
  <c r="T38" i="9"/>
  <c r="AC221" i="9"/>
  <c r="AD221" i="9"/>
  <c r="AB33" i="9"/>
  <c r="AA43" i="9"/>
  <c r="Y46" i="9" s="1"/>
  <c r="AT154" i="9"/>
  <c r="M188" i="13"/>
  <c r="M193" i="13" s="1"/>
  <c r="BL98" i="18"/>
  <c r="BM98" i="18"/>
  <c r="DR106" i="9"/>
  <c r="DS109" i="9" s="1"/>
  <c r="S265" i="13"/>
  <c r="M74" i="13" s="1"/>
  <c r="M99" i="13"/>
  <c r="X129" i="13" s="1"/>
  <c r="X16" i="13" s="1"/>
  <c r="V229" i="13"/>
  <c r="Y229" i="13" s="1"/>
  <c r="U232" i="13"/>
  <c r="X232" i="13" s="1"/>
  <c r="J226" i="13"/>
  <c r="M226" i="13" s="1"/>
  <c r="CB97" i="18"/>
  <c r="CC97" i="18" s="1"/>
  <c r="CD97" i="18" s="1"/>
  <c r="CE97" i="18" s="1"/>
  <c r="BS97" i="18"/>
  <c r="BT97" i="18" s="1"/>
  <c r="BU97" i="18" s="1"/>
  <c r="P37" i="9"/>
  <c r="Q37" i="9"/>
  <c r="S186" i="13"/>
  <c r="S191" i="13" s="1"/>
  <c r="P36" i="9"/>
  <c r="Q36" i="9"/>
  <c r="AP330" i="7"/>
  <c r="DC57" i="9"/>
  <c r="BI102" i="18"/>
  <c r="BJ102" i="18" s="1"/>
  <c r="BK102" i="18" s="1"/>
  <c r="BR102" i="18"/>
  <c r="BN154" i="9"/>
  <c r="O232" i="13"/>
  <c r="R232" i="13" s="1"/>
  <c r="J229" i="13"/>
  <c r="M229" i="13" s="1"/>
  <c r="I229" i="13"/>
  <c r="L229" i="13" s="1"/>
  <c r="P232" i="13"/>
  <c r="S232" i="13" s="1"/>
  <c r="DZ95" i="9"/>
  <c r="EE95" i="9" s="1"/>
  <c r="EJ95" i="9" s="1"/>
  <c r="EE47" i="9"/>
  <c r="EE54" i="9" s="1"/>
  <c r="G38" i="13" s="1"/>
  <c r="G99" i="13"/>
  <c r="G129" i="13" s="1"/>
  <c r="F16" i="13" s="1"/>
  <c r="R265" i="13"/>
  <c r="F74" i="13" s="1"/>
  <c r="U40" i="9"/>
  <c r="T40" i="9"/>
  <c r="BL97" i="18"/>
  <c r="BM97" i="18"/>
  <c r="I230" i="13"/>
  <c r="L230" i="13" s="1"/>
  <c r="J230" i="13"/>
  <c r="M230" i="13" s="1"/>
  <c r="P233" i="13"/>
  <c r="S233" i="13" s="1"/>
  <c r="O233" i="13"/>
  <c r="R233" i="13" s="1"/>
  <c r="S187" i="13"/>
  <c r="S192" i="13" s="1"/>
  <c r="AD162" i="9"/>
  <c r="AC162" i="9"/>
  <c r="BL100" i="18"/>
  <c r="BM100" i="18"/>
  <c r="J231" i="13"/>
  <c r="M231" i="13" s="1"/>
  <c r="I231" i="13"/>
  <c r="L231" i="13" s="1"/>
  <c r="P234" i="13"/>
  <c r="S234" i="13" s="1"/>
  <c r="O234" i="13"/>
  <c r="R234" i="13" s="1"/>
  <c r="BD154" i="9"/>
  <c r="Y229" i="9"/>
  <c r="Z219" i="9"/>
  <c r="AD36" i="9"/>
  <c r="AI38" i="18" s="1"/>
  <c r="AC36" i="9"/>
  <c r="Y188" i="13"/>
  <c r="Y193" i="13" s="1"/>
  <c r="AC38" i="9"/>
  <c r="AD38" i="9"/>
  <c r="AI40" i="18" s="1"/>
  <c r="CB218" i="9"/>
  <c r="CC218" i="9" s="1"/>
  <c r="CD218" i="9" s="1"/>
  <c r="CE218" i="9" s="1"/>
  <c r="AI218" i="9"/>
  <c r="AK154" i="9"/>
  <c r="DZ96" i="9"/>
  <c r="EE96" i="9" s="1"/>
  <c r="EJ96" i="9" s="1"/>
  <c r="DZ48" i="9"/>
  <c r="DZ54" i="9" s="1"/>
  <c r="G37" i="13" s="1"/>
  <c r="U33" i="9"/>
  <c r="T33" i="9"/>
  <c r="H99" i="13"/>
  <c r="H129" i="13" s="1"/>
  <c r="G16" i="13" s="1"/>
  <c r="X265" i="13"/>
  <c r="G74" i="13" s="1"/>
  <c r="AC160" i="9"/>
  <c r="AD160" i="9"/>
  <c r="AD159" i="9"/>
  <c r="AC159" i="9"/>
  <c r="CB156" i="9"/>
  <c r="CC156" i="9" s="1"/>
  <c r="CD156" i="9" s="1"/>
  <c r="CE156" i="9" s="1"/>
  <c r="AI156" i="9"/>
  <c r="AD220" i="9"/>
  <c r="AC220" i="9"/>
  <c r="L65" i="5"/>
  <c r="L64" i="5"/>
  <c r="CB96" i="9"/>
  <c r="CC96" i="9" s="1"/>
  <c r="CD96" i="9" s="1"/>
  <c r="CE96" i="9" s="1"/>
  <c r="AI96" i="9"/>
  <c r="P38" i="9"/>
  <c r="Q38" i="9"/>
  <c r="U226" i="13"/>
  <c r="X226" i="13" s="1"/>
  <c r="BL103" i="18"/>
  <c r="BM103" i="18"/>
  <c r="M185" i="13"/>
  <c r="M190" i="13" s="1"/>
  <c r="AC35" i="9"/>
  <c r="AD35" i="9"/>
  <c r="AI37" i="18" s="1"/>
  <c r="AY46" i="18"/>
  <c r="DZ98" i="9"/>
  <c r="EE98" i="9" s="1"/>
  <c r="EJ98" i="9" s="1"/>
  <c r="P39" i="9"/>
  <c r="Q39" i="9"/>
  <c r="AC34" i="9"/>
  <c r="AD34" i="9"/>
  <c r="AI36" i="18" s="1"/>
  <c r="AA157" i="9"/>
  <c r="Z167" i="9"/>
  <c r="CC96" i="18"/>
  <c r="H159" i="5"/>
  <c r="H161" i="5" s="1"/>
  <c r="G65" i="5"/>
  <c r="CB94" i="9"/>
  <c r="AI94" i="9"/>
  <c r="P230" i="13"/>
  <c r="S230" i="13" s="1"/>
  <c r="Y265" i="13"/>
  <c r="N74" i="13" s="1"/>
  <c r="N99" i="13"/>
  <c r="Y129" i="13" s="1"/>
  <c r="Y16" i="13" s="1"/>
  <c r="P226" i="13"/>
  <c r="S226" i="13" s="1"/>
  <c r="P231" i="13"/>
  <c r="S231" i="13" s="1"/>
  <c r="O231" i="13"/>
  <c r="R231" i="13" s="1"/>
  <c r="I228" i="13"/>
  <c r="L228" i="13" s="1"/>
  <c r="J228" i="13"/>
  <c r="M228" i="13" s="1"/>
  <c r="M187" i="13"/>
  <c r="M192" i="13" s="1"/>
  <c r="BI101" i="18"/>
  <c r="BJ101" i="18" s="1"/>
  <c r="BK101" i="18" s="1"/>
  <c r="BR101" i="18"/>
  <c r="AC98" i="9"/>
  <c r="AD98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AC158" i="9"/>
  <c r="AD158" i="9"/>
  <c r="BM99" i="18"/>
  <c r="BL99" i="18"/>
  <c r="Y167" i="9"/>
  <c r="T36" i="9"/>
  <c r="U36" i="9"/>
  <c r="C117" i="5"/>
  <c r="AE28" i="5"/>
  <c r="AF28" i="5" s="1"/>
  <c r="B118" i="5" s="1"/>
  <c r="L99" i="13"/>
  <c r="W129" i="13" s="1"/>
  <c r="W16" i="13" s="1"/>
  <c r="M265" i="13"/>
  <c r="L74" i="13" s="1"/>
  <c r="AC222" i="9"/>
  <c r="AD222" i="9"/>
  <c r="DZ99" i="9"/>
  <c r="EE99" i="9" s="1"/>
  <c r="EJ99" i="9" s="1"/>
  <c r="BS103" i="18" l="1"/>
  <c r="BT103" i="18" s="1"/>
  <c r="BU103" i="18" s="1"/>
  <c r="CB34" i="9"/>
  <c r="CC34" i="9" s="1"/>
  <c r="CD34" i="9" s="1"/>
  <c r="CE34" i="9" s="1"/>
  <c r="CF34" i="9" s="1"/>
  <c r="BS98" i="18"/>
  <c r="BT98" i="18" s="1"/>
  <c r="BU98" i="18" s="1"/>
  <c r="BV98" i="18" s="1"/>
  <c r="BC34" i="9"/>
  <c r="BD34" i="9" s="1"/>
  <c r="BE34" i="9" s="1"/>
  <c r="BF34" i="9" s="1"/>
  <c r="BH34" i="9" s="1"/>
  <c r="AI34" i="9"/>
  <c r="AJ34" i="9" s="1"/>
  <c r="AK34" i="9" s="1"/>
  <c r="AL34" i="9" s="1"/>
  <c r="AN34" i="9" s="1"/>
  <c r="BM34" i="9"/>
  <c r="BN34" i="9" s="1"/>
  <c r="BO34" i="9" s="1"/>
  <c r="BP34" i="9" s="1"/>
  <c r="BQ34" i="9" s="1"/>
  <c r="G95" i="13"/>
  <c r="G125" i="13" s="1"/>
  <c r="F12" i="13" s="1"/>
  <c r="BS100" i="18"/>
  <c r="BT100" i="18" s="1"/>
  <c r="BU100" i="18" s="1"/>
  <c r="BW100" i="18" s="1"/>
  <c r="AX40" i="9"/>
  <c r="AW40" i="9"/>
  <c r="CF40" i="9"/>
  <c r="CG40" i="9"/>
  <c r="AM40" i="9"/>
  <c r="AN40" i="9"/>
  <c r="BG40" i="9"/>
  <c r="BH40" i="9"/>
  <c r="CF102" i="9"/>
  <c r="CG102" i="9"/>
  <c r="CB99" i="18"/>
  <c r="CC99" i="18" s="1"/>
  <c r="CD99" i="18" s="1"/>
  <c r="CE99" i="18" s="1"/>
  <c r="CF99" i="18" s="1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R13" i="17"/>
  <c r="BW105" i="18"/>
  <c r="BV105" i="18"/>
  <c r="BR40" i="9"/>
  <c r="BQ40" i="9"/>
  <c r="CG105" i="18"/>
  <c r="CF105" i="18"/>
  <c r="BR107" i="18"/>
  <c r="N93" i="13"/>
  <c r="Y123" i="13" s="1"/>
  <c r="Y10" i="13" s="1"/>
  <c r="AI95" i="9"/>
  <c r="BC95" i="9" s="1"/>
  <c r="BD95" i="9" s="1"/>
  <c r="BE95" i="9" s="1"/>
  <c r="BF95" i="9" s="1"/>
  <c r="X274" i="13"/>
  <c r="G83" i="13" s="1"/>
  <c r="X268" i="13"/>
  <c r="G77" i="13" s="1"/>
  <c r="H95" i="13"/>
  <c r="H125" i="13" s="1"/>
  <c r="G12" i="13" s="1"/>
  <c r="B10" i="16"/>
  <c r="M97" i="13"/>
  <c r="X127" i="13" s="1"/>
  <c r="X14" i="13" s="1"/>
  <c r="L266" i="13"/>
  <c r="E75" i="13" s="1"/>
  <c r="X271" i="13"/>
  <c r="G80" i="13" s="1"/>
  <c r="X270" i="13"/>
  <c r="G79" i="13" s="1"/>
  <c r="R267" i="13"/>
  <c r="F76" i="13" s="1"/>
  <c r="DS110" i="9"/>
  <c r="DS116" i="9" s="1"/>
  <c r="Y36" i="13" s="1"/>
  <c r="N91" i="13"/>
  <c r="Y121" i="13" s="1"/>
  <c r="Y8" i="13" s="1"/>
  <c r="N90" i="13"/>
  <c r="Y120" i="13" s="1"/>
  <c r="Y7" i="13" s="1"/>
  <c r="H97" i="13"/>
  <c r="H127" i="13" s="1"/>
  <c r="G14" i="13" s="1"/>
  <c r="N92" i="13"/>
  <c r="Y122" i="13" s="1"/>
  <c r="Y9" i="13" s="1"/>
  <c r="Z37" i="10"/>
  <c r="E117" i="5"/>
  <c r="F97" i="13"/>
  <c r="F127" i="13" s="1"/>
  <c r="E14" i="13" s="1"/>
  <c r="R268" i="13"/>
  <c r="F77" i="13" s="1"/>
  <c r="Y267" i="13"/>
  <c r="N76" i="13" s="1"/>
  <c r="X273" i="13"/>
  <c r="G82" i="13" s="1"/>
  <c r="R270" i="13"/>
  <c r="F79" i="13" s="1"/>
  <c r="R266" i="13"/>
  <c r="F75" i="13" s="1"/>
  <c r="Y266" i="13"/>
  <c r="N75" i="13" s="1"/>
  <c r="M267" i="13"/>
  <c r="L76" i="13" s="1"/>
  <c r="AY108" i="18"/>
  <c r="EJ109" i="9"/>
  <c r="L66" i="5"/>
  <c r="EJ110" i="9"/>
  <c r="Z36" i="10"/>
  <c r="B11" i="19"/>
  <c r="B11" i="16"/>
  <c r="CG227" i="9"/>
  <c r="CF227" i="9"/>
  <c r="L268" i="13"/>
  <c r="E77" i="13" s="1"/>
  <c r="F96" i="13"/>
  <c r="F126" i="13" s="1"/>
  <c r="E13" i="13" s="1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AL154" i="9"/>
  <c r="M92" i="13"/>
  <c r="X122" i="13" s="1"/>
  <c r="X9" i="13" s="1"/>
  <c r="S272" i="13"/>
  <c r="M81" i="13" s="1"/>
  <c r="CB98" i="9"/>
  <c r="CC98" i="9" s="1"/>
  <c r="CD98" i="9" s="1"/>
  <c r="CE98" i="9" s="1"/>
  <c r="AI98" i="9"/>
  <c r="BI107" i="18"/>
  <c r="CB163" i="9"/>
  <c r="CC163" i="9" s="1"/>
  <c r="CD163" i="9" s="1"/>
  <c r="CE163" i="9" s="1"/>
  <c r="AI163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N96" i="13"/>
  <c r="Y126" i="13" s="1"/>
  <c r="Y13" i="13" s="1"/>
  <c r="Y268" i="13"/>
  <c r="N77" i="13" s="1"/>
  <c r="BD216" i="9"/>
  <c r="CB161" i="9"/>
  <c r="CC161" i="9" s="1"/>
  <c r="CD161" i="9" s="1"/>
  <c r="CE161" i="9" s="1"/>
  <c r="AI161" i="9"/>
  <c r="G93" i="13"/>
  <c r="G123" i="13" s="1"/>
  <c r="F10" i="13" s="1"/>
  <c r="R271" i="13"/>
  <c r="F80" i="13" s="1"/>
  <c r="Y171" i="9"/>
  <c r="CG96" i="9"/>
  <c r="CF96" i="9"/>
  <c r="Z229" i="9"/>
  <c r="AA219" i="9"/>
  <c r="L269" i="13"/>
  <c r="E78" i="13" s="1"/>
  <c r="F95" i="13"/>
  <c r="F125" i="13" s="1"/>
  <c r="E12" i="13" s="1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225" i="9"/>
  <c r="CC225" i="9" s="1"/>
  <c r="CD225" i="9" s="1"/>
  <c r="CE225" i="9" s="1"/>
  <c r="AI225" i="9"/>
  <c r="CG217" i="9"/>
  <c r="CF217" i="9"/>
  <c r="M95" i="13"/>
  <c r="X125" i="13" s="1"/>
  <c r="X12" i="13" s="1"/>
  <c r="S269" i="13"/>
  <c r="M78" i="13" s="1"/>
  <c r="AT216" i="9"/>
  <c r="CF33" i="9"/>
  <c r="CG33" i="9"/>
  <c r="M93" i="13"/>
  <c r="X123" i="13" s="1"/>
  <c r="X10" i="13" s="1"/>
  <c r="S271" i="13"/>
  <c r="M80" i="13" s="1"/>
  <c r="AA167" i="9"/>
  <c r="Y170" i="9" s="1"/>
  <c r="AB157" i="9"/>
  <c r="BW103" i="18"/>
  <c r="BV103" i="18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G91" i="13"/>
  <c r="G121" i="13" s="1"/>
  <c r="F8" i="13" s="1"/>
  <c r="R273" i="13"/>
  <c r="F82" i="13" s="1"/>
  <c r="L95" i="13"/>
  <c r="W125" i="13" s="1"/>
  <c r="W12" i="13" s="1"/>
  <c r="M269" i="13"/>
  <c r="L78" i="13" s="1"/>
  <c r="AU154" i="9"/>
  <c r="AU111" i="18"/>
  <c r="AX115" i="18"/>
  <c r="EE110" i="9"/>
  <c r="Z44" i="9"/>
  <c r="Y47" i="9"/>
  <c r="Y51" i="9" s="1"/>
  <c r="AK216" i="9"/>
  <c r="AW33" i="9"/>
  <c r="AX33" i="9"/>
  <c r="M98" i="13"/>
  <c r="X128" i="13" s="1"/>
  <c r="X15" i="13" s="1"/>
  <c r="S266" i="13"/>
  <c r="M75" i="13" s="1"/>
  <c r="CG103" i="18"/>
  <c r="CF103" i="18"/>
  <c r="CF218" i="9"/>
  <c r="CG218" i="9"/>
  <c r="BE154" i="9"/>
  <c r="S273" i="13"/>
  <c r="M82" i="13" s="1"/>
  <c r="M91" i="13"/>
  <c r="X121" i="13" s="1"/>
  <c r="X8" i="13" s="1"/>
  <c r="G92" i="13"/>
  <c r="G122" i="13" s="1"/>
  <c r="F9" i="13" s="1"/>
  <c r="R272" i="13"/>
  <c r="F81" i="13" s="1"/>
  <c r="CB99" i="9"/>
  <c r="CC99" i="9" s="1"/>
  <c r="CD99" i="9" s="1"/>
  <c r="CE99" i="9" s="1"/>
  <c r="AI99" i="9"/>
  <c r="Y190" i="13"/>
  <c r="Y186" i="13"/>
  <c r="Y191" i="13" s="1"/>
  <c r="AM33" i="9"/>
  <c r="AN33" i="9"/>
  <c r="C118" i="5"/>
  <c r="E118" i="5" s="1"/>
  <c r="L118" i="5" s="1"/>
  <c r="G11" i="19" s="1"/>
  <c r="G121" i="19" s="1"/>
  <c r="AE27" i="5"/>
  <c r="L94" i="13"/>
  <c r="W124" i="13" s="1"/>
  <c r="W11" i="13" s="1"/>
  <c r="M270" i="13"/>
  <c r="L79" i="13" s="1"/>
  <c r="BO154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D18" i="9"/>
  <c r="A18" i="9"/>
  <c r="A11" i="9"/>
  <c r="EE109" i="9"/>
  <c r="N94" i="13"/>
  <c r="Y124" i="13" s="1"/>
  <c r="Y11" i="13" s="1"/>
  <c r="Y270" i="13"/>
  <c r="N79" i="13" s="1"/>
  <c r="DZ110" i="9"/>
  <c r="M96" i="13"/>
  <c r="X126" i="13" s="1"/>
  <c r="X13" i="13" s="1"/>
  <c r="S268" i="13"/>
  <c r="M77" i="13" s="1"/>
  <c r="BR33" i="9"/>
  <c r="BQ33" i="9"/>
  <c r="CG165" i="9"/>
  <c r="CF165" i="9"/>
  <c r="H98" i="13"/>
  <c r="H128" i="13" s="1"/>
  <c r="G15" i="13" s="1"/>
  <c r="X266" i="13"/>
  <c r="G75" i="13" s="1"/>
  <c r="BU96" i="18"/>
  <c r="CB219" i="9"/>
  <c r="CC219" i="9" s="1"/>
  <c r="CD219" i="9" s="1"/>
  <c r="CE219" i="9" s="1"/>
  <c r="AI219" i="9"/>
  <c r="R274" i="13"/>
  <c r="F83" i="13" s="1"/>
  <c r="G90" i="13"/>
  <c r="G120" i="13" s="1"/>
  <c r="F7" i="13" s="1"/>
  <c r="L270" i="13"/>
  <c r="E79" i="13" s="1"/>
  <c r="F94" i="13"/>
  <c r="F124" i="13" s="1"/>
  <c r="E11" i="13" s="1"/>
  <c r="BW97" i="18"/>
  <c r="BV97" i="18"/>
  <c r="AB43" i="9"/>
  <c r="AB44" i="9" s="1"/>
  <c r="Y50" i="9" s="1"/>
  <c r="Y53" i="9" s="1"/>
  <c r="AC33" i="9"/>
  <c r="AC43" i="9" s="1"/>
  <c r="AC44" i="9" s="1"/>
  <c r="Y52" i="9" s="1"/>
  <c r="AD33" i="9"/>
  <c r="AA105" i="9"/>
  <c r="Y108" i="9" s="1"/>
  <c r="V108" i="9" s="1"/>
  <c r="AB95" i="9"/>
  <c r="BH33" i="9"/>
  <c r="BG33" i="9"/>
  <c r="BW99" i="18"/>
  <c r="BV99" i="18"/>
  <c r="M94" i="13"/>
  <c r="X124" i="13" s="1"/>
  <c r="X11" i="13" s="1"/>
  <c r="S270" i="13"/>
  <c r="M79" i="13" s="1"/>
  <c r="S274" i="13"/>
  <c r="M83" i="13" s="1"/>
  <c r="M90" i="13"/>
  <c r="X120" i="13" s="1"/>
  <c r="X7" i="13" s="1"/>
  <c r="B120" i="19"/>
  <c r="BS102" i="18"/>
  <c r="BT102" i="18" s="1"/>
  <c r="BU102" i="18" s="1"/>
  <c r="CB102" i="18"/>
  <c r="CC102" i="18" s="1"/>
  <c r="CD102" i="18" s="1"/>
  <c r="CE102" i="18" s="1"/>
  <c r="CG97" i="18"/>
  <c r="CF97" i="18"/>
  <c r="CB221" i="9"/>
  <c r="CC221" i="9" s="1"/>
  <c r="CD221" i="9" s="1"/>
  <c r="CE221" i="9" s="1"/>
  <c r="AI221" i="9"/>
  <c r="CB97" i="9"/>
  <c r="CC97" i="9" s="1"/>
  <c r="CD97" i="9" s="1"/>
  <c r="CE97" i="9" s="1"/>
  <c r="AI97" i="9"/>
  <c r="Y109" i="9"/>
  <c r="AX34" i="9"/>
  <c r="AW34" i="9"/>
  <c r="CB101" i="9"/>
  <c r="CC101" i="9" s="1"/>
  <c r="CD101" i="9" s="1"/>
  <c r="CE101" i="9" s="1"/>
  <c r="AI101" i="9"/>
  <c r="F93" i="13"/>
  <c r="F123" i="13" s="1"/>
  <c r="E10" i="13" s="1"/>
  <c r="L271" i="13"/>
  <c r="E80" i="13" s="1"/>
  <c r="BM102" i="18"/>
  <c r="BL102" i="18"/>
  <c r="L98" i="13"/>
  <c r="W128" i="13" s="1"/>
  <c r="W15" i="13" s="1"/>
  <c r="M266" i="13"/>
  <c r="L75" i="13" s="1"/>
  <c r="CB159" i="9"/>
  <c r="CC159" i="9" s="1"/>
  <c r="CD159" i="9" s="1"/>
  <c r="CE159" i="9" s="1"/>
  <c r="AI159" i="9"/>
  <c r="CD216" i="9"/>
  <c r="DZ109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BD32" i="9"/>
  <c r="C10" i="16"/>
  <c r="C10" i="19"/>
  <c r="C120" i="19" s="1"/>
  <c r="AA37" i="10"/>
  <c r="CD96" i="18"/>
  <c r="BS101" i="18"/>
  <c r="BT101" i="18" s="1"/>
  <c r="BU101" i="18" s="1"/>
  <c r="CB101" i="18"/>
  <c r="CC101" i="18" s="1"/>
  <c r="CD101" i="18" s="1"/>
  <c r="CE101" i="18" s="1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M271" i="13"/>
  <c r="L80" i="13" s="1"/>
  <c r="L93" i="13"/>
  <c r="W123" i="13" s="1"/>
  <c r="W10" i="13" s="1"/>
  <c r="CB164" i="9"/>
  <c r="CC164" i="9" s="1"/>
  <c r="CD164" i="9" s="1"/>
  <c r="CE164" i="9" s="1"/>
  <c r="AI164" i="9"/>
  <c r="AG359" i="7"/>
  <c r="M359" i="7"/>
  <c r="AP331" i="7"/>
  <c r="M347" i="7" s="1"/>
  <c r="X272" i="13"/>
  <c r="G81" i="13" s="1"/>
  <c r="H92" i="13"/>
  <c r="H122" i="13" s="1"/>
  <c r="G9" i="13" s="1"/>
  <c r="CB162" i="9"/>
  <c r="CC162" i="9" s="1"/>
  <c r="CD162" i="9" s="1"/>
  <c r="CE162" i="9" s="1"/>
  <c r="AI162" i="9"/>
  <c r="CF98" i="18"/>
  <c r="CG98" i="18"/>
  <c r="CE154" i="9"/>
  <c r="AT32" i="9"/>
  <c r="CB222" i="9"/>
  <c r="CC222" i="9" s="1"/>
  <c r="CD222" i="9" s="1"/>
  <c r="CE222" i="9" s="1"/>
  <c r="AI222" i="9"/>
  <c r="BM94" i="9"/>
  <c r="AS94" i="9"/>
  <c r="AJ94" i="9"/>
  <c r="BC94" i="9"/>
  <c r="CB226" i="9"/>
  <c r="CC226" i="9" s="1"/>
  <c r="CD226" i="9" s="1"/>
  <c r="CE226" i="9" s="1"/>
  <c r="AI226" i="9"/>
  <c r="Y269" i="13"/>
  <c r="N78" i="13" s="1"/>
  <c r="N95" i="13"/>
  <c r="Y125" i="13" s="1"/>
  <c r="Y12" i="13" s="1"/>
  <c r="CB224" i="9"/>
  <c r="CC224" i="9" s="1"/>
  <c r="CD224" i="9" s="1"/>
  <c r="CE224" i="9" s="1"/>
  <c r="AI224" i="9"/>
  <c r="BM155" i="9"/>
  <c r="BC155" i="9"/>
  <c r="AJ155" i="9"/>
  <c r="AS155" i="9"/>
  <c r="AJ32" i="9"/>
  <c r="M272" i="13"/>
  <c r="L81" i="13" s="1"/>
  <c r="L92" i="13"/>
  <c r="W122" i="13" s="1"/>
  <c r="W9" i="13" s="1"/>
  <c r="CB157" i="9"/>
  <c r="CC157" i="9" s="1"/>
  <c r="CD157" i="9" s="1"/>
  <c r="CE157" i="9" s="1"/>
  <c r="AI157" i="9"/>
  <c r="BM101" i="18"/>
  <c r="BL101" i="18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CB160" i="9"/>
  <c r="CC160" i="9" s="1"/>
  <c r="CD160" i="9" s="1"/>
  <c r="CE160" i="9" s="1"/>
  <c r="AI160" i="9"/>
  <c r="CC94" i="9"/>
  <c r="CB100" i="9"/>
  <c r="CC100" i="9" s="1"/>
  <c r="CD100" i="9" s="1"/>
  <c r="CE100" i="9" s="1"/>
  <c r="AI100" i="9"/>
  <c r="CG156" i="9"/>
  <c r="CF156" i="9"/>
  <c r="BV100" i="18"/>
  <c r="CB220" i="9"/>
  <c r="CC220" i="9" s="1"/>
  <c r="CD220" i="9" s="1"/>
  <c r="CE220" i="9" s="1"/>
  <c r="AI220" i="9"/>
  <c r="BK107" i="18"/>
  <c r="BL96" i="18"/>
  <c r="BM96" i="18"/>
  <c r="BB97" i="18"/>
  <c r="BB107" i="18" s="1"/>
  <c r="BB108" i="18" s="1"/>
  <c r="AX116" i="18" s="1"/>
  <c r="AU116" i="18" s="1"/>
  <c r="BA107" i="18"/>
  <c r="BA108" i="18" s="1"/>
  <c r="AX114" i="18" s="1"/>
  <c r="BC97" i="18"/>
  <c r="BC107" i="18" s="1"/>
  <c r="BC108" i="18" s="1"/>
  <c r="AX113" i="18" s="1"/>
  <c r="CC155" i="9"/>
  <c r="AX56" i="18"/>
  <c r="BN32" i="9"/>
  <c r="L272" i="13"/>
  <c r="E81" i="13" s="1"/>
  <c r="F92" i="13"/>
  <c r="F122" i="13" s="1"/>
  <c r="E9" i="13" s="1"/>
  <c r="CF95" i="9"/>
  <c r="CG95" i="9"/>
  <c r="L96" i="13"/>
  <c r="W126" i="13" s="1"/>
  <c r="W13" i="13" s="1"/>
  <c r="M268" i="13"/>
  <c r="L77" i="13" s="1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F100" i="18"/>
  <c r="CG100" i="18"/>
  <c r="CB158" i="9"/>
  <c r="CC158" i="9" s="1"/>
  <c r="CD158" i="9" s="1"/>
  <c r="CE158" i="9" s="1"/>
  <c r="AI158" i="9"/>
  <c r="BJ107" i="18"/>
  <c r="BH110" i="18" s="1"/>
  <c r="BN216" i="9"/>
  <c r="CC32" i="9"/>
  <c r="CB223" i="9"/>
  <c r="CC223" i="9" s="1"/>
  <c r="CD223" i="9" s="1"/>
  <c r="CE223" i="9" s="1"/>
  <c r="AI223" i="9"/>
  <c r="CG34" i="9" l="1"/>
  <c r="BG34" i="9"/>
  <c r="AM34" i="9"/>
  <c r="BW98" i="18"/>
  <c r="BR34" i="9"/>
  <c r="BM95" i="9"/>
  <c r="BN95" i="9" s="1"/>
  <c r="BO95" i="9" s="1"/>
  <c r="BP95" i="9" s="1"/>
  <c r="BR95" i="9" s="1"/>
  <c r="AJ95" i="9"/>
  <c r="AK95" i="9" s="1"/>
  <c r="AL95" i="9" s="1"/>
  <c r="AM95" i="9" s="1"/>
  <c r="AS95" i="9"/>
  <c r="AT95" i="9" s="1"/>
  <c r="AU95" i="9" s="1"/>
  <c r="AV95" i="9" s="1"/>
  <c r="AW95" i="9" s="1"/>
  <c r="I117" i="5"/>
  <c r="J117" i="5" s="1"/>
  <c r="L117" i="5"/>
  <c r="G10" i="19" s="1"/>
  <c r="G120" i="19" s="1"/>
  <c r="R14" i="17"/>
  <c r="R15" i="17" s="1"/>
  <c r="CG99" i="18"/>
  <c r="BG102" i="9"/>
  <c r="BH102" i="9"/>
  <c r="AW102" i="9"/>
  <c r="AX102" i="9"/>
  <c r="BR102" i="9"/>
  <c r="BQ102" i="9"/>
  <c r="AM102" i="9"/>
  <c r="AN102" i="9"/>
  <c r="D10" i="16"/>
  <c r="AB37" i="10"/>
  <c r="Z106" i="9"/>
  <c r="BL107" i="18"/>
  <c r="BL108" i="18" s="1"/>
  <c r="BH116" i="18" s="1"/>
  <c r="G30" i="13"/>
  <c r="P114" i="10" s="1"/>
  <c r="P168" i="10" s="1"/>
  <c r="G31" i="13"/>
  <c r="EJ116" i="9"/>
  <c r="EE116" i="9"/>
  <c r="Y38" i="13" s="1"/>
  <c r="BM107" i="18"/>
  <c r="BM108" i="18" s="1"/>
  <c r="BH113" i="18" s="1"/>
  <c r="AI105" i="9"/>
  <c r="CB105" i="9"/>
  <c r="BK108" i="18"/>
  <c r="BH114" i="18" s="1"/>
  <c r="BH117" i="18" s="1"/>
  <c r="Y175" i="9"/>
  <c r="Z168" i="9"/>
  <c r="Y30" i="13"/>
  <c r="Q114" i="10" s="1"/>
  <c r="Q168" i="10" s="1"/>
  <c r="E120" i="19"/>
  <c r="AB36" i="10"/>
  <c r="I118" i="5"/>
  <c r="CG223" i="9"/>
  <c r="CF223" i="9"/>
  <c r="CD32" i="9"/>
  <c r="CC43" i="9"/>
  <c r="CB43" i="9"/>
  <c r="BD155" i="9"/>
  <c r="CB229" i="9"/>
  <c r="AM35" i="9"/>
  <c r="AN35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J217" i="14"/>
  <c r="J107" i="19"/>
  <c r="J161" i="14"/>
  <c r="J217" i="19"/>
  <c r="J107" i="14"/>
  <c r="J52" i="14"/>
  <c r="Y31" i="13"/>
  <c r="AT94" i="9"/>
  <c r="BO216" i="9"/>
  <c r="BM43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BN155" i="9"/>
  <c r="BN94" i="9"/>
  <c r="BH35" i="9"/>
  <c r="BG35" i="9"/>
  <c r="CG221" i="9"/>
  <c r="CF221" i="9"/>
  <c r="U4" i="13"/>
  <c r="F30" i="13"/>
  <c r="F31" i="13"/>
  <c r="AX37" i="9"/>
  <c r="AW37" i="9"/>
  <c r="BF154" i="9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AX57" i="18"/>
  <c r="BD39" i="18" s="1"/>
  <c r="BE39" i="18" s="1"/>
  <c r="CF220" i="9"/>
  <c r="CG220" i="9"/>
  <c r="CC107" i="18"/>
  <c r="CF35" i="9"/>
  <c r="CG35" i="9"/>
  <c r="BR37" i="9"/>
  <c r="BQ37" i="9"/>
  <c r="AL216" i="9"/>
  <c r="CF225" i="9"/>
  <c r="CG225" i="9"/>
  <c r="BQ217" i="9"/>
  <c r="BR217" i="9"/>
  <c r="AN154" i="9"/>
  <c r="AM154" i="9"/>
  <c r="CG160" i="9"/>
  <c r="CF160" i="9"/>
  <c r="BQ95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D107" i="18"/>
  <c r="CB110" i="18" s="1"/>
  <c r="CE96" i="18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AS219" i="9"/>
  <c r="AT219" i="9" s="1"/>
  <c r="AU219" i="9" s="1"/>
  <c r="AV219" i="9" s="1"/>
  <c r="BC219" i="9"/>
  <c r="BD219" i="9" s="1"/>
  <c r="BE219" i="9" s="1"/>
  <c r="BF219" i="9" s="1"/>
  <c r="AJ219" i="9"/>
  <c r="BM219" i="9"/>
  <c r="BG37" i="9"/>
  <c r="BH37" i="9"/>
  <c r="AX36" i="9"/>
  <c r="AW36" i="9"/>
  <c r="AM217" i="9"/>
  <c r="AN217" i="9"/>
  <c r="AK94" i="9"/>
  <c r="AX38" i="9"/>
  <c r="AW38" i="9"/>
  <c r="BH95" i="9"/>
  <c r="BG95" i="9"/>
  <c r="CG222" i="9"/>
  <c r="CF222" i="9"/>
  <c r="CF162" i="9"/>
  <c r="CG162" i="9"/>
  <c r="BQ39" i="9"/>
  <c r="BR39" i="9"/>
  <c r="BS107" i="18"/>
  <c r="CD229" i="9"/>
  <c r="CB232" i="9" s="1"/>
  <c r="CE216" i="9"/>
  <c r="CF101" i="9"/>
  <c r="CG101" i="9"/>
  <c r="CF102" i="18"/>
  <c r="CG102" i="18"/>
  <c r="AB105" i="9"/>
  <c r="AB106" i="9" s="1"/>
  <c r="Y112" i="9" s="1"/>
  <c r="AC95" i="9"/>
  <c r="AC105" i="9" s="1"/>
  <c r="AC106" i="9" s="1"/>
  <c r="Y114" i="9" s="1"/>
  <c r="V114" i="9" s="1"/>
  <c r="AD95" i="9"/>
  <c r="AD105" i="9" s="1"/>
  <c r="AD106" i="9" s="1"/>
  <c r="Y111" i="9" s="1"/>
  <c r="CG219" i="9"/>
  <c r="CF219" i="9"/>
  <c r="DZ116" i="9"/>
  <c r="Y37" i="13" s="1"/>
  <c r="AN37" i="9"/>
  <c r="AM37" i="9"/>
  <c r="AI229" i="9"/>
  <c r="BG218" i="9"/>
  <c r="BH218" i="9"/>
  <c r="AN36" i="9"/>
  <c r="AM36" i="9"/>
  <c r="AW217" i="9"/>
  <c r="AX217" i="9"/>
  <c r="AM96" i="9"/>
  <c r="AN96" i="9"/>
  <c r="BH38" i="9"/>
  <c r="BG38" i="9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F157" i="9"/>
  <c r="CG157" i="9"/>
  <c r="BC224" i="9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158" i="9"/>
  <c r="CF158" i="9"/>
  <c r="CB167" i="9"/>
  <c r="AN156" i="9"/>
  <c r="AM156" i="9"/>
  <c r="W31" i="13"/>
  <c r="W30" i="13"/>
  <c r="CG224" i="9"/>
  <c r="CF224" i="9"/>
  <c r="AX39" i="9"/>
  <c r="AW39" i="9"/>
  <c r="CC229" i="9"/>
  <c r="BV102" i="18"/>
  <c r="BW102" i="18"/>
  <c r="BU107" i="18"/>
  <c r="BV96" i="18"/>
  <c r="BW96" i="18"/>
  <c r="CG37" i="9"/>
  <c r="CF37" i="9"/>
  <c r="BR218" i="9"/>
  <c r="BQ218" i="9"/>
  <c r="BR36" i="9"/>
  <c r="BQ36" i="9"/>
  <c r="BG217" i="9"/>
  <c r="BH217" i="9"/>
  <c r="BH96" i="9"/>
  <c r="BG96" i="9"/>
  <c r="B121" i="1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BN43" i="9"/>
  <c r="BO32" i="9"/>
  <c r="CD155" i="9"/>
  <c r="CC167" i="9"/>
  <c r="BG156" i="9"/>
  <c r="BH156" i="9"/>
  <c r="BH39" i="9"/>
  <c r="BG39" i="9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E10" i="19"/>
  <c r="AD43" i="9"/>
  <c r="AD44" i="9" s="1"/>
  <c r="Y49" i="9" s="1"/>
  <c r="Y54" i="9" s="1"/>
  <c r="Y55" i="9" s="1"/>
  <c r="AI35" i="18"/>
  <c r="BT107" i="18"/>
  <c r="BR110" i="18" s="1"/>
  <c r="BP154" i="9"/>
  <c r="AN218" i="9"/>
  <c r="AM218" i="9"/>
  <c r="AU216" i="9"/>
  <c r="BH36" i="9"/>
  <c r="BG36" i="9"/>
  <c r="BR96" i="9"/>
  <c r="BQ96" i="9"/>
  <c r="AU113" i="18"/>
  <c r="AW156" i="9"/>
  <c r="AX156" i="9"/>
  <c r="AJ43" i="9"/>
  <c r="AK32" i="9"/>
  <c r="AM39" i="9"/>
  <c r="AN39" i="9"/>
  <c r="CG159" i="9"/>
  <c r="CF159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AW218" i="9"/>
  <c r="AX218" i="9"/>
  <c r="CF36" i="9"/>
  <c r="CG36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AW96" i="9"/>
  <c r="AX96" i="9"/>
  <c r="CF38" i="9"/>
  <c r="CG38" i="9"/>
  <c r="AX117" i="18"/>
  <c r="AU117" i="18" s="1"/>
  <c r="AU114" i="18"/>
  <c r="CF100" i="9"/>
  <c r="CG100" i="9"/>
  <c r="BQ156" i="9"/>
  <c r="BR156" i="9"/>
  <c r="AI43" i="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AT43" i="9"/>
  <c r="AU32" i="9"/>
  <c r="CF39" i="9"/>
  <c r="CG39" i="9"/>
  <c r="BD43" i="9"/>
  <c r="BE32" i="9"/>
  <c r="V109" i="9"/>
  <c r="Y113" i="9"/>
  <c r="X31" i="13"/>
  <c r="X30" i="13"/>
  <c r="CF99" i="9"/>
  <c r="CG99" i="9"/>
  <c r="AU115" i="18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3" i="9"/>
  <c r="CG163" i="9"/>
  <c r="E31" i="13"/>
  <c r="E30" i="13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BR38" i="9"/>
  <c r="BQ38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AM38" i="9"/>
  <c r="AN38" i="9"/>
  <c r="CC105" i="9"/>
  <c r="CD94" i="9"/>
  <c r="AI167" i="9"/>
  <c r="CF226" i="9"/>
  <c r="CG226" i="9"/>
  <c r="AS43" i="9"/>
  <c r="CB107" i="18"/>
  <c r="BC43" i="9"/>
  <c r="CF161" i="9"/>
  <c r="CG161" i="9"/>
  <c r="BI108" i="18"/>
  <c r="BH111" i="18"/>
  <c r="BH115" i="18" s="1"/>
  <c r="AT155" i="9"/>
  <c r="BD94" i="9"/>
  <c r="CF154" i="9"/>
  <c r="CG154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01" i="18"/>
  <c r="CG101" i="18"/>
  <c r="BQ35" i="9"/>
  <c r="BR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AC45" i="7"/>
  <c r="A36" i="13" s="1"/>
  <c r="I45" i="7"/>
  <c r="C37" i="4"/>
  <c r="C119" i="5"/>
  <c r="AE26" i="5"/>
  <c r="AF27" i="5"/>
  <c r="B119" i="5" s="1"/>
  <c r="AV154" i="9"/>
  <c r="AB167" i="9"/>
  <c r="AB168" i="9" s="1"/>
  <c r="Y174" i="9" s="1"/>
  <c r="Y177" i="9" s="1"/>
  <c r="AC157" i="9"/>
  <c r="AC167" i="9" s="1"/>
  <c r="AC168" i="9" s="1"/>
  <c r="Y176" i="9" s="1"/>
  <c r="AD157" i="9"/>
  <c r="AD167" i="9" s="1"/>
  <c r="AD168" i="9" s="1"/>
  <c r="Y173" i="9" s="1"/>
  <c r="AA229" i="9"/>
  <c r="Y232" i="9" s="1"/>
  <c r="AB219" i="9"/>
  <c r="BE21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AK155" i="9"/>
  <c r="CF164" i="9"/>
  <c r="CG164" i="9"/>
  <c r="BV101" i="18"/>
  <c r="BW101" i="18"/>
  <c r="AX35" i="9"/>
  <c r="AW35" i="9"/>
  <c r="CG97" i="9"/>
  <c r="CF97" i="9"/>
  <c r="J114" i="10"/>
  <c r="J168" i="10" s="1"/>
  <c r="U53" i="19"/>
  <c r="AA36" i="10"/>
  <c r="C11" i="16"/>
  <c r="D11" i="16" s="1"/>
  <c r="C11" i="19"/>
  <c r="C121" i="19" s="1"/>
  <c r="Y233" i="9"/>
  <c r="CG98" i="9"/>
  <c r="CF98" i="9"/>
  <c r="AN95" i="9" l="1"/>
  <c r="AX95" i="9"/>
  <c r="R16" i="17"/>
  <c r="R17" i="17" s="1"/>
  <c r="R18" i="17" s="1"/>
  <c r="G44" i="4"/>
  <c r="L11" i="16"/>
  <c r="V11" i="16" s="1"/>
  <c r="V57" i="16"/>
  <c r="L10" i="16"/>
  <c r="V10" i="16" s="1"/>
  <c r="V56" i="16"/>
  <c r="U52" i="14"/>
  <c r="AA53" i="19"/>
  <c r="BH118" i="18"/>
  <c r="BH119" i="18" s="1"/>
  <c r="BN105" i="18" s="1"/>
  <c r="BO105" i="18" s="1"/>
  <c r="Z230" i="9"/>
  <c r="H44" i="4"/>
  <c r="BD26" i="18"/>
  <c r="BE26" i="18" s="1"/>
  <c r="BD27" i="18"/>
  <c r="BE27" i="18" s="1"/>
  <c r="V52" i="14"/>
  <c r="BD12" i="18"/>
  <c r="BE12" i="18" s="1"/>
  <c r="BD9" i="18"/>
  <c r="BE9" i="18" s="1"/>
  <c r="AB53" i="19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R98" i="9"/>
  <c r="BQ98" i="9"/>
  <c r="Z35" i="10"/>
  <c r="B12" i="19"/>
  <c r="E119" i="5"/>
  <c r="B12" i="16"/>
  <c r="AU155" i="9"/>
  <c r="AT167" i="9"/>
  <c r="AX100" i="9"/>
  <c r="AW100" i="9"/>
  <c r="AU43" i="9"/>
  <c r="AS46" i="9" s="1"/>
  <c r="AV32" i="9"/>
  <c r="AU229" i="9"/>
  <c r="AS232" i="9" s="1"/>
  <c r="AV216" i="9"/>
  <c r="BR159" i="9"/>
  <c r="BQ159" i="9"/>
  <c r="BG160" i="9"/>
  <c r="BH160" i="9"/>
  <c r="AM224" i="9"/>
  <c r="AN224" i="9"/>
  <c r="BQ101" i="9"/>
  <c r="BR101" i="9"/>
  <c r="AM222" i="9"/>
  <c r="AN222" i="9"/>
  <c r="BG225" i="9"/>
  <c r="BH225" i="9"/>
  <c r="BP216" i="9"/>
  <c r="BR100" i="9"/>
  <c r="BQ100" i="9"/>
  <c r="AS47" i="9"/>
  <c r="AT229" i="9"/>
  <c r="BG159" i="9"/>
  <c r="BH159" i="9"/>
  <c r="BR160" i="9"/>
  <c r="BQ160" i="9"/>
  <c r="BH224" i="9"/>
  <c r="BG224" i="9"/>
  <c r="V111" i="9"/>
  <c r="AM101" i="9"/>
  <c r="AN101" i="9"/>
  <c r="AW157" i="9"/>
  <c r="AX157" i="9"/>
  <c r="AX225" i="9"/>
  <c r="AW225" i="9"/>
  <c r="BN105" i="9"/>
  <c r="BO94" i="9"/>
  <c r="CB47" i="9"/>
  <c r="AM98" i="9"/>
  <c r="AN98" i="9"/>
  <c r="CD105" i="9"/>
  <c r="CB108" i="9" s="1"/>
  <c r="CE94" i="9"/>
  <c r="BG100" i="9"/>
  <c r="BH100" i="9"/>
  <c r="AM226" i="9"/>
  <c r="AN226" i="9"/>
  <c r="AS229" i="9"/>
  <c r="AK43" i="9"/>
  <c r="AI46" i="9" s="1"/>
  <c r="AL32" i="9"/>
  <c r="E11" i="19"/>
  <c r="AX101" i="9"/>
  <c r="AW101" i="9"/>
  <c r="AN157" i="9"/>
  <c r="AM157" i="9"/>
  <c r="BG154" i="9"/>
  <c r="BH154" i="9"/>
  <c r="BM105" i="9"/>
  <c r="AT105" i="9"/>
  <c r="AU94" i="9"/>
  <c r="CD43" i="9"/>
  <c r="CB46" i="9" s="1"/>
  <c r="CE32" i="9"/>
  <c r="C120" i="5"/>
  <c r="AE25" i="5"/>
  <c r="AF26" i="5"/>
  <c r="B120" i="5" s="1"/>
  <c r="BE229" i="9"/>
  <c r="BC232" i="9" s="1"/>
  <c r="BF216" i="9"/>
  <c r="BH226" i="9"/>
  <c r="BG226" i="9"/>
  <c r="AI47" i="9"/>
  <c r="E121" i="19"/>
  <c r="BW107" i="18"/>
  <c r="BW108" i="18" s="1"/>
  <c r="BR113" i="18" s="1"/>
  <c r="H42" i="4"/>
  <c r="V54" i="14"/>
  <c r="Q116" i="10"/>
  <c r="Q170" i="10" s="1"/>
  <c r="AB55" i="19"/>
  <c r="V112" i="9"/>
  <c r="Y115" i="9"/>
  <c r="V115" i="9" s="1"/>
  <c r="CE107" i="18"/>
  <c r="CE108" i="18" s="1"/>
  <c r="CB114" i="18" s="1"/>
  <c r="CB117" i="18" s="1"/>
  <c r="CF96" i="18"/>
  <c r="CF107" i="18" s="1"/>
  <c r="CF108" i="18" s="1"/>
  <c r="CB116" i="18" s="1"/>
  <c r="CG96" i="18"/>
  <c r="CG107" i="18" s="1"/>
  <c r="CG108" i="18" s="1"/>
  <c r="CB113" i="18" s="1"/>
  <c r="BR157" i="9"/>
  <c r="BQ157" i="9"/>
  <c r="BM167" i="9"/>
  <c r="AS105" i="9"/>
  <c r="BQ221" i="9"/>
  <c r="BR221" i="9"/>
  <c r="CB109" i="9"/>
  <c r="BR164" i="9"/>
  <c r="BQ164" i="9"/>
  <c r="G42" i="4"/>
  <c r="U54" i="14"/>
  <c r="AA55" i="19"/>
  <c r="P116" i="10"/>
  <c r="P170" i="10" s="1"/>
  <c r="Q115" i="10"/>
  <c r="Q169" i="10" s="1"/>
  <c r="AB54" i="19"/>
  <c r="V53" i="14"/>
  <c r="H43" i="4"/>
  <c r="BR226" i="9"/>
  <c r="BQ226" i="9"/>
  <c r="BR154" i="9"/>
  <c r="BQ154" i="9"/>
  <c r="BV107" i="18"/>
  <c r="BV108" i="18" s="1"/>
  <c r="BR116" i="18" s="1"/>
  <c r="AX158" i="9"/>
  <c r="AW158" i="9"/>
  <c r="BG157" i="9"/>
  <c r="BH157" i="9"/>
  <c r="BD13" i="18"/>
  <c r="BE13" i="18" s="1"/>
  <c r="BD19" i="18"/>
  <c r="BE19" i="18" s="1"/>
  <c r="BO155" i="9"/>
  <c r="BN167" i="9"/>
  <c r="BH221" i="9"/>
  <c r="BG221" i="9"/>
  <c r="AW164" i="9"/>
  <c r="AX164" i="9"/>
  <c r="AM100" i="9"/>
  <c r="AN100" i="9"/>
  <c r="BC229" i="9"/>
  <c r="BD229" i="9"/>
  <c r="Y237" i="9"/>
  <c r="AB229" i="9"/>
  <c r="AB230" i="9" s="1"/>
  <c r="Y236" i="9" s="1"/>
  <c r="Y239" i="9" s="1"/>
  <c r="AC219" i="9"/>
  <c r="AC229" i="9" s="1"/>
  <c r="AC230" i="9" s="1"/>
  <c r="Y238" i="9" s="1"/>
  <c r="AD219" i="9"/>
  <c r="AD229" i="9" s="1"/>
  <c r="AD230" i="9" s="1"/>
  <c r="Y235" i="9" s="1"/>
  <c r="BG164" i="9"/>
  <c r="BH164" i="9"/>
  <c r="AW226" i="9"/>
  <c r="AX226" i="9"/>
  <c r="AW99" i="9"/>
  <c r="AX99" i="9"/>
  <c r="BU108" i="18"/>
  <c r="BR114" i="18" s="1"/>
  <c r="BR117" i="18" s="1"/>
  <c r="BG158" i="9"/>
  <c r="BH158" i="9"/>
  <c r="AW162" i="9"/>
  <c r="AX162" i="9"/>
  <c r="AM216" i="9"/>
  <c r="AN216" i="9"/>
  <c r="BD11" i="18"/>
  <c r="BE11" i="18" s="1"/>
  <c r="BD25" i="18"/>
  <c r="BE25" i="18" s="1"/>
  <c r="BD30" i="18"/>
  <c r="BE30" i="18" s="1"/>
  <c r="AM221" i="9"/>
  <c r="AN221" i="9"/>
  <c r="AN164" i="9"/>
  <c r="AM164" i="9"/>
  <c r="BG97" i="9"/>
  <c r="BH97" i="9"/>
  <c r="BH223" i="9"/>
  <c r="BG223" i="9"/>
  <c r="V113" i="9"/>
  <c r="BQ99" i="9"/>
  <c r="BR99" i="9"/>
  <c r="AX118" i="18"/>
  <c r="CB171" i="9"/>
  <c r="BR158" i="9"/>
  <c r="BQ158" i="9"/>
  <c r="BQ162" i="9"/>
  <c r="BR162" i="9"/>
  <c r="BD24" i="18"/>
  <c r="BE24" i="18" s="1"/>
  <c r="AX221" i="9"/>
  <c r="AW221" i="9"/>
  <c r="Y178" i="9"/>
  <c r="AN97" i="9"/>
  <c r="AM97" i="9"/>
  <c r="AN223" i="9"/>
  <c r="AM223" i="9"/>
  <c r="AN99" i="9"/>
  <c r="AM99" i="9"/>
  <c r="CE155" i="9"/>
  <c r="CD167" i="9"/>
  <c r="CB170" i="9" s="1"/>
  <c r="AM158" i="9"/>
  <c r="AN158" i="9"/>
  <c r="BN219" i="9"/>
  <c r="BM229" i="9"/>
  <c r="BG162" i="9"/>
  <c r="BH162" i="9"/>
  <c r="BD21" i="18"/>
  <c r="BE21" i="18" s="1"/>
  <c r="BD35" i="18"/>
  <c r="BE35" i="18" s="1"/>
  <c r="G43" i="4"/>
  <c r="AA54" i="19"/>
  <c r="U53" i="14"/>
  <c r="P115" i="10"/>
  <c r="P169" i="10" s="1"/>
  <c r="BR220" i="9"/>
  <c r="BQ220" i="9"/>
  <c r="BR97" i="9"/>
  <c r="BQ97" i="9"/>
  <c r="BQ223" i="9"/>
  <c r="BR223" i="9"/>
  <c r="AW161" i="9"/>
  <c r="AX161" i="9"/>
  <c r="BE43" i="9"/>
  <c r="BC46" i="9" s="1"/>
  <c r="BF32" i="9"/>
  <c r="AW163" i="9"/>
  <c r="AX163" i="9"/>
  <c r="BH99" i="9"/>
  <c r="BG99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BO43" i="9"/>
  <c r="BM46" i="9" s="1"/>
  <c r="BP32" i="9"/>
  <c r="CC230" i="9"/>
  <c r="CB233" i="9"/>
  <c r="CB237" i="9" s="1"/>
  <c r="CE229" i="9"/>
  <c r="CE230" i="9" s="1"/>
  <c r="CB236" i="9" s="1"/>
  <c r="CB239" i="9" s="1"/>
  <c r="CF216" i="9"/>
  <c r="CF229" i="9" s="1"/>
  <c r="CF230" i="9" s="1"/>
  <c r="CB238" i="9" s="1"/>
  <c r="CG216" i="9"/>
  <c r="CG229" i="9" s="1"/>
  <c r="CG230" i="9" s="1"/>
  <c r="CB235" i="9" s="1"/>
  <c r="AK219" i="9"/>
  <c r="AJ229" i="9"/>
  <c r="AN162" i="9"/>
  <c r="AM162" i="9"/>
  <c r="BD41" i="18"/>
  <c r="BE41" i="18" s="1"/>
  <c r="BD14" i="18"/>
  <c r="BE14" i="18" s="1"/>
  <c r="BD22" i="18"/>
  <c r="BE22" i="18" s="1"/>
  <c r="U5" i="13"/>
  <c r="U6" i="13" s="1"/>
  <c r="AX220" i="9"/>
  <c r="AW220" i="9"/>
  <c r="AW98" i="9"/>
  <c r="AX98" i="9"/>
  <c r="AW223" i="9"/>
  <c r="AX223" i="9"/>
  <c r="BC47" i="9"/>
  <c r="BG163" i="9"/>
  <c r="BH163" i="9"/>
  <c r="BM47" i="9"/>
  <c r="AK105" i="9"/>
  <c r="AI108" i="9" s="1"/>
  <c r="AL94" i="9"/>
  <c r="BG219" i="9"/>
  <c r="BH219" i="9"/>
  <c r="AX222" i="9"/>
  <c r="AW222" i="9"/>
  <c r="BD23" i="18"/>
  <c r="BE23" i="18" s="1"/>
  <c r="BD10" i="18"/>
  <c r="BE10" i="18" s="1"/>
  <c r="BD31" i="18"/>
  <c r="BE31" i="18" s="1"/>
  <c r="BD17" i="18"/>
  <c r="BE17" i="18" s="1"/>
  <c r="AN220" i="9"/>
  <c r="AM220" i="9"/>
  <c r="C12" i="19"/>
  <c r="C122" i="19" s="1"/>
  <c r="C12" i="16"/>
  <c r="AA35" i="10"/>
  <c r="AJ167" i="9"/>
  <c r="BC105" i="9"/>
  <c r="BQ161" i="9"/>
  <c r="BR161" i="9"/>
  <c r="AM163" i="9"/>
  <c r="AN163" i="9"/>
  <c r="AW159" i="9"/>
  <c r="AX159" i="9"/>
  <c r="AN160" i="9"/>
  <c r="AM160" i="9"/>
  <c r="AW224" i="9"/>
  <c r="AX224" i="9"/>
  <c r="BS108" i="18"/>
  <c r="BR111" i="18"/>
  <c r="BR115" i="18" s="1"/>
  <c r="AJ105" i="9"/>
  <c r="AX219" i="9"/>
  <c r="AW219" i="9"/>
  <c r="BH222" i="9"/>
  <c r="BG222" i="9"/>
  <c r="BD34" i="18"/>
  <c r="BE34" i="18" s="1"/>
  <c r="BD43" i="18"/>
  <c r="BE43" i="18" s="1"/>
  <c r="BD20" i="18"/>
  <c r="BE20" i="18" s="1"/>
  <c r="AM225" i="9"/>
  <c r="AN225" i="9"/>
  <c r="BH220" i="9"/>
  <c r="BG220" i="9"/>
  <c r="BC167" i="9"/>
  <c r="AX97" i="9"/>
  <c r="AW97" i="9"/>
  <c r="BD105" i="9"/>
  <c r="BE94" i="9"/>
  <c r="AN161" i="9"/>
  <c r="AM161" i="9"/>
  <c r="AL155" i="9"/>
  <c r="AK167" i="9"/>
  <c r="AI170" i="9" s="1"/>
  <c r="AW154" i="9"/>
  <c r="AX154" i="9"/>
  <c r="BH98" i="9"/>
  <c r="BG98" i="9"/>
  <c r="AS167" i="9"/>
  <c r="BG161" i="9"/>
  <c r="BH161" i="9"/>
  <c r="BQ163" i="9"/>
  <c r="BR163" i="9"/>
  <c r="AM159" i="9"/>
  <c r="AN159" i="9"/>
  <c r="AX160" i="9"/>
  <c r="AW160" i="9"/>
  <c r="BR224" i="9"/>
  <c r="BQ224" i="9"/>
  <c r="BG101" i="9"/>
  <c r="BH101" i="9"/>
  <c r="BR222" i="9"/>
  <c r="BQ222" i="9"/>
  <c r="CC108" i="18"/>
  <c r="CB111" i="18"/>
  <c r="CB115" i="18" s="1"/>
  <c r="BD42" i="18"/>
  <c r="BE42" i="18" s="1"/>
  <c r="BD38" i="18"/>
  <c r="BE38" i="18" s="1"/>
  <c r="BQ225" i="9"/>
  <c r="BR225" i="9"/>
  <c r="BE155" i="9"/>
  <c r="BD167" i="9"/>
  <c r="R19" i="17" l="1"/>
  <c r="R20" i="17" s="1"/>
  <c r="R21" i="17" s="1"/>
  <c r="AA11" i="16"/>
  <c r="X11" i="16"/>
  <c r="W11" i="16"/>
  <c r="W10" i="16"/>
  <c r="AA10" i="16"/>
  <c r="X10" i="16"/>
  <c r="BC51" i="9"/>
  <c r="BD44" i="9"/>
  <c r="BM51" i="9"/>
  <c r="BN44" i="9"/>
  <c r="CB113" i="9"/>
  <c r="CC106" i="9"/>
  <c r="BN71" i="18"/>
  <c r="BO71" i="18" s="1"/>
  <c r="BN95" i="18"/>
  <c r="BO95" i="18" s="1"/>
  <c r="Y240" i="9"/>
  <c r="Y241" i="9" s="1"/>
  <c r="Y242" i="9" s="1"/>
  <c r="Y243" i="9" s="1"/>
  <c r="BN82" i="18"/>
  <c r="BO82" i="18" s="1"/>
  <c r="BN100" i="18"/>
  <c r="BO100" i="18" s="1"/>
  <c r="BN87" i="18"/>
  <c r="BO87" i="18" s="1"/>
  <c r="AT44" i="9"/>
  <c r="BN84" i="18"/>
  <c r="BO84" i="18" s="1"/>
  <c r="AI51" i="9"/>
  <c r="AJ44" i="9"/>
  <c r="BN76" i="18"/>
  <c r="BO76" i="18" s="1"/>
  <c r="BN74" i="18"/>
  <c r="BO74" i="18" s="1"/>
  <c r="A19" i="9"/>
  <c r="A12" i="9"/>
  <c r="D19" i="9"/>
  <c r="AJ168" i="9"/>
  <c r="AI171" i="9"/>
  <c r="AI175" i="9" s="1"/>
  <c r="BO219" i="9"/>
  <c r="BN229" i="9"/>
  <c r="Y179" i="9"/>
  <c r="Y180" i="9" s="1"/>
  <c r="Y181" i="9" s="1"/>
  <c r="BM171" i="9"/>
  <c r="AT230" i="9"/>
  <c r="AS233" i="9"/>
  <c r="AS237" i="9" s="1"/>
  <c r="AI233" i="9"/>
  <c r="CB175" i="9"/>
  <c r="BP155" i="9"/>
  <c r="BO167" i="9"/>
  <c r="BM170" i="9" s="1"/>
  <c r="BN91" i="18"/>
  <c r="BO91" i="18" s="1"/>
  <c r="BN102" i="18"/>
  <c r="BO102" i="18" s="1"/>
  <c r="BN85" i="18"/>
  <c r="BO85" i="18" s="1"/>
  <c r="BF229" i="9"/>
  <c r="BF230" i="9" s="1"/>
  <c r="BC236" i="9" s="1"/>
  <c r="BC239" i="9" s="1"/>
  <c r="BG216" i="9"/>
  <c r="BG229" i="9" s="1"/>
  <c r="BG230" i="9" s="1"/>
  <c r="BC238" i="9" s="1"/>
  <c r="BH216" i="9"/>
  <c r="BH229" i="9" s="1"/>
  <c r="BH230" i="9" s="1"/>
  <c r="BC235" i="9" s="1"/>
  <c r="AS51" i="9"/>
  <c r="AN155" i="9"/>
  <c r="AN167" i="9" s="1"/>
  <c r="AN168" i="9" s="1"/>
  <c r="AI173" i="9" s="1"/>
  <c r="AM155" i="9"/>
  <c r="AM167" i="9" s="1"/>
  <c r="AM168" i="9" s="1"/>
  <c r="AI176" i="9" s="1"/>
  <c r="AL167" i="9"/>
  <c r="AL168" i="9" s="1"/>
  <c r="AI174" i="9" s="1"/>
  <c r="AI177" i="9" s="1"/>
  <c r="AL219" i="9"/>
  <c r="AK229" i="9"/>
  <c r="AI232" i="9" s="1"/>
  <c r="CC168" i="9"/>
  <c r="BN77" i="18"/>
  <c r="BO77" i="18" s="1"/>
  <c r="BH120" i="18"/>
  <c r="BH121" i="18" s="1"/>
  <c r="CE105" i="9"/>
  <c r="CE106" i="9" s="1"/>
  <c r="CB112" i="9" s="1"/>
  <c r="CB115" i="9" s="1"/>
  <c r="CF94" i="9"/>
  <c r="CF105" i="9" s="1"/>
  <c r="CF106" i="9" s="1"/>
  <c r="CB114" i="9" s="1"/>
  <c r="CG94" i="9"/>
  <c r="CG105" i="9" s="1"/>
  <c r="CG106" i="9" s="1"/>
  <c r="CB111" i="9" s="1"/>
  <c r="AS171" i="9"/>
  <c r="AL105" i="9"/>
  <c r="AL106" i="9" s="1"/>
  <c r="AI112" i="9" s="1"/>
  <c r="AI115" i="9" s="1"/>
  <c r="AM94" i="9"/>
  <c r="AM105" i="9" s="1"/>
  <c r="AM106" i="9" s="1"/>
  <c r="AI114" i="9" s="1"/>
  <c r="AN94" i="9"/>
  <c r="AN105" i="9" s="1"/>
  <c r="AN106" i="9" s="1"/>
  <c r="AI111" i="9" s="1"/>
  <c r="CB240" i="9"/>
  <c r="BF43" i="9"/>
  <c r="BF44" i="9" s="1"/>
  <c r="BC50" i="9" s="1"/>
  <c r="BC53" i="9" s="1"/>
  <c r="BG32" i="9"/>
  <c r="BG43" i="9" s="1"/>
  <c r="BG44" i="9" s="1"/>
  <c r="BC52" i="9" s="1"/>
  <c r="BH32" i="9"/>
  <c r="BH43" i="9" s="1"/>
  <c r="BH44" i="9" s="1"/>
  <c r="BC49" i="9" s="1"/>
  <c r="AU118" i="18"/>
  <c r="AX119" i="18"/>
  <c r="AU119" i="18" s="1"/>
  <c r="BN93" i="18"/>
  <c r="BO93" i="18" s="1"/>
  <c r="BN103" i="18"/>
  <c r="BO103" i="18" s="1"/>
  <c r="BN89" i="18"/>
  <c r="BO89" i="18" s="1"/>
  <c r="Z34" i="10"/>
  <c r="B13" i="19"/>
  <c r="E120" i="5"/>
  <c r="B13" i="16"/>
  <c r="AV155" i="9"/>
  <c r="AU167" i="9"/>
  <c r="AS170" i="9" s="1"/>
  <c r="A20" i="9"/>
  <c r="A13" i="9"/>
  <c r="D20" i="9"/>
  <c r="CF155" i="9"/>
  <c r="CF167" i="9" s="1"/>
  <c r="CF168" i="9" s="1"/>
  <c r="CB176" i="9" s="1"/>
  <c r="CG155" i="9"/>
  <c r="CG167" i="9" s="1"/>
  <c r="CG168" i="9" s="1"/>
  <c r="CB173" i="9" s="1"/>
  <c r="CE167" i="9"/>
  <c r="CE168" i="9" s="1"/>
  <c r="CB174" i="9" s="1"/>
  <c r="CB177" i="9" s="1"/>
  <c r="BD230" i="9"/>
  <c r="BC233" i="9"/>
  <c r="BC237" i="9" s="1"/>
  <c r="BN73" i="18"/>
  <c r="BO73" i="18" s="1"/>
  <c r="BN78" i="18"/>
  <c r="BO78" i="18" s="1"/>
  <c r="BN97" i="18"/>
  <c r="BO97" i="18" s="1"/>
  <c r="C121" i="5"/>
  <c r="AE24" i="5"/>
  <c r="AF25" i="5"/>
  <c r="B121" i="5" s="1"/>
  <c r="Y116" i="9"/>
  <c r="D12" i="16"/>
  <c r="BE105" i="9"/>
  <c r="BC108" i="9" s="1"/>
  <c r="BF94" i="9"/>
  <c r="BN92" i="18"/>
  <c r="BO92" i="18" s="1"/>
  <c r="BN90" i="18"/>
  <c r="BO90" i="18" s="1"/>
  <c r="BN99" i="18"/>
  <c r="BO99" i="18" s="1"/>
  <c r="AA34" i="10"/>
  <c r="C13" i="16"/>
  <c r="C13" i="19"/>
  <c r="C123" i="19" s="1"/>
  <c r="BQ216" i="9"/>
  <c r="BR216" i="9"/>
  <c r="I119" i="5"/>
  <c r="AB35" i="10"/>
  <c r="L119" i="5"/>
  <c r="G12" i="19" s="1"/>
  <c r="G122" i="19" s="1"/>
  <c r="BC109" i="9"/>
  <c r="BR118" i="18"/>
  <c r="BN101" i="18"/>
  <c r="BO101" i="18" s="1"/>
  <c r="BN72" i="18"/>
  <c r="BO72" i="18" s="1"/>
  <c r="BN83" i="18"/>
  <c r="BO83" i="18" s="1"/>
  <c r="CE43" i="9"/>
  <c r="CE44" i="9" s="1"/>
  <c r="CB50" i="9" s="1"/>
  <c r="CB53" i="9" s="1"/>
  <c r="CF32" i="9"/>
  <c r="CF43" i="9" s="1"/>
  <c r="CF44" i="9" s="1"/>
  <c r="CB52" i="9" s="1"/>
  <c r="CG32" i="9"/>
  <c r="CG43" i="9" s="1"/>
  <c r="CG44" i="9" s="1"/>
  <c r="CB49" i="9" s="1"/>
  <c r="CB51" i="9"/>
  <c r="E12" i="19"/>
  <c r="B122" i="19"/>
  <c r="E122" i="19" s="1"/>
  <c r="BN94" i="18"/>
  <c r="BO94" i="18" s="1"/>
  <c r="BN96" i="18"/>
  <c r="BO96" i="18" s="1"/>
  <c r="BN80" i="18"/>
  <c r="BO80" i="18" s="1"/>
  <c r="AL43" i="9"/>
  <c r="AL44" i="9" s="1"/>
  <c r="AI50" i="9" s="1"/>
  <c r="AI53" i="9" s="1"/>
  <c r="AM32" i="9"/>
  <c r="AM43" i="9" s="1"/>
  <c r="AM44" i="9" s="1"/>
  <c r="AI52" i="9" s="1"/>
  <c r="AN32" i="9"/>
  <c r="AN43" i="9" s="1"/>
  <c r="AN44" i="9" s="1"/>
  <c r="AI49" i="9" s="1"/>
  <c r="CC44" i="9"/>
  <c r="BC171" i="9"/>
  <c r="BP43" i="9"/>
  <c r="BP44" i="9" s="1"/>
  <c r="BM50" i="9" s="1"/>
  <c r="BM53" i="9" s="1"/>
  <c r="BQ32" i="9"/>
  <c r="BQ43" i="9" s="1"/>
  <c r="BQ44" i="9" s="1"/>
  <c r="BM52" i="9" s="1"/>
  <c r="BR32" i="9"/>
  <c r="BR43" i="9" s="1"/>
  <c r="BR44" i="9" s="1"/>
  <c r="BM49" i="9" s="1"/>
  <c r="BN98" i="18"/>
  <c r="BO98" i="18" s="1"/>
  <c r="BN86" i="18"/>
  <c r="BO86" i="18" s="1"/>
  <c r="BN79" i="18"/>
  <c r="BO79" i="18" s="1"/>
  <c r="AU105" i="9"/>
  <c r="AS108" i="9" s="1"/>
  <c r="AV94" i="9"/>
  <c r="BO105" i="9"/>
  <c r="BM108" i="9" s="1"/>
  <c r="BP94" i="9"/>
  <c r="AV229" i="9"/>
  <c r="AV230" i="9" s="1"/>
  <c r="AS236" i="9" s="1"/>
  <c r="AS239" i="9" s="1"/>
  <c r="AW216" i="9"/>
  <c r="AW229" i="9" s="1"/>
  <c r="AW230" i="9" s="1"/>
  <c r="AS238" i="9" s="1"/>
  <c r="AX216" i="9"/>
  <c r="AX229" i="9" s="1"/>
  <c r="AX230" i="9" s="1"/>
  <c r="AS235" i="9" s="1"/>
  <c r="BF155" i="9"/>
  <c r="BE167" i="9"/>
  <c r="BC170" i="9" s="1"/>
  <c r="A21" i="9"/>
  <c r="D21" i="9"/>
  <c r="A14" i="9"/>
  <c r="CB118" i="18"/>
  <c r="BN81" i="18"/>
  <c r="BO81" i="18" s="1"/>
  <c r="BN104" i="18"/>
  <c r="BO104" i="18" s="1"/>
  <c r="BN106" i="18"/>
  <c r="BO106" i="18" s="1"/>
  <c r="AS109" i="9"/>
  <c r="BM109" i="9"/>
  <c r="AJ106" i="9"/>
  <c r="AI109" i="9"/>
  <c r="AI113" i="9" s="1"/>
  <c r="BN88" i="18"/>
  <c r="BO88" i="18" s="1"/>
  <c r="BN75" i="18"/>
  <c r="BO75" i="18" s="1"/>
  <c r="AV43" i="9"/>
  <c r="AV44" i="9" s="1"/>
  <c r="AS50" i="9" s="1"/>
  <c r="AS53" i="9" s="1"/>
  <c r="AW32" i="9"/>
  <c r="AW43" i="9" s="1"/>
  <c r="AW44" i="9" s="1"/>
  <c r="AS52" i="9" s="1"/>
  <c r="AX32" i="9"/>
  <c r="AX43" i="9" s="1"/>
  <c r="AX44" i="9" s="1"/>
  <c r="AS49" i="9" s="1"/>
  <c r="L12" i="16" l="1"/>
  <c r="V12" i="16" s="1"/>
  <c r="V58" i="16"/>
  <c r="BN168" i="9"/>
  <c r="AS54" i="9"/>
  <c r="AS55" i="9" s="1"/>
  <c r="AY136" i="9" s="1"/>
  <c r="AZ136" i="9" s="1"/>
  <c r="BM175" i="9"/>
  <c r="BC54" i="9"/>
  <c r="BC55" i="9" s="1"/>
  <c r="BC175" i="9"/>
  <c r="AS113" i="9"/>
  <c r="AT106" i="9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M54" i="9"/>
  <c r="BM55" i="9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M113" i="9"/>
  <c r="BD88" i="18"/>
  <c r="BE88" i="18" s="1"/>
  <c r="BD105" i="18"/>
  <c r="BE105" i="18" s="1"/>
  <c r="BN106" i="9"/>
  <c r="AS240" i="9"/>
  <c r="AS241" i="9" s="1"/>
  <c r="AS242" i="9" s="1"/>
  <c r="BD75" i="18"/>
  <c r="BE75" i="18" s="1"/>
  <c r="J110" i="14"/>
  <c r="J220" i="19"/>
  <c r="J220" i="14"/>
  <c r="J110" i="19"/>
  <c r="J55" i="14"/>
  <c r="J164" i="14"/>
  <c r="BC113" i="9"/>
  <c r="AW155" i="9"/>
  <c r="AW167" i="9" s="1"/>
  <c r="AW168" i="9" s="1"/>
  <c r="AS176" i="9" s="1"/>
  <c r="AX155" i="9"/>
  <c r="AX167" i="9" s="1"/>
  <c r="AX168" i="9" s="1"/>
  <c r="AS173" i="9" s="1"/>
  <c r="AV167" i="9"/>
  <c r="AV168" i="9" s="1"/>
  <c r="AS174" i="9" s="1"/>
  <c r="AS177" i="9" s="1"/>
  <c r="CB116" i="9"/>
  <c r="AI237" i="9"/>
  <c r="BD106" i="9"/>
  <c r="R22" i="17"/>
  <c r="R23" i="17" s="1"/>
  <c r="BC240" i="9"/>
  <c r="D13" i="16"/>
  <c r="J218" i="14"/>
  <c r="J53" i="14"/>
  <c r="J162" i="14"/>
  <c r="J218" i="19"/>
  <c r="J108" i="19"/>
  <c r="J108" i="14"/>
  <c r="B123" i="19"/>
  <c r="E123" i="19" s="1"/>
  <c r="E13" i="19"/>
  <c r="C38" i="4"/>
  <c r="I46" i="7"/>
  <c r="AC46" i="7"/>
  <c r="A37" i="13" s="1"/>
  <c r="BF105" i="9"/>
  <c r="BF106" i="9" s="1"/>
  <c r="BC112" i="9" s="1"/>
  <c r="BC115" i="9" s="1"/>
  <c r="BG94" i="9"/>
  <c r="BG105" i="9" s="1"/>
  <c r="BG106" i="9" s="1"/>
  <c r="BC114" i="9" s="1"/>
  <c r="BH94" i="9"/>
  <c r="BH105" i="9" s="1"/>
  <c r="BH106" i="9" s="1"/>
  <c r="BC111" i="9" s="1"/>
  <c r="J115" i="10"/>
  <c r="J169" i="10" s="1"/>
  <c r="U54" i="19"/>
  <c r="I120" i="5"/>
  <c r="AB34" i="10"/>
  <c r="L120" i="5"/>
  <c r="G13" i="19" s="1"/>
  <c r="G123" i="19" s="1"/>
  <c r="V116" i="9"/>
  <c r="Y117" i="9"/>
  <c r="V117" i="9" s="1"/>
  <c r="CB178" i="9"/>
  <c r="CB179" i="9" s="1"/>
  <c r="BP105" i="9"/>
  <c r="BP106" i="9" s="1"/>
  <c r="BM112" i="9" s="1"/>
  <c r="BM115" i="9" s="1"/>
  <c r="BQ94" i="9"/>
  <c r="BQ105" i="9" s="1"/>
  <c r="BQ106" i="9" s="1"/>
  <c r="BM114" i="9" s="1"/>
  <c r="BR94" i="9"/>
  <c r="BR105" i="9" s="1"/>
  <c r="BR106" i="9" s="1"/>
  <c r="BM111" i="9" s="1"/>
  <c r="Z33" i="10"/>
  <c r="E121" i="5"/>
  <c r="B14" i="19"/>
  <c r="B14" i="16"/>
  <c r="BD73" i="18"/>
  <c r="BE73" i="18" s="1"/>
  <c r="AI116" i="9"/>
  <c r="AI117" i="9" s="1"/>
  <c r="AM219" i="9"/>
  <c r="AM229" i="9" s="1"/>
  <c r="AM230" i="9" s="1"/>
  <c r="AI238" i="9" s="1"/>
  <c r="AN219" i="9"/>
  <c r="AN229" i="9" s="1"/>
  <c r="AN230" i="9" s="1"/>
  <c r="AI235" i="9" s="1"/>
  <c r="AL229" i="9"/>
  <c r="AL230" i="9" s="1"/>
  <c r="AI236" i="9" s="1"/>
  <c r="AI239" i="9" s="1"/>
  <c r="C122" i="5"/>
  <c r="AE23" i="5"/>
  <c r="AF24" i="5"/>
  <c r="B122" i="5" s="1"/>
  <c r="J163" i="14"/>
  <c r="J109" i="14"/>
  <c r="J54" i="14"/>
  <c r="J109" i="19"/>
  <c r="J219" i="19"/>
  <c r="J219" i="14"/>
  <c r="AV105" i="9"/>
  <c r="AV106" i="9" s="1"/>
  <c r="AS112" i="9" s="1"/>
  <c r="AS115" i="9" s="1"/>
  <c r="AW94" i="9"/>
  <c r="AW105" i="9" s="1"/>
  <c r="AW106" i="9" s="1"/>
  <c r="AS114" i="9" s="1"/>
  <c r="AX94" i="9"/>
  <c r="AX105" i="9" s="1"/>
  <c r="AX106" i="9" s="1"/>
  <c r="AS111" i="9" s="1"/>
  <c r="BD168" i="9"/>
  <c r="AA33" i="10"/>
  <c r="C14" i="19"/>
  <c r="C124" i="19" s="1"/>
  <c r="C14" i="16"/>
  <c r="I47" i="7"/>
  <c r="C39" i="4"/>
  <c r="AC47" i="7"/>
  <c r="A38" i="13" s="1"/>
  <c r="BD86" i="18"/>
  <c r="BE86" i="18" s="1"/>
  <c r="BD78" i="18"/>
  <c r="BE78" i="18" s="1"/>
  <c r="BD94" i="18"/>
  <c r="BE94" i="18" s="1"/>
  <c r="BR155" i="9"/>
  <c r="BR167" i="9" s="1"/>
  <c r="BR168" i="9" s="1"/>
  <c r="BM173" i="9" s="1"/>
  <c r="BQ155" i="9"/>
  <c r="BQ167" i="9" s="1"/>
  <c r="BQ168" i="9" s="1"/>
  <c r="BM176" i="9" s="1"/>
  <c r="BP167" i="9"/>
  <c r="BP168" i="9" s="1"/>
  <c r="BM174" i="9" s="1"/>
  <c r="BM177" i="9" s="1"/>
  <c r="BR119" i="18"/>
  <c r="BX87" i="18" s="1"/>
  <c r="BY87" i="18" s="1"/>
  <c r="BG155" i="9"/>
  <c r="BG167" i="9" s="1"/>
  <c r="BG168" i="9" s="1"/>
  <c r="BC176" i="9" s="1"/>
  <c r="BH155" i="9"/>
  <c r="BH167" i="9" s="1"/>
  <c r="BH168" i="9" s="1"/>
  <c r="BC173" i="9" s="1"/>
  <c r="BF167" i="9"/>
  <c r="BF168" i="9" s="1"/>
  <c r="BC174" i="9" s="1"/>
  <c r="BC177" i="9" s="1"/>
  <c r="J116" i="10"/>
  <c r="J170" i="10" s="1"/>
  <c r="U55" i="19"/>
  <c r="BD99" i="18"/>
  <c r="BE99" i="18" s="1"/>
  <c r="BD72" i="18"/>
  <c r="BE72" i="18" s="1"/>
  <c r="BD83" i="18"/>
  <c r="BE83" i="18" s="1"/>
  <c r="AS175" i="9"/>
  <c r="AI178" i="9"/>
  <c r="AI179" i="9" s="1"/>
  <c r="BM233" i="9"/>
  <c r="I48" i="7"/>
  <c r="AC48" i="7"/>
  <c r="A39" i="13" s="1"/>
  <c r="AI54" i="9"/>
  <c r="CB54" i="9"/>
  <c r="CB55" i="9" s="1"/>
  <c r="CB241" i="9"/>
  <c r="CB242" i="9" s="1"/>
  <c r="AX120" i="18"/>
  <c r="BD90" i="18"/>
  <c r="BE90" i="18" s="1"/>
  <c r="BD84" i="18"/>
  <c r="BE84" i="18" s="1"/>
  <c r="BD102" i="18"/>
  <c r="BE102" i="18" s="1"/>
  <c r="AT168" i="9"/>
  <c r="CB119" i="18"/>
  <c r="CH99" i="18" s="1"/>
  <c r="CI99" i="18" s="1"/>
  <c r="AJ230" i="9"/>
  <c r="BP219" i="9"/>
  <c r="BO229" i="9"/>
  <c r="BM232" i="9" s="1"/>
  <c r="BS141" i="9" l="1"/>
  <c r="BT141" i="9" s="1"/>
  <c r="BS14" i="9"/>
  <c r="BT14" i="9" s="1"/>
  <c r="BS151" i="9"/>
  <c r="BT151" i="9" s="1"/>
  <c r="BS7" i="9"/>
  <c r="BT7" i="9" s="1"/>
  <c r="BS136" i="9"/>
  <c r="BT136" i="9" s="1"/>
  <c r="BS32" i="9"/>
  <c r="BT32" i="9" s="1"/>
  <c r="AX34" i="7" s="1"/>
  <c r="BS158" i="9"/>
  <c r="BT158" i="9" s="1"/>
  <c r="BS161" i="9"/>
  <c r="BT161" i="9" s="1"/>
  <c r="BS12" i="9"/>
  <c r="BT12" i="9" s="1"/>
  <c r="BI26" i="9"/>
  <c r="BJ26" i="9" s="1"/>
  <c r="AW28" i="7" s="1"/>
  <c r="BI150" i="9"/>
  <c r="BJ150" i="9" s="1"/>
  <c r="BI152" i="9"/>
  <c r="BJ152" i="9" s="1"/>
  <c r="BI12" i="9"/>
  <c r="BJ12" i="9" s="1"/>
  <c r="BS35" i="9"/>
  <c r="BT35" i="9" s="1"/>
  <c r="AX37" i="7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AY30" i="9"/>
  <c r="AZ30" i="9" s="1"/>
  <c r="AJ32" i="18" s="1"/>
  <c r="AY39" i="9"/>
  <c r="AZ39" i="9" s="1"/>
  <c r="AY38" i="9"/>
  <c r="AZ38" i="9" s="1"/>
  <c r="AJ40" i="18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BS31" i="9"/>
  <c r="BT31" i="9" s="1"/>
  <c r="AX33" i="7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AY31" i="9"/>
  <c r="AZ31" i="9" s="1"/>
  <c r="AJ33" i="18" s="1"/>
  <c r="AY35" i="9"/>
  <c r="AZ35" i="9" s="1"/>
  <c r="EA35" i="9" s="1"/>
  <c r="AY34" i="9"/>
  <c r="AZ34" i="9" s="1"/>
  <c r="EA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U67" i="7" s="1"/>
  <c r="AY133" i="9"/>
  <c r="AZ133" i="9" s="1"/>
  <c r="BS33" i="9"/>
  <c r="BT33" i="9" s="1"/>
  <c r="EK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AY42" i="9"/>
  <c r="AZ42" i="9" s="1"/>
  <c r="AY23" i="9"/>
  <c r="AZ23" i="9" s="1"/>
  <c r="EA23" i="9" s="1"/>
  <c r="AY25" i="9"/>
  <c r="AZ25" i="9" s="1"/>
  <c r="AU51" i="7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BS36" i="9"/>
  <c r="BT36" i="9" s="1"/>
  <c r="EK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AY21" i="9"/>
  <c r="AZ21" i="9" s="1"/>
  <c r="BI23" i="7" s="1"/>
  <c r="AY36" i="9"/>
  <c r="AZ36" i="9" s="1"/>
  <c r="EA36" i="9" s="1"/>
  <c r="AY32" i="9"/>
  <c r="AZ32" i="9" s="1"/>
  <c r="AV34" i="7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EA24" i="9" s="1"/>
  <c r="AY135" i="9"/>
  <c r="AZ135" i="9" s="1"/>
  <c r="BM56" i="9"/>
  <c r="BM57" i="9" s="1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AX40" i="7" s="1"/>
  <c r="BS143" i="9"/>
  <c r="BT143" i="9" s="1"/>
  <c r="BS156" i="9"/>
  <c r="BT156" i="9" s="1"/>
  <c r="BS150" i="9"/>
  <c r="BT150" i="9" s="1"/>
  <c r="AY40" i="9"/>
  <c r="AZ40" i="9" s="1"/>
  <c r="AY29" i="9"/>
  <c r="AZ29" i="9" s="1"/>
  <c r="AU55" i="7" s="1"/>
  <c r="AY22" i="9"/>
  <c r="AZ22" i="9" s="1"/>
  <c r="BI24" i="7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BI22" i="7" s="1"/>
  <c r="AY139" i="9"/>
  <c r="AZ139" i="9" s="1"/>
  <c r="BS39" i="9"/>
  <c r="BT39" i="9" s="1"/>
  <c r="BS154" i="9"/>
  <c r="BT154" i="9" s="1"/>
  <c r="BS34" i="9"/>
  <c r="BT34" i="9" s="1"/>
  <c r="EK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AY19" i="9"/>
  <c r="AZ19" i="9" s="1"/>
  <c r="AV21" i="7" s="1"/>
  <c r="AY33" i="9"/>
  <c r="AZ33" i="9" s="1"/>
  <c r="EA33" i="9" s="1"/>
  <c r="AY37" i="9"/>
  <c r="AZ37" i="9" s="1"/>
  <c r="BI39" i="7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V30" i="7" s="1"/>
  <c r="AY143" i="9"/>
  <c r="AZ143" i="9" s="1"/>
  <c r="AY147" i="9"/>
  <c r="AZ147" i="9" s="1"/>
  <c r="AY8" i="9"/>
  <c r="AZ8" i="9" s="1"/>
  <c r="BS37" i="9"/>
  <c r="BT37" i="9" s="1"/>
  <c r="EK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AS56" i="9"/>
  <c r="E12" i="9" s="1"/>
  <c r="AY26" i="9"/>
  <c r="AZ26" i="9" s="1"/>
  <c r="AV28" i="7" s="1"/>
  <c r="AY27" i="9"/>
  <c r="AZ27" i="9" s="1"/>
  <c r="EA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I37" i="9"/>
  <c r="BJ37" i="9" s="1"/>
  <c r="AK39" i="18" s="1"/>
  <c r="BI35" i="9"/>
  <c r="BJ35" i="9" s="1"/>
  <c r="EF35" i="9" s="1"/>
  <c r="BI162" i="9"/>
  <c r="BJ162" i="9" s="1"/>
  <c r="X12" i="16"/>
  <c r="AA12" i="16"/>
  <c r="W12" i="16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AK35" i="18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J34" i="7" s="1"/>
  <c r="BI146" i="9"/>
  <c r="BJ146" i="9" s="1"/>
  <c r="BI36" i="9"/>
  <c r="BJ36" i="9" s="1"/>
  <c r="AK38" i="18" s="1"/>
  <c r="BI151" i="9"/>
  <c r="BJ151" i="9" s="1"/>
  <c r="BI144" i="9"/>
  <c r="BJ144" i="9" s="1"/>
  <c r="BI158" i="9"/>
  <c r="BJ158" i="9" s="1"/>
  <c r="BI41" i="9"/>
  <c r="BJ41" i="9" s="1"/>
  <c r="BJ43" i="7" s="1"/>
  <c r="BI38" i="9"/>
  <c r="BJ38" i="9" s="1"/>
  <c r="EF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C57" i="9" s="1"/>
  <c r="BI42" i="9"/>
  <c r="BJ42" i="9" s="1"/>
  <c r="BJ44" i="7" s="1"/>
  <c r="BI15" i="9"/>
  <c r="BJ15" i="9" s="1"/>
  <c r="BI7" i="9"/>
  <c r="BJ7" i="9" s="1"/>
  <c r="BI154" i="9"/>
  <c r="BJ154" i="9" s="1"/>
  <c r="BI10" i="9"/>
  <c r="BJ10" i="9" s="1"/>
  <c r="BI29" i="9"/>
  <c r="BJ29" i="9" s="1"/>
  <c r="BJ31" i="7" s="1"/>
  <c r="BI34" i="9"/>
  <c r="BJ34" i="9" s="1"/>
  <c r="AK36" i="18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J30" i="7" s="1"/>
  <c r="BI138" i="9"/>
  <c r="BJ138" i="9" s="1"/>
  <c r="BI13" i="9"/>
  <c r="BJ13" i="9" s="1"/>
  <c r="BI137" i="9"/>
  <c r="BJ137" i="9" s="1"/>
  <c r="BI20" i="9"/>
  <c r="BJ20" i="9" s="1"/>
  <c r="BI31" i="9"/>
  <c r="BJ31" i="9" s="1"/>
  <c r="BJ33" i="7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AW27" i="7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EF30" i="9" s="1"/>
  <c r="BI136" i="9"/>
  <c r="BJ136" i="9" s="1"/>
  <c r="BI19" i="9"/>
  <c r="BJ19" i="9" s="1"/>
  <c r="BI27" i="9"/>
  <c r="BJ27" i="9" s="1"/>
  <c r="BJ29" i="7" s="1"/>
  <c r="BI18" i="9"/>
  <c r="BJ18" i="9" s="1"/>
  <c r="BI132" i="9"/>
  <c r="BJ132" i="9" s="1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BM237" i="9"/>
  <c r="AE95" i="9"/>
  <c r="AF95" i="9" s="1"/>
  <c r="F35" i="12" s="1"/>
  <c r="G35" i="12" s="1"/>
  <c r="AF13" i="12" s="1"/>
  <c r="BC116" i="9"/>
  <c r="BC117" i="9" s="1"/>
  <c r="BI223" i="9" s="1"/>
  <c r="BJ223" i="9" s="1"/>
  <c r="BN230" i="9"/>
  <c r="AE202" i="9"/>
  <c r="AF202" i="9" s="1"/>
  <c r="AE200" i="9"/>
  <c r="AF200" i="9" s="1"/>
  <c r="AI240" i="9"/>
  <c r="AI241" i="9" s="1"/>
  <c r="AI242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E194" i="9"/>
  <c r="AF194" i="9" s="1"/>
  <c r="AE217" i="9"/>
  <c r="AF217" i="9" s="1"/>
  <c r="AE220" i="9"/>
  <c r="AF220" i="9" s="1"/>
  <c r="BX100" i="18"/>
  <c r="BY100" i="18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BX94" i="18"/>
  <c r="BY94" i="18" s="1"/>
  <c r="CH103" i="18"/>
  <c r="CI103" i="18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E226" i="9"/>
  <c r="AF226" i="9" s="1"/>
  <c r="AE213" i="9"/>
  <c r="AF213" i="9" s="1"/>
  <c r="AE219" i="9"/>
  <c r="AF219" i="9" s="1"/>
  <c r="BX106" i="18"/>
  <c r="BY106" i="18" s="1"/>
  <c r="CH93" i="18"/>
  <c r="CI93" i="18" s="1"/>
  <c r="AE73" i="9"/>
  <c r="AF73" i="9" s="1"/>
  <c r="F13" i="12" s="1"/>
  <c r="G13" i="12" s="1"/>
  <c r="AD15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CH71" i="18"/>
  <c r="CI71" i="18" s="1"/>
  <c r="AE77" i="9"/>
  <c r="AF77" i="9" s="1"/>
  <c r="F17" i="12" s="1"/>
  <c r="G17" i="12" s="1"/>
  <c r="AD19" i="12" s="1"/>
  <c r="Y118" i="9"/>
  <c r="V118" i="9" s="1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E90" i="9"/>
  <c r="AF90" i="9" s="1"/>
  <c r="F30" i="12" s="1"/>
  <c r="G30" i="12" s="1"/>
  <c r="AE20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E96" i="9"/>
  <c r="AF96" i="9" s="1"/>
  <c r="F36" i="12" s="1"/>
  <c r="G36" i="12" s="1"/>
  <c r="AF14" i="12" s="1"/>
  <c r="AE209" i="9"/>
  <c r="AF209" i="9" s="1"/>
  <c r="AE97" i="9"/>
  <c r="AF97" i="9" s="1"/>
  <c r="F37" i="12" s="1"/>
  <c r="G37" i="12" s="1"/>
  <c r="AF15" i="12" s="1"/>
  <c r="AE71" i="9"/>
  <c r="AF71" i="9" s="1"/>
  <c r="F11" i="12" s="1"/>
  <c r="G11" i="12" s="1"/>
  <c r="AD13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H35" i="9"/>
  <c r="CB243" i="9"/>
  <c r="C123" i="5"/>
  <c r="AE22" i="5"/>
  <c r="AF23" i="5"/>
  <c r="B123" i="5" s="1"/>
  <c r="CH95" i="18"/>
  <c r="CI95" i="18" s="1"/>
  <c r="CH83" i="18"/>
  <c r="CI83" i="18" s="1"/>
  <c r="CH96" i="18"/>
  <c r="CI96" i="18" s="1"/>
  <c r="BX71" i="18"/>
  <c r="BY71" i="18" s="1"/>
  <c r="BX104" i="18"/>
  <c r="BY104" i="18" s="1"/>
  <c r="BX85" i="18"/>
  <c r="BY85" i="18" s="1"/>
  <c r="AJ27" i="18"/>
  <c r="V59" i="16"/>
  <c r="L13" i="16"/>
  <c r="V13" i="16" s="1"/>
  <c r="AS116" i="9"/>
  <c r="AA32" i="10"/>
  <c r="C15" i="16"/>
  <c r="C15" i="19"/>
  <c r="C125" i="19" s="1"/>
  <c r="CH73" i="18"/>
  <c r="CI73" i="18" s="1"/>
  <c r="CH78" i="18"/>
  <c r="CI78" i="18" s="1"/>
  <c r="CH102" i="18"/>
  <c r="CI102" i="18" s="1"/>
  <c r="BX76" i="18"/>
  <c r="BY76" i="18" s="1"/>
  <c r="BX84" i="18"/>
  <c r="BY84" i="18" s="1"/>
  <c r="BR120" i="18"/>
  <c r="BR121" i="18" s="1"/>
  <c r="CB117" i="9"/>
  <c r="CH225" i="9" s="1"/>
  <c r="CI225" i="9" s="1"/>
  <c r="AU120" i="18"/>
  <c r="AX121" i="18"/>
  <c r="AU121" i="18" s="1"/>
  <c r="CH77" i="18"/>
  <c r="CI77" i="18" s="1"/>
  <c r="CH105" i="18"/>
  <c r="CI105" i="18" s="1"/>
  <c r="CH88" i="18"/>
  <c r="CI88" i="18" s="1"/>
  <c r="CH104" i="18"/>
  <c r="CI104" i="18" s="1"/>
  <c r="BX103" i="18"/>
  <c r="BY103" i="18" s="1"/>
  <c r="BX88" i="18"/>
  <c r="BY88" i="18" s="1"/>
  <c r="BX79" i="18"/>
  <c r="BY79" i="18" s="1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CH89" i="18"/>
  <c r="CI89" i="18" s="1"/>
  <c r="CH98" i="18"/>
  <c r="CI98" i="18" s="1"/>
  <c r="CH106" i="18"/>
  <c r="CI106" i="18" s="1"/>
  <c r="AE193" i="9"/>
  <c r="AF193" i="9" s="1"/>
  <c r="BX74" i="18"/>
  <c r="BY74" i="18" s="1"/>
  <c r="BX75" i="18"/>
  <c r="BY75" i="18" s="1"/>
  <c r="BX73" i="18"/>
  <c r="BY73" i="18" s="1"/>
  <c r="AS178" i="9"/>
  <c r="BR219" i="9"/>
  <c r="BR229" i="9" s="1"/>
  <c r="BR230" i="9" s="1"/>
  <c r="BM235" i="9" s="1"/>
  <c r="BQ219" i="9"/>
  <c r="BQ229" i="9" s="1"/>
  <c r="BQ230" i="9" s="1"/>
  <c r="BM238" i="9" s="1"/>
  <c r="BP229" i="9"/>
  <c r="BP230" i="9" s="1"/>
  <c r="BM236" i="9" s="1"/>
  <c r="BM239" i="9" s="1"/>
  <c r="AI55" i="9"/>
  <c r="AO153" i="9" s="1"/>
  <c r="AP153" i="9" s="1"/>
  <c r="CH101" i="18"/>
  <c r="CI101" i="18" s="1"/>
  <c r="CB180" i="9"/>
  <c r="AE222" i="9"/>
  <c r="AF222" i="9" s="1"/>
  <c r="BX95" i="18"/>
  <c r="BY95" i="18" s="1"/>
  <c r="BX97" i="18"/>
  <c r="BY97" i="18" s="1"/>
  <c r="BX77" i="18"/>
  <c r="BY77" i="18" s="1"/>
  <c r="BX102" i="18"/>
  <c r="BY102" i="18" s="1"/>
  <c r="R24" i="17"/>
  <c r="BM178" i="9"/>
  <c r="H12" i="9"/>
  <c r="AS243" i="9"/>
  <c r="CH79" i="18"/>
  <c r="CI79" i="18" s="1"/>
  <c r="CH76" i="18"/>
  <c r="CI76" i="18" s="1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CH86" i="18"/>
  <c r="CI86" i="18" s="1"/>
  <c r="CH91" i="18"/>
  <c r="CI91" i="18" s="1"/>
  <c r="CH87" i="18"/>
  <c r="CI87" i="18" s="1"/>
  <c r="AE74" i="9"/>
  <c r="AF74" i="9" s="1"/>
  <c r="F14" i="12" s="1"/>
  <c r="G14" i="12" s="1"/>
  <c r="AD16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BX89" i="18"/>
  <c r="BY89" i="18" s="1"/>
  <c r="BX91" i="18"/>
  <c r="BY91" i="18" s="1"/>
  <c r="BX101" i="18"/>
  <c r="BY101" i="18" s="1"/>
  <c r="BI32" i="7"/>
  <c r="AV32" i="7"/>
  <c r="D14" i="16"/>
  <c r="CH94" i="18"/>
  <c r="CI94" i="18" s="1"/>
  <c r="CH74" i="18"/>
  <c r="CI74" i="18" s="1"/>
  <c r="CH80" i="18"/>
  <c r="CI80" i="18" s="1"/>
  <c r="AE206" i="9"/>
  <c r="AF206" i="9" s="1"/>
  <c r="BX96" i="18"/>
  <c r="BY96" i="18" s="1"/>
  <c r="BX81" i="18"/>
  <c r="BY81" i="18" s="1"/>
  <c r="BX83" i="18"/>
  <c r="BY83" i="18" s="1"/>
  <c r="B124" i="19"/>
  <c r="E124" i="19" s="1"/>
  <c r="E14" i="19"/>
  <c r="CH84" i="18"/>
  <c r="CI84" i="18" s="1"/>
  <c r="CH82" i="18"/>
  <c r="CI82" i="18" s="1"/>
  <c r="CH97" i="18"/>
  <c r="CI97" i="18" s="1"/>
  <c r="BX78" i="18"/>
  <c r="BY78" i="18" s="1"/>
  <c r="BX82" i="18"/>
  <c r="BY82" i="18" s="1"/>
  <c r="BX80" i="18"/>
  <c r="BY80" i="18" s="1"/>
  <c r="BC241" i="9"/>
  <c r="BC242" i="9" s="1"/>
  <c r="I121" i="5"/>
  <c r="AB33" i="10"/>
  <c r="L121" i="5"/>
  <c r="G14" i="19" s="1"/>
  <c r="G124" i="19" s="1"/>
  <c r="CH90" i="18"/>
  <c r="CI90" i="18" s="1"/>
  <c r="CH100" i="18"/>
  <c r="CI100" i="18" s="1"/>
  <c r="CH92" i="18"/>
  <c r="CI92" i="18" s="1"/>
  <c r="AE207" i="9"/>
  <c r="AF207" i="9" s="1"/>
  <c r="BX93" i="18"/>
  <c r="BY93" i="18" s="1"/>
  <c r="BX86" i="18"/>
  <c r="BY86" i="18" s="1"/>
  <c r="BX105" i="18"/>
  <c r="BY105" i="18" s="1"/>
  <c r="EA21" i="9"/>
  <c r="BC178" i="9"/>
  <c r="CH81" i="18"/>
  <c r="CI81" i="18" s="1"/>
  <c r="CB120" i="18"/>
  <c r="CB121" i="18" s="1"/>
  <c r="CH72" i="18"/>
  <c r="CI72" i="18" s="1"/>
  <c r="BX92" i="18"/>
  <c r="BY92" i="18" s="1"/>
  <c r="BX72" i="18"/>
  <c r="BY72" i="18" s="1"/>
  <c r="BX90" i="18"/>
  <c r="BY90" i="18" s="1"/>
  <c r="AI180" i="9"/>
  <c r="Z32" i="10"/>
  <c r="B15" i="19"/>
  <c r="E122" i="5"/>
  <c r="B15" i="16"/>
  <c r="BM116" i="9"/>
  <c r="CH85" i="18"/>
  <c r="CI85" i="18" s="1"/>
  <c r="CH75" i="18"/>
  <c r="CI75" i="18" s="1"/>
  <c r="AE72" i="9"/>
  <c r="AF72" i="9" s="1"/>
  <c r="F12" i="12" s="1"/>
  <c r="G12" i="12" s="1"/>
  <c r="AD14" i="12" s="1"/>
  <c r="AE91" i="9"/>
  <c r="AF91" i="9" s="1"/>
  <c r="F31" i="12" s="1"/>
  <c r="G31" i="12" s="1"/>
  <c r="AE21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BX99" i="18"/>
  <c r="BY99" i="18" s="1"/>
  <c r="BX98" i="18"/>
  <c r="BY98" i="18" s="1"/>
  <c r="AU56" i="7" l="1"/>
  <c r="EA20" i="9"/>
  <c r="EF26" i="9"/>
  <c r="AJ19" i="12"/>
  <c r="AI18" i="12"/>
  <c r="AT18" i="12" s="1"/>
  <c r="EF34" i="9"/>
  <c r="AJ20" i="12"/>
  <c r="AM20" i="12" s="1"/>
  <c r="AJ22" i="12"/>
  <c r="L20" i="12" s="1"/>
  <c r="V20" i="12" s="1"/>
  <c r="AJ21" i="12"/>
  <c r="AX21" i="12" s="1"/>
  <c r="AJ39" i="18"/>
  <c r="EK32" i="9"/>
  <c r="AS57" i="9"/>
  <c r="AK28" i="18"/>
  <c r="AX38" i="7"/>
  <c r="EK35" i="9"/>
  <c r="AV39" i="7"/>
  <c r="EA37" i="9"/>
  <c r="BI25" i="7"/>
  <c r="BJ28" i="7"/>
  <c r="BI43" i="7"/>
  <c r="AH11" i="12"/>
  <c r="J9" i="12" s="1"/>
  <c r="AV23" i="7"/>
  <c r="EA30" i="9"/>
  <c r="AV27" i="7"/>
  <c r="L19" i="12"/>
  <c r="V19" i="12" s="1"/>
  <c r="AU52" i="7"/>
  <c r="AH22" i="12"/>
  <c r="J20" i="12" s="1"/>
  <c r="T20" i="12" s="1"/>
  <c r="E14" i="9"/>
  <c r="N48" i="7" s="1"/>
  <c r="L55" i="14" s="1"/>
  <c r="EA22" i="9"/>
  <c r="AJ37" i="18"/>
  <c r="EF37" i="9"/>
  <c r="BJ39" i="7"/>
  <c r="BJ40" i="7"/>
  <c r="AK40" i="18"/>
  <c r="AU63" i="7"/>
  <c r="AW39" i="7"/>
  <c r="AV25" i="7"/>
  <c r="EA41" i="9"/>
  <c r="EF29" i="9"/>
  <c r="AJ43" i="18"/>
  <c r="AK27" i="18"/>
  <c r="BJ27" i="7"/>
  <c r="AV37" i="7"/>
  <c r="AU61" i="7"/>
  <c r="AW40" i="7"/>
  <c r="EF25" i="9"/>
  <c r="AJ25" i="18"/>
  <c r="BI37" i="7"/>
  <c r="AJ23" i="18"/>
  <c r="AV24" i="7"/>
  <c r="BJ36" i="7"/>
  <c r="AV36" i="7"/>
  <c r="AK31" i="18"/>
  <c r="AU60" i="7"/>
  <c r="AI14" i="12"/>
  <c r="K12" i="12" s="1"/>
  <c r="U12" i="12" s="1"/>
  <c r="AJ36" i="18"/>
  <c r="BI36" i="7"/>
  <c r="AW37" i="7"/>
  <c r="EF31" i="9"/>
  <c r="AK37" i="18"/>
  <c r="AW33" i="7"/>
  <c r="BJ37" i="7"/>
  <c r="AJ24" i="18"/>
  <c r="AJ12" i="12"/>
  <c r="AM12" i="12" s="1"/>
  <c r="AH15" i="12"/>
  <c r="J13" i="12" s="1"/>
  <c r="T13" i="12" s="1"/>
  <c r="AH12" i="12"/>
  <c r="AP12" i="12" s="1"/>
  <c r="AJ28" i="18"/>
  <c r="AI16" i="12"/>
  <c r="EK40" i="9"/>
  <c r="AX42" i="7"/>
  <c r="EA40" i="9"/>
  <c r="AU66" i="7"/>
  <c r="AV42" i="7"/>
  <c r="AJ44" i="18"/>
  <c r="AU68" i="7"/>
  <c r="BJ42" i="7"/>
  <c r="AW42" i="7"/>
  <c r="AM19" i="12"/>
  <c r="EK39" i="9"/>
  <c r="AX41" i="7"/>
  <c r="AI17" i="12"/>
  <c r="AT17" i="12" s="1"/>
  <c r="AK41" i="18"/>
  <c r="AW41" i="7"/>
  <c r="AJ41" i="18"/>
  <c r="AU65" i="7"/>
  <c r="AV41" i="7"/>
  <c r="AI22" i="12"/>
  <c r="AT22" i="12" s="1"/>
  <c r="AJ11" i="12"/>
  <c r="AI20" i="12"/>
  <c r="AT20" i="12" s="1"/>
  <c r="AI15" i="12"/>
  <c r="AT15" i="12" s="1"/>
  <c r="AH21" i="12"/>
  <c r="AP21" i="12" s="1"/>
  <c r="AI19" i="12"/>
  <c r="K17" i="12" s="1"/>
  <c r="U17" i="12" s="1"/>
  <c r="AI21" i="12"/>
  <c r="K19" i="12" s="1"/>
  <c r="U19" i="12" s="1"/>
  <c r="AH16" i="12"/>
  <c r="J14" i="12" s="1"/>
  <c r="T14" i="12" s="1"/>
  <c r="AI13" i="12"/>
  <c r="K11" i="12" s="1"/>
  <c r="U11" i="12" s="1"/>
  <c r="AH19" i="12"/>
  <c r="AH13" i="12"/>
  <c r="AH14" i="12"/>
  <c r="AP14" i="12" s="1"/>
  <c r="AH18" i="12"/>
  <c r="AP18" i="12" s="1"/>
  <c r="AI11" i="12"/>
  <c r="AJ14" i="12"/>
  <c r="AJ17" i="12"/>
  <c r="L15" i="12" s="1"/>
  <c r="AJ13" i="12"/>
  <c r="AJ16" i="12"/>
  <c r="L14" i="12" s="1"/>
  <c r="AH17" i="12"/>
  <c r="AP17" i="12" s="1"/>
  <c r="AJ15" i="12"/>
  <c r="L13" i="12" s="1"/>
  <c r="AJ18" i="12"/>
  <c r="L16" i="12" s="1"/>
  <c r="AH20" i="12"/>
  <c r="AP20" i="12" s="1"/>
  <c r="AI12" i="12"/>
  <c r="K10" i="12" s="1"/>
  <c r="U10" i="12" s="1"/>
  <c r="AW36" i="7"/>
  <c r="BI30" i="7"/>
  <c r="AU59" i="7"/>
  <c r="EA32" i="9"/>
  <c r="BI33" i="7"/>
  <c r="AV40" i="7"/>
  <c r="AV33" i="7"/>
  <c r="BI34" i="7"/>
  <c r="BI35" i="7"/>
  <c r="AU57" i="7"/>
  <c r="AJ35" i="18"/>
  <c r="AU54" i="7"/>
  <c r="EA28" i="9"/>
  <c r="AU64" i="7"/>
  <c r="AX36" i="7"/>
  <c r="EA38" i="9"/>
  <c r="BI40" i="7"/>
  <c r="AJ30" i="18"/>
  <c r="EA31" i="9"/>
  <c r="AW30" i="7"/>
  <c r="AV38" i="7"/>
  <c r="AJ26" i="18"/>
  <c r="EK38" i="9"/>
  <c r="AJ21" i="18"/>
  <c r="EK31" i="9"/>
  <c r="AU62" i="7"/>
  <c r="AV29" i="7"/>
  <c r="BI26" i="7"/>
  <c r="BJ32" i="7"/>
  <c r="AJ38" i="18"/>
  <c r="BI21" i="7"/>
  <c r="BI28" i="7"/>
  <c r="AV26" i="7"/>
  <c r="AU53" i="7"/>
  <c r="AK32" i="18"/>
  <c r="BI38" i="7"/>
  <c r="EA19" i="9"/>
  <c r="EF39" i="9"/>
  <c r="AJ29" i="18"/>
  <c r="BI41" i="7"/>
  <c r="BJ41" i="7"/>
  <c r="AW32" i="7"/>
  <c r="BI29" i="7"/>
  <c r="EA39" i="9"/>
  <c r="AV22" i="7"/>
  <c r="BI44" i="7"/>
  <c r="AJ31" i="18"/>
  <c r="EA29" i="9"/>
  <c r="AX39" i="7"/>
  <c r="BI31" i="7"/>
  <c r="AV31" i="7"/>
  <c r="AJ22" i="18"/>
  <c r="AW31" i="7"/>
  <c r="E13" i="9"/>
  <c r="G39" i="4" s="1"/>
  <c r="AK33" i="18"/>
  <c r="AX35" i="7"/>
  <c r="AJ34" i="18"/>
  <c r="BI27" i="7"/>
  <c r="AJ42" i="18"/>
  <c r="BI42" i="7"/>
  <c r="EA26" i="9"/>
  <c r="AV35" i="7"/>
  <c r="EF40" i="9"/>
  <c r="AU58" i="7"/>
  <c r="EA25" i="9"/>
  <c r="AK42" i="18"/>
  <c r="L18" i="12"/>
  <c r="V18" i="12" s="1"/>
  <c r="EF28" i="9"/>
  <c r="AK30" i="18"/>
  <c r="AK44" i="18"/>
  <c r="AW38" i="7"/>
  <c r="BJ38" i="7"/>
  <c r="EF36" i="9"/>
  <c r="AX20" i="12"/>
  <c r="D15" i="16"/>
  <c r="L15" i="16" s="1"/>
  <c r="V15" i="16" s="1"/>
  <c r="AK29" i="18"/>
  <c r="EF27" i="9"/>
  <c r="AW29" i="7"/>
  <c r="EF41" i="9"/>
  <c r="AK43" i="18"/>
  <c r="AW35" i="7"/>
  <c r="BJ35" i="7"/>
  <c r="EF33" i="9"/>
  <c r="Y119" i="9"/>
  <c r="V119" i="9" s="1"/>
  <c r="EF32" i="9"/>
  <c r="AK34" i="18"/>
  <c r="AW34" i="7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AO9" i="9"/>
  <c r="AP9" i="9" s="1"/>
  <c r="AU11" i="7" s="1"/>
  <c r="BA11" i="7" s="1"/>
  <c r="AO150" i="9"/>
  <c r="AP150" i="9" s="1"/>
  <c r="BI214" i="9"/>
  <c r="BJ214" i="9" s="1"/>
  <c r="CH100" i="9"/>
  <c r="CI100" i="9" s="1"/>
  <c r="BI73" i="9"/>
  <c r="BJ73" i="9" s="1"/>
  <c r="CH215" i="9"/>
  <c r="CI215" i="9" s="1"/>
  <c r="BI70" i="9"/>
  <c r="BJ70" i="9" s="1"/>
  <c r="CH213" i="9"/>
  <c r="CI213" i="9" s="1"/>
  <c r="BI72" i="9"/>
  <c r="BJ72" i="9" s="1"/>
  <c r="CH77" i="9"/>
  <c r="CI77" i="9" s="1"/>
  <c r="BI76" i="9"/>
  <c r="BJ76" i="9" s="1"/>
  <c r="CH227" i="9"/>
  <c r="CI227" i="9" s="1"/>
  <c r="BI82" i="9"/>
  <c r="BJ82" i="9" s="1"/>
  <c r="BI99" i="9"/>
  <c r="BJ99" i="9" s="1"/>
  <c r="EF99" i="9" s="1"/>
  <c r="BC118" i="9"/>
  <c r="F13" i="9" s="1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AO23" i="9"/>
  <c r="AP23" i="9" s="1"/>
  <c r="DT23" i="9" s="1"/>
  <c r="CH198" i="9"/>
  <c r="CI198" i="9" s="1"/>
  <c r="CH93" i="9"/>
  <c r="CI93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AO11" i="9"/>
  <c r="AP11" i="9" s="1"/>
  <c r="AU13" i="7" s="1"/>
  <c r="BA13" i="7" s="1"/>
  <c r="CH95" i="9"/>
  <c r="CI95" i="9" s="1"/>
  <c r="CH196" i="9"/>
  <c r="CI196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AO39" i="9"/>
  <c r="AP39" i="9" s="1"/>
  <c r="CH85" i="9"/>
  <c r="CI85" i="9" s="1"/>
  <c r="CH195" i="9"/>
  <c r="CI195" i="9" s="1"/>
  <c r="CH218" i="9"/>
  <c r="CI218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AO28" i="9"/>
  <c r="AP28" i="9" s="1"/>
  <c r="DT28" i="9" s="1"/>
  <c r="CH80" i="9"/>
  <c r="CI80" i="9" s="1"/>
  <c r="CH200" i="9"/>
  <c r="CI200" i="9" s="1"/>
  <c r="CH214" i="9"/>
  <c r="CI214" i="9" s="1"/>
  <c r="CH91" i="9"/>
  <c r="CI91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AO140" i="9"/>
  <c r="AP140" i="9" s="1"/>
  <c r="CH212" i="9"/>
  <c r="CI212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AI56" i="9"/>
  <c r="E11" i="9" s="1"/>
  <c r="AO159" i="9"/>
  <c r="AP159" i="9" s="1"/>
  <c r="CH226" i="9"/>
  <c r="CI226" i="9" s="1"/>
  <c r="CH97" i="9"/>
  <c r="CI97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AO41" i="9"/>
  <c r="AP41" i="9" s="1"/>
  <c r="CB118" i="9"/>
  <c r="CB119" i="9" s="1"/>
  <c r="CH78" i="9"/>
  <c r="CI78" i="9" s="1"/>
  <c r="CH103" i="9"/>
  <c r="CI103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AO25" i="9"/>
  <c r="AP25" i="9" s="1"/>
  <c r="DT25" i="9" s="1"/>
  <c r="CH104" i="9"/>
  <c r="CI104" i="9" s="1"/>
  <c r="CH228" i="9"/>
  <c r="CI228" i="9" s="1"/>
  <c r="CH193" i="9"/>
  <c r="CI193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AO8" i="9"/>
  <c r="AP8" i="9" s="1"/>
  <c r="AU10" i="7" s="1"/>
  <c r="BA10" i="7" s="1"/>
  <c r="BM240" i="9"/>
  <c r="BM241" i="9" s="1"/>
  <c r="CH84" i="9"/>
  <c r="CI84" i="9" s="1"/>
  <c r="CH86" i="9"/>
  <c r="CI86" i="9" s="1"/>
  <c r="CH88" i="9"/>
  <c r="CI88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O22" i="9"/>
  <c r="AP22" i="9" s="1"/>
  <c r="DT22" i="9" s="1"/>
  <c r="CH76" i="9"/>
  <c r="CI76" i="9" s="1"/>
  <c r="CH202" i="9"/>
  <c r="CI202" i="9" s="1"/>
  <c r="CH221" i="9"/>
  <c r="CI221" i="9" s="1"/>
  <c r="H13" i="9"/>
  <c r="BC243" i="9"/>
  <c r="H11" i="9"/>
  <c r="AI243" i="9"/>
  <c r="AO20" i="9"/>
  <c r="AP20" i="9" s="1"/>
  <c r="AO16" i="9"/>
  <c r="AP16" i="9" s="1"/>
  <c r="AO38" i="9"/>
  <c r="AP38" i="9" s="1"/>
  <c r="AO145" i="9"/>
  <c r="AP145" i="9" s="1"/>
  <c r="AO131" i="9"/>
  <c r="AP131" i="9" s="1"/>
  <c r="CH201" i="9"/>
  <c r="CI201" i="9" s="1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CH207" i="9"/>
  <c r="CI207" i="9" s="1"/>
  <c r="CH223" i="9"/>
  <c r="CI223" i="9" s="1"/>
  <c r="CH99" i="9"/>
  <c r="CI99" i="9" s="1"/>
  <c r="BM117" i="9"/>
  <c r="BS104" i="9" s="1"/>
  <c r="BT104" i="9" s="1"/>
  <c r="EK104" i="9" s="1"/>
  <c r="BM179" i="9"/>
  <c r="BM180" i="9" s="1"/>
  <c r="AO13" i="9"/>
  <c r="AP13" i="9" s="1"/>
  <c r="AO146" i="9"/>
  <c r="AP146" i="9" s="1"/>
  <c r="AO151" i="9"/>
  <c r="AP151" i="9" s="1"/>
  <c r="AO163" i="9"/>
  <c r="AP163" i="9" s="1"/>
  <c r="R25" i="17"/>
  <c r="V60" i="16"/>
  <c r="L14" i="16"/>
  <c r="V14" i="16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I122" i="5"/>
  <c r="AB32" i="10"/>
  <c r="L122" i="5"/>
  <c r="G15" i="19" s="1"/>
  <c r="G125" i="19" s="1"/>
  <c r="G38" i="4"/>
  <c r="N46" i="7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AS117" i="9"/>
  <c r="AY215" i="9" s="1"/>
  <c r="AZ215" i="9" s="1"/>
  <c r="CB181" i="9"/>
  <c r="G35" i="9"/>
  <c r="AO10" i="9"/>
  <c r="AP10" i="9" s="1"/>
  <c r="AO147" i="9"/>
  <c r="AP147" i="9" s="1"/>
  <c r="AO152" i="9"/>
  <c r="AP152" i="9" s="1"/>
  <c r="AO133" i="9"/>
  <c r="AP133" i="9" s="1"/>
  <c r="CH71" i="9"/>
  <c r="CI71" i="9" s="1"/>
  <c r="W13" i="16"/>
  <c r="AA13" i="16"/>
  <c r="X13" i="16"/>
  <c r="E123" i="5"/>
  <c r="B16" i="19"/>
  <c r="Z31" i="10"/>
  <c r="B16" i="16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CH75" i="9"/>
  <c r="CI75" i="9" s="1"/>
  <c r="CH74" i="9"/>
  <c r="CI74" i="9" s="1"/>
  <c r="CH96" i="9"/>
  <c r="CI96" i="9" s="1"/>
  <c r="C124" i="5"/>
  <c r="AE21" i="5"/>
  <c r="AF22" i="5"/>
  <c r="B124" i="5" s="1"/>
  <c r="BC179" i="9"/>
  <c r="BC180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16" i="16"/>
  <c r="AA31" i="10"/>
  <c r="C16" i="19"/>
  <c r="C126" i="19" s="1"/>
  <c r="AI181" i="9"/>
  <c r="G11" i="9"/>
  <c r="AO15" i="9"/>
  <c r="AP15" i="9" s="1"/>
  <c r="AO160" i="9"/>
  <c r="AP160" i="9" s="1"/>
  <c r="AO143" i="9"/>
  <c r="AP143" i="9" s="1"/>
  <c r="AO161" i="9"/>
  <c r="AP161" i="9" s="1"/>
  <c r="AO164" i="9"/>
  <c r="AP164" i="9" s="1"/>
  <c r="AI119" i="9"/>
  <c r="F11" i="9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S179" i="9"/>
  <c r="AS180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K16" i="12"/>
  <c r="U16" i="12" s="1"/>
  <c r="DU71" i="9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E35" i="9"/>
  <c r="CB57" i="9"/>
  <c r="CH204" i="9"/>
  <c r="CI204" i="9" s="1"/>
  <c r="CH209" i="9"/>
  <c r="CI209" i="9" s="1"/>
  <c r="CH217" i="9"/>
  <c r="CI217" i="9" s="1"/>
  <c r="CH79" i="9"/>
  <c r="CI79" i="9" s="1"/>
  <c r="CH90" i="9"/>
  <c r="CI90" i="9" s="1"/>
  <c r="B125" i="19"/>
  <c r="E125" i="19" s="1"/>
  <c r="E15" i="19"/>
  <c r="DU103" i="9"/>
  <c r="DT104" i="9"/>
  <c r="DU104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CH208" i="9"/>
  <c r="CI208" i="9" s="1"/>
  <c r="CH102" i="9"/>
  <c r="CI102" i="9" s="1"/>
  <c r="CH197" i="9"/>
  <c r="CI197" i="9" s="1"/>
  <c r="CH203" i="9"/>
  <c r="CI203" i="9" s="1"/>
  <c r="CH87" i="9"/>
  <c r="CI87" i="9" s="1"/>
  <c r="L17" i="12" l="1"/>
  <c r="V17" i="12" s="1"/>
  <c r="AM14" i="12"/>
  <c r="L12" i="12"/>
  <c r="V12" i="12" s="1"/>
  <c r="AX15" i="12"/>
  <c r="AX22" i="12"/>
  <c r="AP11" i="12"/>
  <c r="AP22" i="12"/>
  <c r="AM21" i="12"/>
  <c r="AX19" i="12"/>
  <c r="AM22" i="12"/>
  <c r="AL11" i="12"/>
  <c r="AX13" i="12"/>
  <c r="L11" i="12"/>
  <c r="AX12" i="12"/>
  <c r="J19" i="12"/>
  <c r="T19" i="12" s="1"/>
  <c r="L220" i="14"/>
  <c r="AH48" i="7"/>
  <c r="L110" i="19"/>
  <c r="L164" i="14"/>
  <c r="L110" i="14"/>
  <c r="AM13" i="12"/>
  <c r="L220" i="19"/>
  <c r="V11" i="12"/>
  <c r="EA42" i="9"/>
  <c r="DZ51" i="9" s="1"/>
  <c r="L10" i="12"/>
  <c r="V10" i="12" s="1"/>
  <c r="AT14" i="12"/>
  <c r="AP15" i="12"/>
  <c r="AT19" i="12"/>
  <c r="AP16" i="12"/>
  <c r="AQ13" i="12"/>
  <c r="AU20" i="12"/>
  <c r="AP13" i="12"/>
  <c r="AU19" i="12"/>
  <c r="J10" i="12"/>
  <c r="T10" i="12" s="1"/>
  <c r="AT21" i="12"/>
  <c r="AL16" i="12"/>
  <c r="AY11" i="12"/>
  <c r="K15" i="12"/>
  <c r="U15" i="12" s="1"/>
  <c r="AU16" i="12"/>
  <c r="J18" i="12"/>
  <c r="T18" i="12" s="1"/>
  <c r="K13" i="12"/>
  <c r="U13" i="12" s="1"/>
  <c r="AY19" i="12"/>
  <c r="AT16" i="12"/>
  <c r="AY16" i="12"/>
  <c r="AQ16" i="12"/>
  <c r="AQ19" i="12"/>
  <c r="K14" i="12"/>
  <c r="U14" i="12" s="1"/>
  <c r="AQ15" i="12"/>
  <c r="AL19" i="12"/>
  <c r="AL15" i="12"/>
  <c r="AU13" i="12"/>
  <c r="AL12" i="12"/>
  <c r="J11" i="12"/>
  <c r="T11" i="12" s="1"/>
  <c r="AY13" i="12"/>
  <c r="AL13" i="12"/>
  <c r="AQ12" i="12"/>
  <c r="AU12" i="12"/>
  <c r="AT12" i="12"/>
  <c r="AY12" i="12"/>
  <c r="AU14" i="12"/>
  <c r="AY20" i="12"/>
  <c r="K18" i="12"/>
  <c r="U18" i="12" s="1"/>
  <c r="AL20" i="12"/>
  <c r="AX14" i="12"/>
  <c r="AQ20" i="12"/>
  <c r="AU15" i="12"/>
  <c r="AM15" i="12"/>
  <c r="AT68" i="7"/>
  <c r="BA44" i="7"/>
  <c r="DT41" i="9"/>
  <c r="AU43" i="7"/>
  <c r="DT40" i="9"/>
  <c r="AU42" i="7"/>
  <c r="AY15" i="12"/>
  <c r="DT39" i="9"/>
  <c r="AU41" i="7"/>
  <c r="AU22" i="12"/>
  <c r="K20" i="12"/>
  <c r="U20" i="12" s="1"/>
  <c r="AT13" i="12"/>
  <c r="AL22" i="12"/>
  <c r="AY22" i="12"/>
  <c r="AQ22" i="12"/>
  <c r="J12" i="12"/>
  <c r="T12" i="12" s="1"/>
  <c r="AL21" i="12"/>
  <c r="AL14" i="12"/>
  <c r="AY14" i="12"/>
  <c r="V13" i="12"/>
  <c r="AQ11" i="12"/>
  <c r="AY21" i="12"/>
  <c r="AY18" i="12"/>
  <c r="AQ21" i="12"/>
  <c r="EJ51" i="9"/>
  <c r="AU21" i="12"/>
  <c r="AU11" i="12"/>
  <c r="AU18" i="12"/>
  <c r="J16" i="12"/>
  <c r="T16" i="12" s="1"/>
  <c r="J15" i="12"/>
  <c r="T15" i="12" s="1"/>
  <c r="AL18" i="12"/>
  <c r="AL17" i="12"/>
  <c r="AQ14" i="12"/>
  <c r="AM11" i="12"/>
  <c r="L9" i="12"/>
  <c r="V9" i="12" s="1"/>
  <c r="AX11" i="12"/>
  <c r="AM17" i="12"/>
  <c r="AX17" i="12"/>
  <c r="AT11" i="12"/>
  <c r="K9" i="12"/>
  <c r="U9" i="12" s="1"/>
  <c r="AQ17" i="12"/>
  <c r="AX18" i="12"/>
  <c r="V16" i="12"/>
  <c r="AM18" i="12"/>
  <c r="AP19" i="12"/>
  <c r="J17" i="12"/>
  <c r="T17" i="12" s="1"/>
  <c r="AY17" i="12"/>
  <c r="AQ18" i="12"/>
  <c r="AU17" i="12"/>
  <c r="V14" i="12"/>
  <c r="AX16" i="12"/>
  <c r="AM16" i="12"/>
  <c r="EJ50" i="9"/>
  <c r="EJ49" i="9"/>
  <c r="EF104" i="9"/>
  <c r="EE113" i="9" s="1"/>
  <c r="N47" i="7"/>
  <c r="L109" i="14" s="1"/>
  <c r="AU25" i="7"/>
  <c r="BA25" i="7" s="1"/>
  <c r="EF42" i="9"/>
  <c r="EE51" i="9" s="1"/>
  <c r="V61" i="16"/>
  <c r="DT9" i="9"/>
  <c r="AK2" i="18"/>
  <c r="AK3" i="18" s="1"/>
  <c r="DT11" i="9"/>
  <c r="AU27" i="7"/>
  <c r="BA27" i="7" s="1"/>
  <c r="BC119" i="9"/>
  <c r="AU24" i="7"/>
  <c r="BA24" i="7" s="1"/>
  <c r="AU30" i="7"/>
  <c r="AT54" i="7" s="1"/>
  <c r="DS113" i="9"/>
  <c r="AI57" i="9"/>
  <c r="F35" i="9"/>
  <c r="BS216" i="9"/>
  <c r="BT216" i="9" s="1"/>
  <c r="BS94" i="9"/>
  <c r="BT94" i="9" s="1"/>
  <c r="EK94" i="9" s="1"/>
  <c r="BS222" i="9"/>
  <c r="BT222" i="9" s="1"/>
  <c r="BM118" i="9"/>
  <c r="F14" i="9" s="1"/>
  <c r="O48" i="7" s="1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DS111" i="9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M242" i="9"/>
  <c r="BM24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G14" i="9"/>
  <c r="BM181" i="9"/>
  <c r="BC181" i="9"/>
  <c r="G13" i="9"/>
  <c r="AS181" i="9"/>
  <c r="G12" i="9"/>
  <c r="DT34" i="9"/>
  <c r="AU36" i="7"/>
  <c r="AU23" i="7"/>
  <c r="BA23" i="7" s="1"/>
  <c r="DT21" i="9"/>
  <c r="H37" i="4"/>
  <c r="O45" i="7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DT19" i="9"/>
  <c r="AU21" i="7"/>
  <c r="BA21" i="7" s="1"/>
  <c r="AU16" i="7"/>
  <c r="BA16" i="7" s="1"/>
  <c r="DT14" i="9"/>
  <c r="BS84" i="9"/>
  <c r="BT84" i="9" s="1"/>
  <c r="BS209" i="9"/>
  <c r="BT209" i="9" s="1"/>
  <c r="BS199" i="9"/>
  <c r="BT199" i="9" s="1"/>
  <c r="BS227" i="9"/>
  <c r="BT227" i="9" s="1"/>
  <c r="AU22" i="7"/>
  <c r="BA22" i="7" s="1"/>
  <c r="DT20" i="9"/>
  <c r="DT31" i="9"/>
  <c r="AU33" i="7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DT30" i="9"/>
  <c r="AU32" i="7"/>
  <c r="DT15" i="9"/>
  <c r="AU17" i="7"/>
  <c r="BA17" i="7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X14" i="16"/>
  <c r="W14" i="16"/>
  <c r="AA14" i="16"/>
  <c r="BS215" i="9"/>
  <c r="BT215" i="9" s="1"/>
  <c r="D16" i="16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L108" i="19"/>
  <c r="L218" i="19"/>
  <c r="L108" i="14"/>
  <c r="L53" i="14"/>
  <c r="L115" i="10"/>
  <c r="L169" i="10" s="1"/>
  <c r="W54" i="19"/>
  <c r="L218" i="14"/>
  <c r="L162" i="14"/>
  <c r="AH46" i="7"/>
  <c r="DT27" i="9"/>
  <c r="AU29" i="7"/>
  <c r="DS112" i="9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T9" i="12"/>
  <c r="G37" i="4"/>
  <c r="N45" i="7"/>
  <c r="DT12" i="9"/>
  <c r="AU14" i="7"/>
  <c r="BA14" i="7" s="1"/>
  <c r="B126" i="19"/>
  <c r="E126" i="19" s="1"/>
  <c r="E16" i="19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H39" i="4"/>
  <c r="O47" i="7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Z30" i="10"/>
  <c r="E124" i="5"/>
  <c r="B17" i="19"/>
  <c r="B17" i="16"/>
  <c r="DT32" i="9"/>
  <c r="AU34" i="7"/>
  <c r="AB31" i="10"/>
  <c r="I123" i="5"/>
  <c r="L123" i="5"/>
  <c r="G16" i="19" s="1"/>
  <c r="G126" i="19" s="1"/>
  <c r="DT10" i="9"/>
  <c r="AU12" i="7"/>
  <c r="BA12" i="7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R26" i="17"/>
  <c r="R27" i="17" s="1"/>
  <c r="R28" i="17" s="1"/>
  <c r="BS90" i="9"/>
  <c r="BT90" i="9" s="1"/>
  <c r="BS212" i="9"/>
  <c r="BT212" i="9" s="1"/>
  <c r="C125" i="5"/>
  <c r="AE20" i="5"/>
  <c r="AF21" i="5"/>
  <c r="B125" i="5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C17" i="16"/>
  <c r="AA30" i="10"/>
  <c r="C17" i="19"/>
  <c r="C127" i="1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BS71" i="9"/>
  <c r="BT71" i="9" s="1"/>
  <c r="P52" i="14"/>
  <c r="Q45" i="7"/>
  <c r="AK45" i="7" s="1"/>
  <c r="P107" i="14"/>
  <c r="P107" i="19"/>
  <c r="P161" i="14"/>
  <c r="P217" i="19"/>
  <c r="P217" i="14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BS76" i="9"/>
  <c r="BT76" i="9" s="1"/>
  <c r="BS221" i="9"/>
  <c r="BT221" i="9" s="1"/>
  <c r="DT33" i="9"/>
  <c r="AU35" i="7"/>
  <c r="DT36" i="9"/>
  <c r="AU38" i="7"/>
  <c r="DT37" i="9"/>
  <c r="AU39" i="7"/>
  <c r="AY74" i="9"/>
  <c r="AZ74" i="9" s="1"/>
  <c r="AY103" i="9"/>
  <c r="AZ103" i="9" s="1"/>
  <c r="EA103" i="9" s="1"/>
  <c r="AY76" i="9"/>
  <c r="AZ76" i="9" s="1"/>
  <c r="AY226" i="9"/>
  <c r="AZ226" i="9" s="1"/>
  <c r="AY196" i="9"/>
  <c r="AZ196" i="9" s="1"/>
  <c r="AY201" i="9"/>
  <c r="AZ201" i="9" s="1"/>
  <c r="DT35" i="9"/>
  <c r="AU37" i="7"/>
  <c r="W15" i="16"/>
  <c r="X15" i="16"/>
  <c r="AA15" i="16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DT38" i="9"/>
  <c r="AU40" i="7"/>
  <c r="AU19" i="7"/>
  <c r="BA19" i="7" s="1"/>
  <c r="DT17" i="9"/>
  <c r="DT29" i="9"/>
  <c r="AU31" i="7"/>
  <c r="DT24" i="9"/>
  <c r="AU26" i="7"/>
  <c r="BA26" i="7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T18" i="9"/>
  <c r="AU20" i="7"/>
  <c r="BA20" i="7" s="1"/>
  <c r="DT26" i="9"/>
  <c r="AU28" i="7"/>
  <c r="AU15" i="7"/>
  <c r="BA15" i="7" s="1"/>
  <c r="DT13" i="9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AU18" i="7"/>
  <c r="BA18" i="7" s="1"/>
  <c r="DT16" i="9"/>
  <c r="P219" i="19"/>
  <c r="P54" i="14"/>
  <c r="P163" i="14"/>
  <c r="P109" i="14"/>
  <c r="P219" i="14"/>
  <c r="Q47" i="7"/>
  <c r="AK47" i="7" s="1"/>
  <c r="W37" i="13" s="1"/>
  <c r="P109" i="19"/>
  <c r="M19" i="12" l="1"/>
  <c r="DZ49" i="9"/>
  <c r="DZ50" i="9"/>
  <c r="M11" i="12"/>
  <c r="AS13" i="12"/>
  <c r="AW13" i="12"/>
  <c r="M10" i="12"/>
  <c r="AO14" i="12"/>
  <c r="AS12" i="12"/>
  <c r="AW12" i="12"/>
  <c r="M12" i="12"/>
  <c r="EE111" i="9"/>
  <c r="M18" i="12"/>
  <c r="EE112" i="9"/>
  <c r="M16" i="12"/>
  <c r="M13" i="12"/>
  <c r="DT42" i="9"/>
  <c r="DS50" i="9" s="1"/>
  <c r="M17" i="12"/>
  <c r="L54" i="14"/>
  <c r="L163" i="14"/>
  <c r="AH47" i="7"/>
  <c r="L109" i="19"/>
  <c r="M9" i="12"/>
  <c r="AT66" i="7"/>
  <c r="BA42" i="7"/>
  <c r="AT67" i="7"/>
  <c r="BA43" i="7"/>
  <c r="W55" i="19"/>
  <c r="AS16" i="12"/>
  <c r="L219" i="14"/>
  <c r="K22" i="12"/>
  <c r="L116" i="10"/>
  <c r="L170" i="10" s="1"/>
  <c r="L219" i="19"/>
  <c r="M20" i="12"/>
  <c r="AS14" i="12"/>
  <c r="AS15" i="12"/>
  <c r="J22" i="12"/>
  <c r="AO16" i="12"/>
  <c r="BA13" i="12"/>
  <c r="AW14" i="12"/>
  <c r="AO13" i="12"/>
  <c r="AO12" i="12"/>
  <c r="BA14" i="12"/>
  <c r="BA12" i="12"/>
  <c r="AT65" i="7"/>
  <c r="BA41" i="7"/>
  <c r="AW16" i="12"/>
  <c r="AW15" i="12"/>
  <c r="M14" i="12"/>
  <c r="L22" i="12"/>
  <c r="AO15" i="12"/>
  <c r="EJ52" i="9"/>
  <c r="F39" i="13" s="1"/>
  <c r="BA15" i="12"/>
  <c r="BA16" i="12"/>
  <c r="V15" i="12"/>
  <c r="V22" i="12" s="1"/>
  <c r="V25" i="12" s="1"/>
  <c r="M15" i="12"/>
  <c r="EE50" i="9"/>
  <c r="EE49" i="9"/>
  <c r="AT51" i="7"/>
  <c r="DS114" i="9"/>
  <c r="X36" i="13" s="1"/>
  <c r="BA30" i="7"/>
  <c r="EA104" i="9"/>
  <c r="DZ112" i="9" s="1"/>
  <c r="BM119" i="9"/>
  <c r="H14" i="9"/>
  <c r="Q48" i="7" s="1"/>
  <c r="AK48" i="7" s="1"/>
  <c r="W38" i="13" s="1"/>
  <c r="D17" i="16"/>
  <c r="V63" i="16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I12" i="17" s="1"/>
  <c r="AT57" i="7"/>
  <c r="BA33" i="7"/>
  <c r="B127" i="19"/>
  <c r="E127" i="19" s="1"/>
  <c r="E17" i="19"/>
  <c r="AT53" i="7"/>
  <c r="BA29" i="7"/>
  <c r="AT56" i="7"/>
  <c r="BA32" i="7"/>
  <c r="M55" i="14"/>
  <c r="AI48" i="7"/>
  <c r="M110" i="19"/>
  <c r="M220" i="19"/>
  <c r="M220" i="14"/>
  <c r="M110" i="14"/>
  <c r="M164" i="14"/>
  <c r="AB30" i="10"/>
  <c r="I124" i="5"/>
  <c r="L124" i="5"/>
  <c r="G17" i="19" s="1"/>
  <c r="G127" i="19" s="1"/>
  <c r="EJ111" i="9"/>
  <c r="EJ112" i="9"/>
  <c r="EJ113" i="9"/>
  <c r="AT60" i="7"/>
  <c r="BA36" i="7"/>
  <c r="AT52" i="7"/>
  <c r="BA28" i="7"/>
  <c r="AT63" i="7"/>
  <c r="BA39" i="7"/>
  <c r="L161" i="14"/>
  <c r="AH45" i="7"/>
  <c r="W53" i="19"/>
  <c r="L114" i="10"/>
  <c r="L168" i="10" s="1"/>
  <c r="L107" i="19"/>
  <c r="L217" i="14"/>
  <c r="L217" i="19"/>
  <c r="L107" i="14"/>
  <c r="L52" i="14"/>
  <c r="O218" i="19"/>
  <c r="O53" i="14"/>
  <c r="O108" i="14"/>
  <c r="O108" i="19"/>
  <c r="O162" i="14"/>
  <c r="O218" i="14"/>
  <c r="P46" i="7"/>
  <c r="AJ46" i="7" s="1"/>
  <c r="E37" i="13" s="1"/>
  <c r="AT55" i="7"/>
  <c r="BA31" i="7"/>
  <c r="Z29" i="10"/>
  <c r="E125" i="5"/>
  <c r="B18" i="16"/>
  <c r="B18" i="19"/>
  <c r="V62" i="16"/>
  <c r="L16" i="16"/>
  <c r="V16" i="16" s="1"/>
  <c r="O109" i="19"/>
  <c r="O109" i="14"/>
  <c r="O219" i="14"/>
  <c r="O219" i="19"/>
  <c r="P47" i="7"/>
  <c r="AJ47" i="7" s="1"/>
  <c r="E38" i="13" s="1"/>
  <c r="O54" i="14"/>
  <c r="O163" i="14"/>
  <c r="C18" i="19"/>
  <c r="C128" i="19" s="1"/>
  <c r="C18" i="16"/>
  <c r="AA29" i="10"/>
  <c r="AT62" i="7"/>
  <c r="BA38" i="7"/>
  <c r="AT61" i="7"/>
  <c r="BA37" i="7"/>
  <c r="AT59" i="7"/>
  <c r="BA35" i="7"/>
  <c r="BA34" i="7"/>
  <c r="AT58" i="7"/>
  <c r="C126" i="5"/>
  <c r="AE19" i="5"/>
  <c r="AF20" i="5"/>
  <c r="AT64" i="7"/>
  <c r="BA40" i="7"/>
  <c r="F12" i="9"/>
  <c r="AS119" i="9"/>
  <c r="X55" i="19"/>
  <c r="M116" i="10"/>
  <c r="M170" i="10" s="1"/>
  <c r="M109" i="19"/>
  <c r="M54" i="14"/>
  <c r="M219" i="14"/>
  <c r="AI47" i="7"/>
  <c r="M219" i="19"/>
  <c r="M109" i="14"/>
  <c r="M163" i="14"/>
  <c r="M107" i="19"/>
  <c r="M217" i="14"/>
  <c r="M107" i="14"/>
  <c r="M114" i="10"/>
  <c r="M168" i="10" s="1"/>
  <c r="M52" i="14"/>
  <c r="X53" i="19"/>
  <c r="M161" i="14"/>
  <c r="AI45" i="7"/>
  <c r="M217" i="19"/>
  <c r="O55" i="14"/>
  <c r="O220" i="14"/>
  <c r="O110" i="19"/>
  <c r="P48" i="7"/>
  <c r="AJ48" i="7" s="1"/>
  <c r="E39" i="13" s="1"/>
  <c r="O110" i="14"/>
  <c r="O164" i="14"/>
  <c r="O220" i="19"/>
  <c r="V12" i="17" l="1"/>
  <c r="M12" i="17" s="1"/>
  <c r="S12" i="17"/>
  <c r="T12" i="17"/>
  <c r="J12" i="17"/>
  <c r="U12" i="17"/>
  <c r="L12" i="17" s="1"/>
  <c r="W12" i="17"/>
  <c r="N12" i="17"/>
  <c r="I14" i="17"/>
  <c r="W14" i="17" s="1"/>
  <c r="I13" i="17"/>
  <c r="DZ52" i="9"/>
  <c r="F37" i="13" s="1"/>
  <c r="EE114" i="9"/>
  <c r="X38" i="13" s="1"/>
  <c r="DS51" i="9"/>
  <c r="DS49" i="9"/>
  <c r="M22" i="12"/>
  <c r="O9" i="12" s="1"/>
  <c r="X9" i="12" s="1"/>
  <c r="V23" i="12"/>
  <c r="V26" i="12" s="1"/>
  <c r="V27" i="12" s="1"/>
  <c r="V28" i="12" s="1"/>
  <c r="AW17" i="12"/>
  <c r="D48" i="12" s="1"/>
  <c r="AS17" i="12"/>
  <c r="C48" i="12" s="1"/>
  <c r="AO17" i="12"/>
  <c r="G48" i="12" s="1"/>
  <c r="BA17" i="12"/>
  <c r="E48" i="12" s="1"/>
  <c r="I30" i="17"/>
  <c r="N30" i="17" s="1"/>
  <c r="I15" i="17"/>
  <c r="AZ35" i="7"/>
  <c r="AZ40" i="7"/>
  <c r="AZ31" i="7"/>
  <c r="AZ36" i="7"/>
  <c r="AZ37" i="7"/>
  <c r="AZ39" i="7"/>
  <c r="AZ38" i="7"/>
  <c r="AZ34" i="7"/>
  <c r="AZ33" i="7"/>
  <c r="AZ29" i="7"/>
  <c r="AZ25" i="7"/>
  <c r="AZ27" i="7"/>
  <c r="AZ26" i="7"/>
  <c r="AZ28" i="7"/>
  <c r="AZ30" i="7"/>
  <c r="AZ32" i="7"/>
  <c r="EE52" i="9"/>
  <c r="F38" i="13" s="1"/>
  <c r="DZ111" i="9"/>
  <c r="DZ113" i="9"/>
  <c r="P220" i="14"/>
  <c r="P110" i="19"/>
  <c r="P55" i="14"/>
  <c r="P110" i="14"/>
  <c r="P220" i="19"/>
  <c r="L17" i="16"/>
  <c r="V17" i="16" s="1"/>
  <c r="W17" i="16" s="1"/>
  <c r="P164" i="14"/>
  <c r="EJ114" i="9"/>
  <c r="AZ43" i="7"/>
  <c r="I37" i="17"/>
  <c r="N37" i="17" s="1"/>
  <c r="I18" i="17"/>
  <c r="N18" i="17" s="1"/>
  <c r="I27" i="17"/>
  <c r="W27" i="17" s="1"/>
  <c r="I47" i="17"/>
  <c r="W47" i="17" s="1"/>
  <c r="I20" i="17"/>
  <c r="N20" i="17" s="1"/>
  <c r="I25" i="17"/>
  <c r="N25" i="17" s="1"/>
  <c r="I46" i="17"/>
  <c r="N46" i="17" s="1"/>
  <c r="I17" i="17"/>
  <c r="N17" i="17" s="1"/>
  <c r="I33" i="17"/>
  <c r="N33" i="17" s="1"/>
  <c r="I39" i="17"/>
  <c r="N39" i="17" s="1"/>
  <c r="I19" i="17"/>
  <c r="N19" i="17" s="1"/>
  <c r="I35" i="17"/>
  <c r="N35" i="17" s="1"/>
  <c r="I40" i="17"/>
  <c r="W40" i="17" s="1"/>
  <c r="I16" i="17"/>
  <c r="I44" i="17"/>
  <c r="W44" i="17" s="1"/>
  <c r="I28" i="17"/>
  <c r="N28" i="17" s="1"/>
  <c r="AW2" i="7"/>
  <c r="BB3" i="7" s="1"/>
  <c r="I21" i="17"/>
  <c r="N21" i="17" s="1"/>
  <c r="I36" i="17"/>
  <c r="N36" i="17" s="1"/>
  <c r="I43" i="17"/>
  <c r="W43" i="17" s="1"/>
  <c r="AZ44" i="7"/>
  <c r="I34" i="17"/>
  <c r="N34" i="17" s="1"/>
  <c r="I29" i="17"/>
  <c r="W29" i="17" s="1"/>
  <c r="I32" i="17"/>
  <c r="W32" i="17" s="1"/>
  <c r="I26" i="17"/>
  <c r="W26" i="17" s="1"/>
  <c r="I38" i="17"/>
  <c r="W38" i="17" s="1"/>
  <c r="I24" i="17"/>
  <c r="W24" i="17" s="1"/>
  <c r="I41" i="17"/>
  <c r="N41" i="17" s="1"/>
  <c r="I42" i="17"/>
  <c r="N42" i="17" s="1"/>
  <c r="I23" i="17"/>
  <c r="W23" i="17" s="1"/>
  <c r="D18" i="16"/>
  <c r="V64" i="16" s="1"/>
  <c r="I31" i="17"/>
  <c r="W31" i="17" s="1"/>
  <c r="I22" i="17"/>
  <c r="N22" i="17" s="1"/>
  <c r="I45" i="17"/>
  <c r="W45" i="17" s="1"/>
  <c r="I125" i="5"/>
  <c r="AB29" i="10"/>
  <c r="L125" i="5"/>
  <c r="G18" i="19" s="1"/>
  <c r="G128" i="19" s="1"/>
  <c r="B126" i="5"/>
  <c r="C127" i="5"/>
  <c r="AE18" i="5"/>
  <c r="AF19" i="5"/>
  <c r="B127" i="5" s="1"/>
  <c r="C19" i="16"/>
  <c r="C19" i="19"/>
  <c r="C129" i="19" s="1"/>
  <c r="AA28" i="10"/>
  <c r="X16" i="16"/>
  <c r="W16" i="16"/>
  <c r="AA16" i="16"/>
  <c r="AZ41" i="7"/>
  <c r="AZ42" i="7"/>
  <c r="O46" i="7"/>
  <c r="H38" i="4"/>
  <c r="B128" i="19"/>
  <c r="E128" i="19" s="1"/>
  <c r="E18" i="19"/>
  <c r="O10" i="12" l="1"/>
  <c r="X10" i="12" s="1"/>
  <c r="O17" i="12"/>
  <c r="X17" i="12" s="1"/>
  <c r="K12" i="17"/>
  <c r="O12" i="12"/>
  <c r="X12" i="12" s="1"/>
  <c r="O19" i="12"/>
  <c r="X19" i="12" s="1"/>
  <c r="O20" i="12"/>
  <c r="X20" i="12" s="1"/>
  <c r="O11" i="12"/>
  <c r="X11" i="12" s="1"/>
  <c r="N14" i="17"/>
  <c r="O16" i="12"/>
  <c r="X16" i="12" s="1"/>
  <c r="O15" i="12"/>
  <c r="X15" i="12" s="1"/>
  <c r="O18" i="12"/>
  <c r="X18" i="12" s="1"/>
  <c r="O14" i="12"/>
  <c r="X14" i="12" s="1"/>
  <c r="O13" i="12"/>
  <c r="X13" i="12" s="1"/>
  <c r="N13" i="17"/>
  <c r="W13" i="17"/>
  <c r="U13" i="17"/>
  <c r="L13" i="17" s="1"/>
  <c r="V13" i="17"/>
  <c r="AB13" i="17" s="1"/>
  <c r="T13" i="17"/>
  <c r="S13" i="17"/>
  <c r="J13" i="17" s="1"/>
  <c r="K13" i="17"/>
  <c r="DS52" i="9"/>
  <c r="F36" i="13" s="1"/>
  <c r="N44" i="17"/>
  <c r="W30" i="17"/>
  <c r="N15" i="17"/>
  <c r="W15" i="17"/>
  <c r="N32" i="17"/>
  <c r="W37" i="17"/>
  <c r="W28" i="17"/>
  <c r="DZ114" i="9"/>
  <c r="X37" i="13" s="1"/>
  <c r="W18" i="17"/>
  <c r="N16" i="17"/>
  <c r="W34" i="17"/>
  <c r="W16" i="17"/>
  <c r="N26" i="17"/>
  <c r="N38" i="17"/>
  <c r="N40" i="17"/>
  <c r="W35" i="17"/>
  <c r="AA17" i="16"/>
  <c r="N27" i="17"/>
  <c r="X17" i="16"/>
  <c r="N24" i="17"/>
  <c r="N43" i="17"/>
  <c r="W17" i="17"/>
  <c r="W21" i="17"/>
  <c r="AV2" i="7"/>
  <c r="AV3" i="7" s="1"/>
  <c r="W25" i="17"/>
  <c r="W36" i="17"/>
  <c r="W20" i="17"/>
  <c r="L18" i="16"/>
  <c r="V18" i="16" s="1"/>
  <c r="AA18" i="16" s="1"/>
  <c r="N47" i="17"/>
  <c r="N23" i="17"/>
  <c r="W22" i="17"/>
  <c r="W39" i="17"/>
  <c r="W19" i="17"/>
  <c r="N31" i="17"/>
  <c r="W42" i="17"/>
  <c r="W46" i="17"/>
  <c r="N29" i="17"/>
  <c r="AW3" i="7"/>
  <c r="W41" i="17"/>
  <c r="W33" i="17"/>
  <c r="N45" i="17"/>
  <c r="M108" i="14"/>
  <c r="M53" i="14"/>
  <c r="M218" i="14"/>
  <c r="M218" i="19"/>
  <c r="X54" i="19"/>
  <c r="M108" i="19"/>
  <c r="M162" i="14"/>
  <c r="AI46" i="7"/>
  <c r="M115" i="10"/>
  <c r="M169" i="10" s="1"/>
  <c r="E127" i="5"/>
  <c r="Z27" i="10"/>
  <c r="B20" i="19"/>
  <c r="B20" i="16"/>
  <c r="AE17" i="5"/>
  <c r="C58" i="5" s="1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V30" i="12"/>
  <c r="V31" i="12"/>
  <c r="O22" i="12" l="1"/>
  <c r="S14" i="17"/>
  <c r="T14" i="17"/>
  <c r="M13" i="17"/>
  <c r="Z13" i="17"/>
  <c r="U14" i="17"/>
  <c r="AA13" i="17"/>
  <c r="V14" i="17"/>
  <c r="W18" i="16"/>
  <c r="X18" i="16"/>
  <c r="W49" i="17"/>
  <c r="N49" i="17" s="1"/>
  <c r="L19" i="16"/>
  <c r="V19" i="16" s="1"/>
  <c r="V65" i="16"/>
  <c r="C21" i="16"/>
  <c r="AA26" i="10"/>
  <c r="C21" i="19"/>
  <c r="C131" i="19" s="1"/>
  <c r="I126" i="5"/>
  <c r="AB28" i="10"/>
  <c r="L126" i="5"/>
  <c r="G19" i="19" s="1"/>
  <c r="G129" i="19" s="1"/>
  <c r="C129" i="5"/>
  <c r="AE16" i="5"/>
  <c r="AF17" i="5"/>
  <c r="AB27" i="10"/>
  <c r="I127" i="5"/>
  <c r="L127" i="5"/>
  <c r="G20" i="19" s="1"/>
  <c r="G130" i="19" s="1"/>
  <c r="E19" i="19"/>
  <c r="B129" i="19"/>
  <c r="E129" i="19" s="1"/>
  <c r="D20" i="16"/>
  <c r="B21" i="16"/>
  <c r="Z26" i="10"/>
  <c r="B21" i="19"/>
  <c r="E128" i="5"/>
  <c r="E20" i="19"/>
  <c r="B130" i="19"/>
  <c r="E130" i="19" s="1"/>
  <c r="AC13" i="17" l="1"/>
  <c r="AC12" i="17"/>
  <c r="AB14" i="17"/>
  <c r="M14" i="17"/>
  <c r="AA14" i="17"/>
  <c r="V15" i="17"/>
  <c r="L14" i="17"/>
  <c r="J14" i="17"/>
  <c r="T15" i="17"/>
  <c r="S15" i="17"/>
  <c r="Z14" i="17"/>
  <c r="K14" i="17"/>
  <c r="U15" i="17"/>
  <c r="AC44" i="17"/>
  <c r="AC14" i="17"/>
  <c r="AC15" i="17"/>
  <c r="B129" i="5"/>
  <c r="B22" i="19" s="1"/>
  <c r="C57" i="5"/>
  <c r="C59" i="5" s="1"/>
  <c r="AC19" i="17"/>
  <c r="AC42" i="17"/>
  <c r="AC18" i="17"/>
  <c r="AC30" i="17"/>
  <c r="AC24" i="17"/>
  <c r="AC45" i="17"/>
  <c r="AC26" i="17"/>
  <c r="AC17" i="17"/>
  <c r="AC46" i="17"/>
  <c r="AC29" i="17"/>
  <c r="AC32" i="17"/>
  <c r="AC16" i="17"/>
  <c r="AC27" i="17"/>
  <c r="AC36" i="17"/>
  <c r="AC40" i="17"/>
  <c r="AC39" i="17"/>
  <c r="AC47" i="17"/>
  <c r="AC38" i="17"/>
  <c r="AC31" i="17"/>
  <c r="AC21" i="17"/>
  <c r="AC34" i="17"/>
  <c r="AC33" i="17"/>
  <c r="AC20" i="17"/>
  <c r="AC35" i="17"/>
  <c r="AC43" i="17"/>
  <c r="AC22" i="17"/>
  <c r="AC37" i="17"/>
  <c r="AC25" i="17"/>
  <c r="AC28" i="17"/>
  <c r="AC23" i="17"/>
  <c r="AC41" i="17"/>
  <c r="D21" i="16"/>
  <c r="V67" i="16" s="1"/>
  <c r="C130" i="5"/>
  <c r="AE15" i="5"/>
  <c r="AF16" i="5"/>
  <c r="B130" i="5" s="1"/>
  <c r="E21" i="19"/>
  <c r="B131" i="19"/>
  <c r="E131" i="19" s="1"/>
  <c r="AA25" i="10"/>
  <c r="C22" i="19"/>
  <c r="C132" i="19" s="1"/>
  <c r="C22" i="16"/>
  <c r="L128" i="5"/>
  <c r="G21" i="19" s="1"/>
  <c r="G131" i="19" s="1"/>
  <c r="AB26" i="10"/>
  <c r="I128" i="5"/>
  <c r="V66" i="16"/>
  <c r="L20" i="16"/>
  <c r="V20" i="16" s="1"/>
  <c r="W19" i="16"/>
  <c r="X19" i="16"/>
  <c r="AA19" i="16"/>
  <c r="T16" i="17" l="1"/>
  <c r="K16" i="17" s="1"/>
  <c r="AA15" i="17"/>
  <c r="L15" i="17"/>
  <c r="AB15" i="17"/>
  <c r="M15" i="17"/>
  <c r="S16" i="17"/>
  <c r="S17" i="17" s="1"/>
  <c r="J17" i="17" s="1"/>
  <c r="J15" i="17"/>
  <c r="V16" i="17"/>
  <c r="Z15" i="17"/>
  <c r="K15" i="17"/>
  <c r="U16" i="17"/>
  <c r="B22" i="16"/>
  <c r="D22" i="16" s="1"/>
  <c r="V68" i="16" s="1"/>
  <c r="Z25" i="10"/>
  <c r="E129" i="5"/>
  <c r="L129" i="5" s="1"/>
  <c r="G22" i="19" s="1"/>
  <c r="G132" i="19" s="1"/>
  <c r="L21" i="16"/>
  <c r="V21" i="16" s="1"/>
  <c r="X21" i="16" s="1"/>
  <c r="AC49" i="17"/>
  <c r="N50" i="17" s="1"/>
  <c r="E22" i="19"/>
  <c r="B132" i="19"/>
  <c r="E132" i="19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A20" i="16"/>
  <c r="W20" i="16"/>
  <c r="X20" i="16"/>
  <c r="U17" i="17" l="1"/>
  <c r="L17" i="17" s="1"/>
  <c r="Z16" i="17"/>
  <c r="M16" i="17"/>
  <c r="AB16" i="17"/>
  <c r="L16" i="17"/>
  <c r="V17" i="17"/>
  <c r="AA16" i="17"/>
  <c r="J16" i="17"/>
  <c r="T17" i="17"/>
  <c r="S18" i="17"/>
  <c r="AB25" i="10"/>
  <c r="I129" i="5"/>
  <c r="AA21" i="16"/>
  <c r="W21" i="16"/>
  <c r="D23" i="16"/>
  <c r="V69" i="16" s="1"/>
  <c r="L22" i="16"/>
  <c r="V22" i="16" s="1"/>
  <c r="X22" i="16" s="1"/>
  <c r="AE13" i="5"/>
  <c r="C132" i="5"/>
  <c r="AF14" i="5"/>
  <c r="B132" i="5" s="1"/>
  <c r="AB24" i="10"/>
  <c r="I130" i="5"/>
  <c r="L130" i="5"/>
  <c r="G23" i="19" s="1"/>
  <c r="G133" i="19" s="1"/>
  <c r="C24" i="19"/>
  <c r="C134" i="19" s="1"/>
  <c r="C24" i="16"/>
  <c r="AA23" i="10"/>
  <c r="E23" i="19"/>
  <c r="B133" i="19"/>
  <c r="E133" i="19" s="1"/>
  <c r="B24" i="19"/>
  <c r="E131" i="5"/>
  <c r="B24" i="16"/>
  <c r="Z23" i="10"/>
  <c r="AA17" i="17" l="1"/>
  <c r="Z17" i="17"/>
  <c r="K17" i="17"/>
  <c r="U18" i="17"/>
  <c r="M17" i="17"/>
  <c r="V18" i="17"/>
  <c r="AB17" i="17"/>
  <c r="J18" i="17"/>
  <c r="S19" i="17"/>
  <c r="T18" i="17"/>
  <c r="L23" i="16"/>
  <c r="V23" i="16" s="1"/>
  <c r="X23" i="16" s="1"/>
  <c r="W22" i="16"/>
  <c r="AA22" i="16"/>
  <c r="D24" i="16"/>
  <c r="L24" i="16" s="1"/>
  <c r="V24" i="16" s="1"/>
  <c r="E132" i="5"/>
  <c r="Z22" i="10"/>
  <c r="B25" i="16"/>
  <c r="AA22" i="10"/>
  <c r="C25" i="16"/>
  <c r="AE12" i="5"/>
  <c r="C133" i="5"/>
  <c r="AF13" i="5"/>
  <c r="B133" i="5" s="1"/>
  <c r="L131" i="5"/>
  <c r="G24" i="19" s="1"/>
  <c r="G134" i="19" s="1"/>
  <c r="AB23" i="10"/>
  <c r="I131" i="5"/>
  <c r="E24" i="19"/>
  <c r="B134" i="19"/>
  <c r="E134" i="19" s="1"/>
  <c r="S20" i="17" l="1"/>
  <c r="S21" i="17" s="1"/>
  <c r="J21" i="17" s="1"/>
  <c r="J19" i="17"/>
  <c r="K18" i="17"/>
  <c r="T19" i="17"/>
  <c r="U19" i="17"/>
  <c r="AB18" i="17"/>
  <c r="M18" i="17"/>
  <c r="L18" i="17"/>
  <c r="AA18" i="17"/>
  <c r="V19" i="17"/>
  <c r="V70" i="16"/>
  <c r="W23" i="16"/>
  <c r="AA23" i="16"/>
  <c r="X24" i="16"/>
  <c r="AA24" i="16"/>
  <c r="W24" i="16"/>
  <c r="Z21" i="10"/>
  <c r="E133" i="5"/>
  <c r="B26" i="16"/>
  <c r="D25" i="16"/>
  <c r="C26" i="16"/>
  <c r="AA21" i="10"/>
  <c r="C134" i="5"/>
  <c r="AE11" i="5"/>
  <c r="AF11" i="5" s="1"/>
  <c r="AF12" i="5"/>
  <c r="B134" i="5" s="1"/>
  <c r="L132" i="5"/>
  <c r="AB22" i="10"/>
  <c r="I132" i="5"/>
  <c r="S22" i="17" l="1"/>
  <c r="J22" i="17" s="1"/>
  <c r="M19" i="17"/>
  <c r="AB19" i="17"/>
  <c r="K19" i="17"/>
  <c r="U20" i="17"/>
  <c r="T20" i="17"/>
  <c r="AA19" i="17"/>
  <c r="L19" i="17"/>
  <c r="V20" i="17"/>
  <c r="J20" i="17"/>
  <c r="L25" i="16"/>
  <c r="V25" i="16" s="1"/>
  <c r="V71" i="16"/>
  <c r="I133" i="5"/>
  <c r="AB21" i="10"/>
  <c r="L133" i="5"/>
  <c r="AA20" i="10"/>
  <c r="C27" i="16"/>
  <c r="D26" i="16"/>
  <c r="Z20" i="10"/>
  <c r="E134" i="5"/>
  <c r="B27" i="16"/>
  <c r="U21" i="17" l="1"/>
  <c r="L21" i="17" s="1"/>
  <c r="S23" i="17"/>
  <c r="T21" i="17"/>
  <c r="K20" i="17"/>
  <c r="T22" i="17"/>
  <c r="K22" i="17" s="1"/>
  <c r="AB20" i="17"/>
  <c r="M20" i="17"/>
  <c r="AA20" i="17"/>
  <c r="L20" i="17"/>
  <c r="V21" i="17"/>
  <c r="V72" i="16"/>
  <c r="L26" i="16"/>
  <c r="V26" i="16" s="1"/>
  <c r="AA25" i="16"/>
  <c r="X25" i="16"/>
  <c r="W25" i="16"/>
  <c r="D27" i="16"/>
  <c r="I134" i="5"/>
  <c r="L134" i="5"/>
  <c r="AB20" i="10"/>
  <c r="U22" i="17" l="1"/>
  <c r="L22" i="17" s="1"/>
  <c r="AA21" i="17"/>
  <c r="J23" i="17"/>
  <c r="S24" i="17"/>
  <c r="AB21" i="17"/>
  <c r="V22" i="17"/>
  <c r="M21" i="17"/>
  <c r="T23" i="17"/>
  <c r="K21" i="17"/>
  <c r="L27" i="16"/>
  <c r="V27" i="16" s="1"/>
  <c r="V73" i="16"/>
  <c r="W26" i="16"/>
  <c r="X26" i="16"/>
  <c r="AA26" i="16"/>
  <c r="U23" i="17" l="1"/>
  <c r="U24" i="17" s="1"/>
  <c r="AA22" i="17"/>
  <c r="J24" i="17"/>
  <c r="S25" i="17"/>
  <c r="K23" i="17"/>
  <c r="AB22" i="17"/>
  <c r="M22" i="17"/>
  <c r="V23" i="17"/>
  <c r="T24" i="17"/>
  <c r="K24" i="17" s="1"/>
  <c r="X27" i="16"/>
  <c r="X28" i="16" s="1"/>
  <c r="AA27" i="16"/>
  <c r="AA28" i="16" s="1"/>
  <c r="W27" i="16"/>
  <c r="W28" i="16" s="1"/>
  <c r="AF9" i="16"/>
  <c r="AF10" i="16" s="1"/>
  <c r="V28" i="16"/>
  <c r="L23" i="17" l="1"/>
  <c r="Y25" i="17"/>
  <c r="S26" i="17"/>
  <c r="J25" i="17"/>
  <c r="M23" i="17"/>
  <c r="AB23" i="17"/>
  <c r="U25" i="17"/>
  <c r="L24" i="17"/>
  <c r="V24" i="17"/>
  <c r="T25" i="17"/>
  <c r="W29" i="16"/>
  <c r="AA29" i="16"/>
  <c r="V33" i="16" s="1"/>
  <c r="Y29" i="16"/>
  <c r="V34" i="16" s="1"/>
  <c r="V37" i="16" s="1"/>
  <c r="V32" i="16"/>
  <c r="V38" i="16" s="1"/>
  <c r="Z29" i="16"/>
  <c r="V36" i="16" s="1"/>
  <c r="V29" i="16"/>
  <c r="V35" i="16" s="1"/>
  <c r="J26" i="17" l="1"/>
  <c r="Y26" i="17"/>
  <c r="S27" i="17"/>
  <c r="K25" i="17"/>
  <c r="AB24" i="17"/>
  <c r="M24" i="17"/>
  <c r="V25" i="17"/>
  <c r="L25" i="17"/>
  <c r="U26" i="17"/>
  <c r="T26" i="17"/>
  <c r="V40" i="16"/>
  <c r="AF7" i="16" s="1"/>
  <c r="D36" i="16" s="1"/>
  <c r="D41" i="16" s="1"/>
  <c r="V39" i="16"/>
  <c r="V45" i="16" s="1"/>
  <c r="V43" i="16"/>
  <c r="V44" i="16"/>
  <c r="J27" i="17" l="1"/>
  <c r="Y27" i="17"/>
  <c r="S28" i="17"/>
  <c r="K26" i="17"/>
  <c r="L26" i="17"/>
  <c r="T27" i="17"/>
  <c r="U27" i="17"/>
  <c r="L27" i="17" s="1"/>
  <c r="V26" i="17"/>
  <c r="M25" i="17"/>
  <c r="AB25" i="17"/>
  <c r="V41" i="16"/>
  <c r="AF8" i="16" s="1"/>
  <c r="D37" i="16" s="1"/>
  <c r="D42" i="16" s="1"/>
  <c r="D43" i="16" s="1"/>
  <c r="D49" i="16" s="1"/>
  <c r="V46" i="16"/>
  <c r="D31" i="16" s="1"/>
  <c r="D32" i="16" s="1"/>
  <c r="Y28" i="17" l="1"/>
  <c r="S29" i="17"/>
  <c r="J28" i="17"/>
  <c r="M26" i="17"/>
  <c r="AB26" i="17"/>
  <c r="K27" i="17"/>
  <c r="U28" i="17"/>
  <c r="V27" i="17"/>
  <c r="T28" i="17"/>
  <c r="AF12" i="16"/>
  <c r="J29" i="17" l="1"/>
  <c r="Y29" i="17"/>
  <c r="S30" i="17"/>
  <c r="K28" i="17"/>
  <c r="U29" i="17"/>
  <c r="L29" i="17" s="1"/>
  <c r="L28" i="17"/>
  <c r="AB27" i="17"/>
  <c r="M27" i="17"/>
  <c r="T29" i="17"/>
  <c r="V28" i="17"/>
  <c r="Y30" i="17" l="1"/>
  <c r="S31" i="17"/>
  <c r="J30" i="17"/>
  <c r="K29" i="17"/>
  <c r="T30" i="17"/>
  <c r="M28" i="17"/>
  <c r="U30" i="17"/>
  <c r="V29" i="17"/>
  <c r="S32" i="17" l="1"/>
  <c r="J31" i="17"/>
  <c r="Y31" i="17"/>
  <c r="L30" i="17"/>
  <c r="K30" i="17"/>
  <c r="T31" i="17"/>
  <c r="M29" i="17"/>
  <c r="V30" i="17"/>
  <c r="U31" i="17"/>
  <c r="L31" i="17" s="1"/>
  <c r="J32" i="17" l="1"/>
  <c r="S33" i="17"/>
  <c r="Y32" i="17"/>
  <c r="M30" i="17"/>
  <c r="Z31" i="17"/>
  <c r="K31" i="17"/>
  <c r="V31" i="17"/>
  <c r="V32" i="17" s="1"/>
  <c r="M32" i="17" s="1"/>
  <c r="U32" i="17"/>
  <c r="T32" i="17"/>
  <c r="Y33" i="17" l="1"/>
  <c r="S34" i="17"/>
  <c r="J33" i="17"/>
  <c r="K32" i="17"/>
  <c r="Z32" i="17"/>
  <c r="L32" i="17"/>
  <c r="T33" i="17"/>
  <c r="V33" i="17"/>
  <c r="M33" i="17" s="1"/>
  <c r="M31" i="17"/>
  <c r="U33" i="17"/>
  <c r="V34" i="17" l="1"/>
  <c r="M34" i="17" s="1"/>
  <c r="U34" i="17"/>
  <c r="L34" i="17" s="1"/>
  <c r="J34" i="17"/>
  <c r="S35" i="17"/>
  <c r="Y34" i="17"/>
  <c r="Z33" i="17"/>
  <c r="K33" i="17"/>
  <c r="L33" i="17"/>
  <c r="T34" i="17"/>
  <c r="V35" i="17" l="1"/>
  <c r="M35" i="17" s="1"/>
  <c r="Y35" i="17"/>
  <c r="S36" i="17"/>
  <c r="S37" i="17" s="1"/>
  <c r="J35" i="17"/>
  <c r="K34" i="17"/>
  <c r="Z34" i="17"/>
  <c r="U35" i="17"/>
  <c r="T35" i="17"/>
  <c r="Y37" i="17" l="1"/>
  <c r="J37" i="17"/>
  <c r="Y36" i="17"/>
  <c r="J36" i="17"/>
  <c r="S38" i="17"/>
  <c r="Y38" i="17" s="1"/>
  <c r="K35" i="17"/>
  <c r="Z35" i="17"/>
  <c r="T36" i="17"/>
  <c r="L35" i="17"/>
  <c r="V36" i="17"/>
  <c r="M36" i="17" s="1"/>
  <c r="U36" i="17"/>
  <c r="S39" i="17" l="1"/>
  <c r="J39" i="17" s="1"/>
  <c r="J38" i="17"/>
  <c r="V37" i="17"/>
  <c r="M37" i="17" s="1"/>
  <c r="Z36" i="17"/>
  <c r="K36" i="17"/>
  <c r="L36" i="17"/>
  <c r="U37" i="17"/>
  <c r="T37" i="17"/>
  <c r="T38" i="17" s="1"/>
  <c r="Y39" i="17" l="1"/>
  <c r="S40" i="17"/>
  <c r="J40" i="17" s="1"/>
  <c r="AA37" i="17"/>
  <c r="L37" i="17"/>
  <c r="K38" i="17"/>
  <c r="Z38" i="17"/>
  <c r="K37" i="17"/>
  <c r="Z37" i="17"/>
  <c r="V38" i="17"/>
  <c r="M38" i="17" s="1"/>
  <c r="T39" i="17"/>
  <c r="U38" i="17"/>
  <c r="U39" i="17" s="1"/>
  <c r="Y40" i="17" l="1"/>
  <c r="S41" i="17"/>
  <c r="J41" i="17" s="1"/>
  <c r="K39" i="17"/>
  <c r="Z39" i="17"/>
  <c r="U40" i="17"/>
  <c r="AA39" i="17"/>
  <c r="L39" i="17"/>
  <c r="T40" i="17"/>
  <c r="AA38" i="17"/>
  <c r="L38" i="17"/>
  <c r="V39" i="17"/>
  <c r="M39" i="17" s="1"/>
  <c r="Y41" i="17" l="1"/>
  <c r="S42" i="17"/>
  <c r="J42" i="17" s="1"/>
  <c r="K40" i="17"/>
  <c r="Z40" i="17"/>
  <c r="U41" i="17"/>
  <c r="V40" i="17"/>
  <c r="M40" i="17" s="1"/>
  <c r="T41" i="17"/>
  <c r="AA40" i="17"/>
  <c r="L40" i="17"/>
  <c r="Y42" i="17" l="1"/>
  <c r="S43" i="17"/>
  <c r="J43" i="17" s="1"/>
  <c r="Z41" i="17"/>
  <c r="K41" i="17"/>
  <c r="U42" i="17"/>
  <c r="L41" i="17"/>
  <c r="AA41" i="17"/>
  <c r="T42" i="17"/>
  <c r="V41" i="17"/>
  <c r="M41" i="17" s="1"/>
  <c r="Y43" i="17" l="1"/>
  <c r="S44" i="17"/>
  <c r="J44" i="17" s="1"/>
  <c r="V42" i="17"/>
  <c r="M42" i="17" s="1"/>
  <c r="Z42" i="17"/>
  <c r="K42" i="17"/>
  <c r="T43" i="17"/>
  <c r="T44" i="17" s="1"/>
  <c r="U43" i="17"/>
  <c r="AA42" i="17"/>
  <c r="L42" i="17"/>
  <c r="Y44" i="17" l="1"/>
  <c r="S45" i="17"/>
  <c r="J45" i="17" s="1"/>
  <c r="V43" i="17"/>
  <c r="AB43" i="17" s="1"/>
  <c r="K44" i="17"/>
  <c r="T45" i="17"/>
  <c r="Z44" i="17"/>
  <c r="AA43" i="17"/>
  <c r="L43" i="17"/>
  <c r="K43" i="17"/>
  <c r="Z43" i="17"/>
  <c r="U44" i="17"/>
  <c r="Y45" i="17" l="1"/>
  <c r="S46" i="17"/>
  <c r="Y46" i="17" s="1"/>
  <c r="T46" i="17"/>
  <c r="K46" i="17" s="1"/>
  <c r="M43" i="17"/>
  <c r="V44" i="17"/>
  <c r="AB44" i="17" s="1"/>
  <c r="Z45" i="17"/>
  <c r="K45" i="17"/>
  <c r="AA44" i="17"/>
  <c r="L44" i="17"/>
  <c r="U45" i="17"/>
  <c r="J46" i="17" l="1"/>
  <c r="S47" i="17"/>
  <c r="J47" i="17" s="1"/>
  <c r="Z46" i="17"/>
  <c r="T47" i="17"/>
  <c r="K47" i="17" s="1"/>
  <c r="V45" i="17"/>
  <c r="AB45" i="17" s="1"/>
  <c r="M44" i="17"/>
  <c r="AA45" i="17"/>
  <c r="L45" i="17"/>
  <c r="U46" i="17"/>
  <c r="U47" i="17" s="1"/>
  <c r="AA47" i="17" s="1"/>
  <c r="Y47" i="17" l="1"/>
  <c r="S49" i="17"/>
  <c r="J49" i="17" s="1"/>
  <c r="T49" i="17"/>
  <c r="K49" i="17" s="1"/>
  <c r="Z47" i="17"/>
  <c r="M45" i="17"/>
  <c r="V46" i="17"/>
  <c r="M46" i="17" s="1"/>
  <c r="L47" i="17"/>
  <c r="U49" i="17"/>
  <c r="L46" i="17"/>
  <c r="AA46" i="17"/>
  <c r="Z19" i="17" l="1"/>
  <c r="Z12" i="17"/>
  <c r="Z18" i="17"/>
  <c r="Y13" i="17"/>
  <c r="Y12" i="17"/>
  <c r="AB46" i="17"/>
  <c r="V47" i="17"/>
  <c r="V49" i="17" s="1"/>
  <c r="L49" i="17"/>
  <c r="AA35" i="17" s="1"/>
  <c r="Y24" i="17"/>
  <c r="Y14" i="17"/>
  <c r="Y15" i="17"/>
  <c r="AA36" i="17"/>
  <c r="AB42" i="17"/>
  <c r="Z20" i="17"/>
  <c r="Z21" i="17"/>
  <c r="Z29" i="17"/>
  <c r="Z30" i="17"/>
  <c r="Y22" i="17"/>
  <c r="Y23" i="17"/>
  <c r="Z22" i="17"/>
  <c r="Z28" i="17"/>
  <c r="Z23" i="17"/>
  <c r="Z24" i="17"/>
  <c r="Z27" i="17"/>
  <c r="Z26" i="17"/>
  <c r="Z25" i="17"/>
  <c r="Y16" i="17"/>
  <c r="Y17" i="17"/>
  <c r="Y18" i="17"/>
  <c r="Y19" i="17"/>
  <c r="Y20" i="17"/>
  <c r="Y21" i="17"/>
  <c r="AA34" i="17" l="1"/>
  <c r="AA33" i="17"/>
  <c r="AA25" i="17"/>
  <c r="AA12" i="17"/>
  <c r="AA23" i="17"/>
  <c r="AA24" i="17"/>
  <c r="AA26" i="17"/>
  <c r="AB47" i="17"/>
  <c r="M47" i="17"/>
  <c r="M49" i="17" s="1"/>
  <c r="AA32" i="17"/>
  <c r="AA31" i="17"/>
  <c r="AA29" i="17"/>
  <c r="AA30" i="17"/>
  <c r="AA28" i="17"/>
  <c r="AA27" i="17"/>
  <c r="Z49" i="17"/>
  <c r="K50" i="17" s="1"/>
  <c r="Y49" i="17"/>
  <c r="J50" i="17" s="1"/>
  <c r="AB41" i="17" l="1"/>
  <c r="AB12" i="17"/>
  <c r="AB28" i="17"/>
  <c r="AB29" i="17"/>
  <c r="AB30" i="17"/>
  <c r="AB37" i="17"/>
  <c r="AB40" i="17"/>
  <c r="AB39" i="17"/>
  <c r="AB38" i="17"/>
  <c r="AA49" i="17"/>
  <c r="L50" i="17" s="1"/>
  <c r="AB31" i="17"/>
  <c r="AB32" i="17"/>
  <c r="AB35" i="17"/>
  <c r="AB33" i="17"/>
  <c r="AB34" i="17"/>
  <c r="AB36" i="17"/>
  <c r="AB49" i="17" l="1"/>
  <c r="M50" i="17" s="1"/>
  <c r="G53" i="17" s="1"/>
  <c r="M53" i="17" s="1"/>
  <c r="K53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A1" authorId="0" shapeId="0" xr:uid="{F95743AE-6F3B-4308-A5D9-28B5201846EE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0" shapeId="0" xr:uid="{EADE9D83-A1FE-4431-9F97-0C914B83EC9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Seasonality removed because claims do not follow history due to COVID and Jan/Feb 2020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E27EE599-64A6-4BF3-94CF-5BBA06FAE6AB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starting reference</t>
        </r>
      </text>
    </comment>
    <comment ref="W8" authorId="0" shapeId="0" xr:uid="{6B787F91-5EFA-4297-900C-0500A9E5BA23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For 1Q2024, reduced this by one day to simiulate impact of Chinese New Year.</t>
        </r>
      </text>
    </comment>
    <comment ref="G31" authorId="0" shapeId="0" xr:uid="{9E7F06F3-E125-4F26-8AAC-A653AE82AD9D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 Not clear what driving average or trend should be, but we agreed to modify to "working days" calculations and I used the Seasonality Factor column to make that adjustment.  In column M we adjust back to monthly.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L12" authorId="0" shapeId="0" xr:uid="{2A750CF2-7C65-4374-9722-28770CEA81CC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Removed these due to COVID.  Pushed credibility down to 50% because high October has a big impact.  Can't use credibility because Jan &amp; Feb 2020 were extremely high and don't want to project that.  </t>
        </r>
      </text>
    </comment>
    <comment ref="V30" authorId="0" shapeId="0" xr:uid="{168FFBD0-741A-4DB0-B973-9258A2F501E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Adjusted due to COVID removal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<sst xmlns="http://schemas.openxmlformats.org/spreadsheetml/2006/main" count="4003" uniqueCount="1071">
  <si>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</si>
  <si>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</si>
  <si>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</si>
  <si>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</si>
  <si>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</si>
  <si>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</si>
  <si>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</si>
  <si>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</si>
  <si>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</si>
  <si>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</si>
  <si>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</si>
  <si>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</si>
  <si>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</si>
  <si>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</si>
  <si>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</si>
  <si>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</si>
  <si>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</si>
  <si>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</si>
  <si>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</si>
  <si>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</si>
  <si>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</si>
  <si>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</si>
  <si>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</si>
  <si>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</si>
  <si>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</si>
  <si>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</si>
  <si>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</si>
  <si>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</si>
  <si>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</si>
  <si>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</si>
  <si>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</si>
  <si>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</si>
  <si>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</si>
  <si>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</si>
  <si>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</si>
  <si>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</si>
  <si>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</si>
  <si>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</si>
  <si>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</si>
  <si>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</si>
  <si>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</si>
  <si>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</si>
  <si>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</si>
  <si>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</si>
  <si>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</si>
  <si>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</si>
  <si>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</si>
  <si>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</si>
  <si>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</si>
  <si>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</si>
  <si>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</si>
  <si>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</si>
  <si>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</si>
  <si>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</si>
  <si>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</si>
  <si>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</si>
  <si>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</si>
  <si>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</si>
  <si>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</si>
  <si>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</si>
  <si>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</si>
  <si>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</si>
  <si>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</si>
  <si>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</si>
  <si>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</si>
  <si>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</si>
  <si>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</si>
  <si>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</si>
  <si>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</si>
  <si>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</si>
  <si>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</si>
  <si>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</si>
  <si>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</si>
  <si>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</si>
  <si>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</si>
  <si>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</si>
  <si>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</si>
  <si>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</si>
  <si>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</si>
  <si>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</si>
  <si>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</si>
  <si>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</si>
  <si>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</si>
  <si>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</si>
  <si>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</si>
  <si>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</si>
  <si>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</si>
  <si>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</si>
  <si>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</si>
  <si>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</si>
  <si>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</si>
  <si>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</si>
  <si>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</si>
  <si>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</si>
  <si>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</si>
  <si>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</si>
  <si>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</si>
  <si>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</si>
  <si>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</si>
  <si>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</si>
  <si>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</si>
  <si>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</si>
  <si>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</si>
  <si>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</si>
  <si>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</si>
  <si>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</si>
  <si>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</si>
  <si>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</si>
  <si>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</si>
  <si>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</si>
  <si>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</si>
  <si>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</si>
  <si>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</si>
  <si>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</si>
  <si>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</si>
  <si>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</si>
  <si>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</si>
  <si>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</si>
  <si>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</si>
  <si>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</si>
  <si>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</si>
  <si>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</si>
  <si>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</si>
  <si>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</si>
  <si>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</si>
  <si>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</si>
  <si>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</si>
  <si>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</si>
  <si>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</si>
  <si>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</si>
  <si>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</si>
  <si>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</si>
  <si>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</si>
  <si>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</si>
  <si>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</si>
  <si>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</si>
  <si>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</si>
  <si>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</si>
  <si>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</si>
  <si>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</si>
  <si>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</si>
  <si>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</si>
  <si>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</si>
  <si>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</si>
  <si>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</si>
  <si>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</si>
  <si>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</si>
  <si>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</si>
  <si>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</si>
  <si>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</si>
  <si>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</si>
  <si>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</si>
  <si>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</si>
  <si>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</si>
  <si>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</si>
  <si>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</si>
  <si>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</si>
  <si>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</si>
  <si>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</si>
  <si>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</si>
  <si>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</si>
  <si>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</si>
  <si>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</si>
  <si>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</si>
  <si>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</si>
  <si>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</si>
  <si>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</si>
  <si>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</si>
  <si>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</si>
  <si>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</si>
  <si>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</si>
  <si>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</si>
  <si>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</si>
  <si>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</si>
  <si>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</si>
  <si>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</si>
  <si>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</si>
  <si>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</si>
  <si>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</si>
  <si>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</si>
  <si>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</si>
  <si>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</si>
  <si>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</si>
  <si>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</si>
  <si>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</si>
  <si>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</si>
  <si>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</si>
  <si>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</si>
  <si>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</si>
  <si>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</si>
  <si>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</si>
  <si>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</si>
  <si>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</si>
  <si>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</si>
  <si>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</si>
  <si>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</si>
  <si>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</si>
  <si>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</si>
  <si>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</si>
  <si>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</si>
  <si>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</si>
  <si>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</si>
  <si>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</si>
  <si>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</si>
  <si>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</si>
  <si>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</si>
  <si>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</si>
  <si>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</si>
  <si>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</si>
  <si>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</si>
  <si>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</si>
  <si>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</si>
  <si>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</si>
  <si>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</si>
  <si>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</si>
  <si>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</si>
  <si>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</si>
  <si>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</si>
  <si>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</si>
  <si>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</si>
  <si>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</si>
  <si>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</si>
  <si>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</si>
  <si>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</si>
  <si>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</si>
  <si>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</si>
  <si>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</si>
  <si>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</si>
  <si>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</si>
  <si>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</si>
  <si>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</si>
  <si>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</si>
  <si>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</si>
  <si>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</si>
  <si>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</si>
  <si>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</si>
  <si>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</si>
  <si>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</si>
  <si>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</si>
  <si>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</si>
  <si>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</si>
  <si>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</si>
  <si>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</si>
  <si>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</si>
  <si>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</si>
  <si>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</si>
  <si>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</si>
  <si>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</si>
  <si>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</si>
  <si>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</si>
  <si>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</si>
  <si>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</si>
  <si>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</si>
  <si>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</si>
  <si>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</si>
  <si>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</si>
  <si>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</si>
  <si>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</si>
  <si>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</si>
  <si>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</si>
  <si>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</si>
  <si>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</si>
  <si>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</si>
  <si>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</si>
  <si>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</si>
  <si>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</si>
  <si>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</si>
  <si>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</si>
  <si>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</si>
  <si>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</si>
  <si>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</si>
  <si>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</si>
  <si>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</si>
  <si>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</si>
  <si>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</si>
  <si>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</si>
  <si>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</si>
  <si>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</si>
  <si>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</si>
  <si>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</si>
  <si>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</si>
  <si>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</si>
  <si>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</si>
  <si>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</si>
  <si>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</si>
  <si>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</si>
  <si>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</si>
  <si>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</si>
  <si>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</si>
  <si>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</si>
  <si>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</si>
  <si>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</si>
  <si>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</si>
  <si>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</si>
  <si>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</si>
  <si>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</si>
  <si>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</si>
  <si>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</si>
  <si>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</si>
  <si>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</si>
  <si>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</si>
  <si>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</si>
  <si>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</si>
  <si>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</si>
  <si>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</si>
  <si>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</si>
  <si>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</si>
  <si>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</si>
  <si>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</si>
  <si>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</si>
  <si>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</si>
  <si>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</si>
  <si>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</si>
  <si>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</si>
  <si>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</si>
  <si>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</si>
  <si>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</si>
  <si>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</si>
  <si>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</si>
  <si>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</si>
  <si>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</si>
  <si>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</si>
  <si>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</si>
  <si>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</si>
  <si>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</si>
  <si>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</si>
  <si>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</si>
  <si>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</si>
  <si>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</si>
  <si>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</si>
  <si>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</si>
  <si>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</si>
  <si>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</si>
  <si>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</si>
  <si>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</si>
  <si>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</si>
  <si>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</si>
  <si>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</si>
  <si>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</si>
  <si>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</si>
  <si>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</si>
  <si>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</si>
  <si>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</si>
  <si>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</si>
  <si>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</si>
  <si>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</si>
  <si>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</si>
  <si>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</si>
  <si>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</si>
  <si>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</si>
  <si>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</si>
  <si>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</si>
  <si>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</si>
  <si>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</si>
  <si>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</si>
  <si>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</si>
  <si>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</si>
  <si>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</si>
  <si>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</si>
  <si>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</si>
  <si>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</si>
  <si>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</si>
  <si>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</si>
  <si>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</si>
  <si>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</si>
  <si>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</si>
  <si>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</si>
  <si>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</si>
  <si>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</si>
  <si>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</si>
  <si>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</si>
  <si>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</si>
  <si>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</si>
  <si>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</si>
  <si>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</si>
  <si>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</si>
  <si>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</si>
  <si>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</si>
  <si>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</si>
  <si>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</si>
  <si>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</si>
  <si>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</si>
  <si>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</si>
  <si>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</si>
  <si>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</si>
  <si>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</si>
  <si>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</si>
  <si>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</si>
  <si>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</si>
  <si>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</si>
  <si>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</si>
  <si>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</si>
  <si>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</si>
  <si>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</si>
  <si>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</si>
  <si>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</si>
  <si>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</si>
  <si>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</si>
  <si>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</si>
  <si>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</si>
  <si>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</si>
  <si>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</si>
  <si>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</si>
  <si>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</si>
  <si>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</si>
  <si>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</si>
  <si>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</si>
  <si>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</si>
  <si>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</si>
  <si>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</si>
  <si>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</si>
  <si>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</si>
  <si>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</si>
  <si>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</si>
  <si>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</si>
  <si>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</si>
  <si>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</si>
  <si>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</si>
  <si>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</si>
  <si>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</si>
  <si>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</si>
  <si>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</si>
  <si>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</si>
  <si>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</si>
  <si>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</si>
  <si>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</si>
  <si>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</si>
  <si>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</si>
  <si>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</si>
  <si>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</si>
  <si>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</si>
  <si>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</si>
  <si>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</si>
  <si>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</si>
  <si>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</si>
  <si>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</si>
  <si>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</si>
  <si>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</si>
  <si>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</si>
  <si>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</si>
  <si>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</si>
  <si>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</si>
  <si>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</si>
  <si>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</si>
  <si>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</si>
  <si>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</si>
  <si>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</si>
  <si>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</si>
  <si>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</si>
  <si>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</si>
  <si>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</si>
  <si>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</si>
  <si>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</si>
  <si>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</si>
  <si>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</si>
  <si>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</si>
  <si>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</si>
  <si>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</si>
  <si>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</si>
  <si>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</si>
  <si>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</si>
  <si>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</si>
  <si>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</si>
  <si>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</si>
  <si>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</si>
  <si>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</si>
  <si>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</si>
  <si>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</si>
  <si>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</si>
  <si>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</si>
  <si>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</si>
  <si>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</si>
  <si>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</si>
  <si>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</si>
  <si>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</si>
  <si>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</si>
  <si>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</si>
  <si>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</si>
  <si>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</si>
  <si>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</si>
  <si>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</si>
  <si>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</si>
  <si>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</si>
  <si>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</si>
  <si>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</si>
  <si>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</si>
  <si>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</si>
  <si>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</si>
  <si>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</si>
  <si>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</si>
  <si>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</si>
  <si>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</si>
  <si>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</si>
  <si>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</si>
  <si>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</si>
  <si>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</si>
  <si>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</si>
  <si>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</si>
  <si>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</si>
  <si>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</si>
  <si>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</si>
  <si>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</si>
  <si>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</si>
  <si>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</si>
  <si>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</si>
  <si>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</si>
  <si>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</si>
  <si>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</si>
  <si>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</si>
  <si>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</si>
  <si>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</si>
  <si>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</si>
  <si>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</si>
  <si>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</si>
  <si>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</si>
  <si>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</si>
  <si>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</si>
  <si>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</si>
  <si>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</si>
  <si>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</si>
  <si>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</si>
  <si>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</si>
  <si>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</si>
  <si>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</si>
  <si>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</si>
  <si>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</si>
  <si>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</si>
  <si>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</si>
  <si>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</si>
  <si>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</si>
  <si>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</si>
  <si>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</si>
  <si>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</si>
  <si>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</si>
  <si>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</si>
  <si>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</si>
  <si>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</si>
  <si>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</si>
  <si>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</si>
  <si>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</si>
  <si>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</si>
  <si>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</si>
  <si>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</si>
  <si>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</si>
  <si>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</si>
  <si>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</si>
  <si>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</si>
  <si>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</si>
  <si>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</si>
  <si>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</si>
  <si>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</si>
  <si>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</si>
  <si>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</si>
  <si>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</si>
  <si>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</si>
  <si>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</si>
  <si>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</si>
  <si>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</si>
  <si>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</si>
  <si>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</si>
  <si>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</si>
  <si>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</si>
  <si>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</si>
  <si>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</si>
  <si>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</si>
  <si>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</si>
  <si>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</si>
  <si>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</si>
  <si>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</si>
  <si>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</si>
  <si>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</si>
  <si>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</si>
  <si>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</si>
  <si>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</si>
  <si>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</si>
  <si>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</si>
  <si>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</si>
  <si>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</si>
  <si>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</si>
  <si>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</si>
  <si>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</si>
  <si>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</si>
  <si>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</si>
  <si>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</si>
  <si>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</si>
  <si>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</si>
  <si>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</si>
  <si>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</si>
  <si>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</si>
  <si>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</si>
  <si>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</si>
  <si>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</si>
  <si>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</si>
  <si>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</si>
  <si>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</si>
  <si>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</si>
  <si>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</si>
  <si>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</si>
  <si>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</si>
  <si>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</si>
  <si>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</si>
  <si>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</si>
  <si>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</si>
  <si>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</si>
  <si>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</si>
  <si>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</si>
  <si>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</si>
  <si>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</si>
  <si>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</si>
  <si>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</si>
  <si>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</si>
  <si>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</si>
  <si>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</si>
  <si>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</si>
  <si>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</si>
  <si>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</si>
  <si>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</si>
  <si>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</si>
  <si>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</si>
  <si>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</si>
  <si>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</si>
  <si>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</si>
  <si>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</si>
  <si>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</si>
  <si>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</si>
  <si>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</si>
  <si>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</si>
  <si>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</si>
  <si>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</si>
  <si>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</si>
  <si>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</si>
  <si>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</si>
  <si>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</si>
  <si>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</si>
  <si>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</si>
  <si>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</si>
  <si>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</si>
  <si>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</si>
  <si>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</si>
  <si>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</si>
  <si>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</si>
  <si>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</si>
  <si>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</si>
  <si>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</si>
  <si>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</si>
  <si>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</si>
  <si>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</si>
  <si>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</si>
  <si>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</si>
  <si>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</si>
  <si>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</si>
  <si>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</si>
  <si>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</si>
  <si>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</si>
  <si>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</si>
  <si>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</si>
  <si>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</si>
  <si>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</si>
  <si>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</si>
  <si>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</si>
  <si>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</si>
  <si>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</si>
  <si>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</si>
  <si>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</si>
  <si>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</si>
  <si>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</si>
  <si>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</si>
  <si>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</si>
  <si>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</si>
  <si>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</si>
  <si>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</si>
  <si>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</si>
  <si>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</si>
  <si>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</si>
  <si>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</si>
  <si>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</si>
  <si>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</si>
  <si>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</si>
  <si>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</si>
  <si>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</si>
  <si>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</si>
  <si>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</si>
  <si>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</si>
  <si>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</si>
  <si>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</si>
  <si>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</si>
  <si>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</si>
  <si>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</si>
  <si>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</si>
  <si>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</si>
  <si>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</si>
  <si>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</si>
  <si>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</si>
  <si>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</si>
  <si>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</si>
  <si>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</si>
  <si>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</si>
  <si>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</si>
  <si>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</si>
  <si>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</si>
  <si>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</si>
  <si>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</si>
  <si>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</si>
  <si>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</si>
  <si>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</si>
  <si>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</si>
  <si>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</si>
  <si>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</si>
  <si>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</si>
  <si>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</si>
  <si>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</si>
  <si>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</si>
  <si>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</si>
  <si>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</si>
  <si>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</si>
  <si>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</si>
  <si>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</si>
  <si>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</si>
  <si>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</si>
  <si>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</si>
  <si>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</si>
  <si>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</si>
  <si>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</si>
  <si>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</si>
  <si>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</si>
  <si>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</si>
  <si>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</si>
  <si>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</si>
  <si>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</si>
  <si>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</si>
  <si>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</si>
  <si>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</si>
  <si>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</si>
  <si>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</si>
  <si>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</si>
  <si>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</si>
  <si>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</si>
  <si>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</si>
  <si>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</si>
  <si>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</si>
  <si>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</si>
  <si>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</si>
  <si>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</si>
  <si>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</si>
  <si>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</si>
  <si>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</si>
  <si>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</si>
  <si>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</si>
  <si>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</si>
  <si>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</si>
  <si>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</si>
  <si>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</si>
  <si>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</si>
  <si>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</si>
  <si>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</si>
  <si>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</si>
  <si>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</si>
  <si>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</si>
  <si>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</si>
  <si>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</si>
  <si>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</si>
  <si>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</si>
  <si>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</si>
  <si>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</si>
  <si>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</si>
  <si>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</si>
  <si>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</si>
  <si>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</si>
  <si>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</si>
  <si>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</si>
  <si>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</si>
  <si>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</si>
  <si>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</si>
  <si>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</si>
  <si>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</si>
  <si>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</si>
  <si>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</si>
  <si>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</si>
  <si>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</si>
  <si>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</si>
  <si>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</si>
  <si>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</si>
  <si>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</si>
  <si>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</si>
  <si>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</si>
  <si>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</si>
  <si>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</si>
  <si>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</si>
  <si>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</si>
  <si>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</si>
  <si>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</si>
  <si>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</si>
  <si>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</si>
  <si>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</si>
  <si>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</si>
  <si>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</si>
  <si>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</si>
  <si>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</si>
  <si>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</si>
  <si>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</si>
  <si>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</si>
  <si>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</si>
  <si>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</si>
  <si>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</si>
  <si>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</si>
  <si>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</si>
  <si>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</si>
  <si>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</si>
  <si>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</si>
  <si>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</si>
  <si>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</si>
  <si>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</si>
  <si>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</si>
  <si>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</si>
  <si>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</si>
  <si>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</si>
  <si>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</si>
  <si>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</si>
  <si>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</si>
  <si>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</si>
  <si>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</si>
  <si>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</si>
  <si>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</si>
  <si>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</si>
  <si>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</si>
  <si>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</si>
  <si>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</si>
  <si>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</si>
  <si>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</si>
  <si>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</si>
  <si>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</si>
  <si>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</si>
  <si>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</si>
  <si>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</si>
  <si>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</si>
  <si>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</si>
  <si>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</si>
  <si>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</si>
  <si>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</si>
  <si>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</si>
  <si>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</si>
  <si>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</si>
  <si>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</si>
  <si>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</si>
  <si>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</si>
  <si>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</si>
  <si>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</si>
  <si>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</si>
  <si>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</si>
  <si>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</si>
  <si>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</si>
  <si>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</si>
  <si>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</si>
  <si>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</si>
  <si>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</si>
  <si>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</si>
  <si>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</si>
  <si>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</si>
  <si>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</si>
  <si>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</si>
  <si>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</si>
  <si>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</si>
  <si>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</si>
  <si>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</si>
  <si>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</si>
  <si>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</si>
  <si>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</si>
  <si>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</si>
  <si>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</si>
  <si>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</si>
  <si>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</si>
  <si>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</si>
  <si>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</si>
  <si>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</si>
  <si>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</si>
  <si>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</si>
  <si>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</si>
  <si>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</si>
  <si>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</si>
  <si>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</si>
  <si>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</si>
  <si>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</si>
  <si>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</si>
  <si>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</si>
  <si>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</si>
  <si>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</si>
  <si>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</si>
  <si>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</si>
  <si>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</si>
  <si>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</si>
  <si>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</si>
  <si>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</si>
  <si>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</si>
  <si>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</si>
  <si>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</si>
  <si>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</si>
  <si>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</si>
  <si>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</si>
  <si>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</si>
  <si>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</si>
  <si>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</si>
  <si>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</si>
  <si>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</si>
  <si>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</si>
  <si>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</si>
  <si>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</si>
  <si>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</si>
  <si>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</si>
  <si>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</si>
  <si>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</si>
  <si>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</si>
  <si>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</si>
  <si>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</si>
  <si>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</si>
  <si>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</si>
  <si>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</si>
  <si>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</si>
  <si>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</si>
  <si>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</si>
  <si>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</si>
  <si>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</si>
  <si>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</si>
  <si>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</si>
  <si>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</si>
  <si>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</si>
  <si>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</si>
  <si>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</si>
  <si>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</si>
  <si>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</si>
  <si>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</si>
  <si>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</si>
  <si>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</si>
  <si>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</si>
  <si>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</si>
  <si>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</si>
  <si>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</si>
  <si>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</si>
  <si>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</si>
  <si>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</si>
  <si>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</si>
  <si>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</si>
  <si>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</si>
  <si>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</si>
  <si>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</si>
  <si>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</si>
  <si>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</si>
  <si>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</si>
  <si>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</si>
  <si>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</si>
  <si>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</si>
  <si>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</si>
  <si>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</si>
  <si>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</si>
  <si>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</si>
  <si>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</si>
  <si>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</si>
  <si>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</si>
  <si>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</si>
  <si>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</si>
  <si>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</si>
  <si>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</si>
  <si>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</si>
  <si>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</si>
  <si>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</si>
  <si>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</si>
  <si>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</si>
  <si>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</si>
  <si>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</si>
  <si>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</si>
  <si>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</si>
  <si>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</si>
  <si>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</si>
  <si>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</si>
  <si>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</si>
  <si>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</si>
  <si>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</si>
  <si>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</si>
  <si>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</si>
  <si>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</si>
  <si>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</si>
  <si>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</si>
  <si>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</si>
  <si>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</si>
  <si>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</si>
  <si>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</si>
  <si>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</si>
  <si>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</si>
  <si>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</si>
  <si>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</si>
  <si>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</si>
  <si>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</si>
  <si>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</si>
  <si>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</si>
  <si>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</si>
  <si>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</si>
  <si>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</si>
  <si>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</si>
  <si>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</si>
  <si>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</si>
  <si>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</si>
  <si>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</si>
  <si>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</si>
  <si>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</si>
  <si>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</si>
  <si>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</si>
  <si>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</si>
  <si>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</si>
  <si>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</si>
  <si>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</si>
  <si>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</si>
  <si>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</si>
  <si>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</si>
  <si>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</si>
  <si>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</si>
  <si>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</si>
  <si>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</si>
  <si>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</si>
  <si>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</si>
  <si>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</si>
  <si>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</si>
  <si>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</si>
  <si>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</si>
  <si>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</si>
  <si>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</si>
  <si>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</si>
  <si>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</si>
  <si>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</si>
  <si>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</si>
  <si>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</si>
  <si>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</si>
  <si>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</si>
  <si>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</si>
  <si>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</si>
  <si>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</si>
  <si>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</si>
  <si>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</si>
  <si>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</si>
  <si>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</si>
  <si>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</si>
  <si>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</si>
  <si>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</si>
  <si>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</si>
  <si>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</si>
  <si>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</si>
  <si>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</si>
  <si>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</si>
  <si>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</si>
  <si>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</si>
  <si>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</si>
  <si>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</si>
  <si>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</si>
  <si>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</si>
  <si>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</si>
  <si>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</si>
  <si>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</si>
  <si>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</si>
  <si>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</si>
  <si>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</si>
  <si>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</si>
  <si>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</si>
  <si>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</si>
  <si>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</si>
  <si>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</si>
  <si>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</si>
  <si>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</si>
  <si>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</si>
  <si>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</si>
  <si>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</si>
  <si>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</si>
  <si>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</si>
  <si>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AAMG - Commercial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</si>
</sst>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6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7" fontId="0" fillId="0" borderId="0" xfId="0" applyNumberFormat="1" applyProtection="1">
      <protection locked="0"/>
    </xf>
    <xf numFmtId="166" fontId="21" fillId="0" borderId="63" xfId="0" applyNumberFormat="1" applyFont="1" applyBorder="1"/>
    <xf numFmtId="1" fontId="0" fillId="0" borderId="0" xfId="0" applyNumberFormat="1"/>
    <xf numFmtId="172" fontId="0" fillId="12" borderId="66" xfId="0" applyNumberFormat="1" applyFill="1" applyBorder="1" applyProtection="1">
      <protection locked="0"/>
    </xf>
    <xf numFmtId="172" fontId="0" fillId="12" borderId="66" xfId="0" applyNumberFormat="1" applyFill="1" applyBorder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" fontId="0" fillId="6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476710.77773511509</c:v>
                </c:pt>
                <c:pt idx="3">
                  <c:v>510037.16773511516</c:v>
                </c:pt>
                <c:pt idx="4">
                  <c:v>518701.51773511525</c:v>
                </c:pt>
                <c:pt idx="5">
                  <c:v>526874.97773511545</c:v>
                </c:pt>
                <c:pt idx="6">
                  <c:v>461456.33773511532</c:v>
                </c:pt>
                <c:pt idx="7">
                  <c:v>399995.92773511563</c:v>
                </c:pt>
                <c:pt idx="8">
                  <c:v>455879.28773511527</c:v>
                </c:pt>
                <c:pt idx="9">
                  <c:v>415346.51773511525</c:v>
                </c:pt>
                <c:pt idx="10">
                  <c:v>431429.45773511566</c:v>
                </c:pt>
                <c:pt idx="11">
                  <c:v>306920.21773511544</c:v>
                </c:pt>
                <c:pt idx="12">
                  <c:v>273124.01773511525</c:v>
                </c:pt>
                <c:pt idx="13">
                  <c:v>75099.019631752279</c:v>
                </c:pt>
                <c:pt idx="14">
                  <c:v>79446.339912750758</c:v>
                </c:pt>
                <c:pt idx="15">
                  <c:v>87296.397294786759</c:v>
                </c:pt>
                <c:pt idx="16">
                  <c:v>96708.650988779496</c:v>
                </c:pt>
                <c:pt idx="17">
                  <c:v>72104.926317280158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42.919151732377529</c:v>
                </c:pt>
                <c:pt idx="1">
                  <c:v>59.249342218400699</c:v>
                </c:pt>
                <c:pt idx="2">
                  <c:v>89.537532573289894</c:v>
                </c:pt>
                <c:pt idx="3">
                  <c:v>44.010058873002535</c:v>
                </c:pt>
                <c:pt idx="4">
                  <c:v>60.316068003487331</c:v>
                </c:pt>
                <c:pt idx="5">
                  <c:v>47.366209964412811</c:v>
                </c:pt>
                <c:pt idx="6">
                  <c:v>65.219232158988262</c:v>
                </c:pt>
                <c:pt idx="7">
                  <c:v>56.678354661791616</c:v>
                </c:pt>
                <c:pt idx="8">
                  <c:v>50.870728417266207</c:v>
                </c:pt>
                <c:pt idx="9">
                  <c:v>37.081789568345329</c:v>
                </c:pt>
                <c:pt idx="10">
                  <c:v>45.064696832579187</c:v>
                </c:pt>
                <c:pt idx="11">
                  <c:v>36.92910233393178</c:v>
                </c:pt>
                <c:pt idx="12">
                  <c:v>40.001751827104876</c:v>
                </c:pt>
                <c:pt idx="13">
                  <c:v>38.651486387577066</c:v>
                </c:pt>
                <c:pt idx="14">
                  <c:v>46.072972042039574</c:v>
                </c:pt>
                <c:pt idx="15">
                  <c:v>45.916806568230278</c:v>
                </c:pt>
                <c:pt idx="16">
                  <c:v>45.772098230480971</c:v>
                </c:pt>
                <c:pt idx="17">
                  <c:v>64.622452870324537</c:v>
                </c:pt>
                <c:pt idx="18">
                  <c:v>58.400846388996591</c:v>
                </c:pt>
                <c:pt idx="19">
                  <c:v>43.692323964410917</c:v>
                </c:pt>
                <c:pt idx="20">
                  <c:v>71.168632311625956</c:v>
                </c:pt>
                <c:pt idx="21">
                  <c:v>32.49841373087169</c:v>
                </c:pt>
                <c:pt idx="22">
                  <c:v>32.72631909159788</c:v>
                </c:pt>
                <c:pt idx="23">
                  <c:v>34.758119102387823</c:v>
                </c:pt>
                <c:pt idx="24">
                  <c:v>34.759223029625488</c:v>
                </c:pt>
                <c:pt idx="25">
                  <c:v>47.723898234394554</c:v>
                </c:pt>
                <c:pt idx="26">
                  <c:v>37.06392694063927</c:v>
                </c:pt>
                <c:pt idx="27">
                  <c:v>42.973126471810502</c:v>
                </c:pt>
                <c:pt idx="28">
                  <c:v>41.941143808995001</c:v>
                </c:pt>
                <c:pt idx="29">
                  <c:v>33.106569953968474</c:v>
                </c:pt>
                <c:pt idx="30">
                  <c:v>44.019815059445179</c:v>
                </c:pt>
                <c:pt idx="31">
                  <c:v>51.148529656089053</c:v>
                </c:pt>
                <c:pt idx="32">
                  <c:v>43.884263959390864</c:v>
                </c:pt>
                <c:pt idx="33">
                  <c:v>46.809375000000003</c:v>
                </c:pt>
                <c:pt idx="34">
                  <c:v>34.877551020408163</c:v>
                </c:pt>
                <c:pt idx="35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55.452130706127321</c:v>
                </c:pt>
                <c:pt idx="2">
                  <c:v>54.848448360529638</c:v>
                </c:pt>
                <c:pt idx="3">
                  <c:v>54.251338032449453</c:v>
                </c:pt>
                <c:pt idx="4">
                  <c:v>53.660728175295205</c:v>
                </c:pt>
                <c:pt idx="5">
                  <c:v>53.076548021370769</c:v>
                </c:pt>
                <c:pt idx="6">
                  <c:v>52.498727573395961</c:v>
                </c:pt>
                <c:pt idx="7">
                  <c:v>51.927197596119527</c:v>
                </c:pt>
                <c:pt idx="8">
                  <c:v>51.36188960802307</c:v>
                </c:pt>
                <c:pt idx="9">
                  <c:v>50.802735873115708</c:v>
                </c:pt>
                <c:pt idx="10">
                  <c:v>50.249669392817673</c:v>
                </c:pt>
                <c:pt idx="11">
                  <c:v>49.70262389793259</c:v>
                </c:pt>
                <c:pt idx="12">
                  <c:v>49.16153384070688</c:v>
                </c:pt>
                <c:pt idx="13">
                  <c:v>48.626334386975884</c:v>
                </c:pt>
                <c:pt idx="14">
                  <c:v>48.096961408395174</c:v>
                </c:pt>
                <c:pt idx="15">
                  <c:v>47.573351474756784</c:v>
                </c:pt>
                <c:pt idx="16">
                  <c:v>47.055441846388739</c:v>
                </c:pt>
                <c:pt idx="17">
                  <c:v>46.543170466637669</c:v>
                </c:pt>
                <c:pt idx="18">
                  <c:v>46.036475954432916</c:v>
                </c:pt>
                <c:pt idx="19">
                  <c:v>45.535297596931969</c:v>
                </c:pt>
                <c:pt idx="20">
                  <c:v>45.039575342245563</c:v>
                </c:pt>
                <c:pt idx="21">
                  <c:v>44.549249792242335</c:v>
                </c:pt>
                <c:pt idx="22">
                  <c:v>44.06426219543161</c:v>
                </c:pt>
                <c:pt idx="23">
                  <c:v>43.584554439923643</c:v>
                </c:pt>
                <c:pt idx="24">
                  <c:v>43.110069046466649</c:v>
                </c:pt>
                <c:pt idx="25">
                  <c:v>42.640749161559583</c:v>
                </c:pt>
                <c:pt idx="26">
                  <c:v>42.176538550639819</c:v>
                </c:pt>
                <c:pt idx="27">
                  <c:v>41.71738159134501</c:v>
                </c:pt>
                <c:pt idx="28">
                  <c:v>41.26322326684847</c:v>
                </c:pt>
                <c:pt idx="29">
                  <c:v>40.814009159266817</c:v>
                </c:pt>
                <c:pt idx="30">
                  <c:v>40.369685443139709</c:v>
                </c:pt>
                <c:pt idx="31">
                  <c:v>39.930198878980249</c:v>
                </c:pt>
                <c:pt idx="32">
                  <c:v>39.495496806895893</c:v>
                </c:pt>
                <c:pt idx="33">
                  <c:v>39.065527140278554</c:v>
                </c:pt>
                <c:pt idx="34">
                  <c:v>38.640238359563618</c:v>
                </c:pt>
                <c:pt idx="35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44.750526417688754</c:v>
                </c:pt>
                <c:pt idx="11">
                  <c:v>44.634937050378376</c:v>
                </c:pt>
                <c:pt idx="12">
                  <c:v>44.519646247194615</c:v>
                </c:pt>
                <c:pt idx="13">
                  <c:v>44.404653236954609</c:v>
                </c:pt>
                <c:pt idx="14">
                  <c:v>44.289957250467452</c:v>
                </c:pt>
                <c:pt idx="15">
                  <c:v>44.175557520529047</c:v>
                </c:pt>
                <c:pt idx="16">
                  <c:v>44.061453281916968</c:v>
                </c:pt>
                <c:pt idx="17">
                  <c:v>43.94764377138528</c:v>
                </c:pt>
                <c:pt idx="18">
                  <c:v>43.834128227659562</c:v>
                </c:pt>
                <c:pt idx="19">
                  <c:v>43.720905891431705</c:v>
                </c:pt>
                <c:pt idx="20">
                  <c:v>43.607976005354892</c:v>
                </c:pt>
                <c:pt idx="21">
                  <c:v>43.4953378140385</c:v>
                </c:pt>
                <c:pt idx="22">
                  <c:v>43.382990564043077</c:v>
                </c:pt>
                <c:pt idx="23">
                  <c:v>43.270933503875227</c:v>
                </c:pt>
                <c:pt idx="24">
                  <c:v>43.159165883982716</c:v>
                </c:pt>
                <c:pt idx="25">
                  <c:v>43.047686956749331</c:v>
                </c:pt>
                <c:pt idx="26">
                  <c:v>42.936495976489958</c:v>
                </c:pt>
                <c:pt idx="27">
                  <c:v>42.825592199445559</c:v>
                </c:pt>
                <c:pt idx="28">
                  <c:v>42.714974883778197</c:v>
                </c:pt>
                <c:pt idx="29">
                  <c:v>42.604643289566113</c:v>
                </c:pt>
                <c:pt idx="30">
                  <c:v>42.494596678798679</c:v>
                </c:pt>
                <c:pt idx="31">
                  <c:v>42.384834315371585</c:v>
                </c:pt>
                <c:pt idx="32">
                  <c:v>42.275355465081851</c:v>
                </c:pt>
                <c:pt idx="33">
                  <c:v>42.166159395622913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49.507260590481984</c:v>
                </c:pt>
                <c:pt idx="17">
                  <c:v>48.835056638596747</c:v>
                </c:pt>
                <c:pt idx="18">
                  <c:v>48.171979795493975</c:v>
                </c:pt>
                <c:pt idx="19">
                  <c:v>47.517906134328967</c:v>
                </c:pt>
                <c:pt idx="20">
                  <c:v>46.872713410921691</c:v>
                </c:pt>
                <c:pt idx="21">
                  <c:v>46.236281040909617</c:v>
                </c:pt>
                <c:pt idx="22">
                  <c:v>45.608490077211052</c:v>
                </c:pt>
                <c:pt idx="23">
                  <c:v>44.989223187794146</c:v>
                </c:pt>
                <c:pt idx="24">
                  <c:v>44.378364633748127</c:v>
                </c:pt>
                <c:pt idx="25">
                  <c:v>43.775800247651908</c:v>
                </c:pt>
                <c:pt idx="26">
                  <c:v>43.181417412236719</c:v>
                </c:pt>
                <c:pt idx="27">
                  <c:v>42.595105039338186</c:v>
                </c:pt>
                <c:pt idx="28">
                  <c:v>42.016753549134471</c:v>
                </c:pt>
                <c:pt idx="29">
                  <c:v>41.446254849666026</c:v>
                </c:pt>
                <c:pt idx="30">
                  <c:v>40.883502316633638</c:v>
                </c:pt>
                <c:pt idx="31">
                  <c:v>40.328390773470737</c:v>
                </c:pt>
                <c:pt idx="32">
                  <c:v>39.780816471686201</c:v>
                </c:pt>
                <c:pt idx="33">
                  <c:v>39.240677071474082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35.455256527045854</c:v>
                </c:pt>
                <c:pt idx="23">
                  <c:v>36.302648981521457</c:v>
                </c:pt>
                <c:pt idx="24">
                  <c:v>37.170294398244117</c:v>
                </c:pt>
                <c:pt idx="25">
                  <c:v>38.058676829765425</c:v>
                </c:pt>
                <c:pt idx="26">
                  <c:v>38.968291897654368</c:v>
                </c:pt>
                <c:pt idx="27">
                  <c:v>39.8996470690007</c:v>
                </c:pt>
                <c:pt idx="28">
                  <c:v>40.85326193952686</c:v>
                </c:pt>
                <c:pt idx="29">
                  <c:v>41.829668523466303</c:v>
                </c:pt>
                <c:pt idx="30">
                  <c:v>42.829411550370139</c:v>
                </c:pt>
                <c:pt idx="31">
                  <c:v>43.853048769007344</c:v>
                </c:pt>
                <c:pt idx="32">
                  <c:v>44.901151258528479</c:v>
                </c:pt>
                <c:pt idx="33">
                  <c:v>45.974303747066259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94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58.400846388996591</c:v>
                </c:pt>
                <c:pt idx="1">
                  <c:v>43.692323964410917</c:v>
                </c:pt>
                <c:pt idx="2">
                  <c:v>71.168632311625956</c:v>
                </c:pt>
                <c:pt idx="3">
                  <c:v>32.49841373087169</c:v>
                </c:pt>
                <c:pt idx="4">
                  <c:v>32.72631909159788</c:v>
                </c:pt>
                <c:pt idx="5">
                  <c:v>34.758119102387823</c:v>
                </c:pt>
                <c:pt idx="6">
                  <c:v>34.759223029625488</c:v>
                </c:pt>
                <c:pt idx="7">
                  <c:v>47.723898234394554</c:v>
                </c:pt>
                <c:pt idx="8">
                  <c:v>37.06392694063927</c:v>
                </c:pt>
                <c:pt idx="9">
                  <c:v>42.973126471810502</c:v>
                </c:pt>
                <c:pt idx="10">
                  <c:v>41.941143808995001</c:v>
                </c:pt>
                <c:pt idx="11">
                  <c:v>33.106569953968474</c:v>
                </c:pt>
                <c:pt idx="12">
                  <c:v>44.019815059445179</c:v>
                </c:pt>
                <c:pt idx="13">
                  <c:v>51.148529656089053</c:v>
                </c:pt>
                <c:pt idx="14">
                  <c:v>43.884263959390864</c:v>
                </c:pt>
                <c:pt idx="15">
                  <c:v>46.809375000000003</c:v>
                </c:pt>
                <c:pt idx="16">
                  <c:v>34.877551020408163</c:v>
                </c:pt>
                <c:pt idx="17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46.036475954432916</c:v>
                </c:pt>
                <c:pt idx="1">
                  <c:v>45.535297596931969</c:v>
                </c:pt>
                <c:pt idx="2">
                  <c:v>45.039575342245563</c:v>
                </c:pt>
                <c:pt idx="3">
                  <c:v>44.549249792242335</c:v>
                </c:pt>
                <c:pt idx="4">
                  <c:v>44.06426219543161</c:v>
                </c:pt>
                <c:pt idx="5">
                  <c:v>43.584554439923643</c:v>
                </c:pt>
                <c:pt idx="6">
                  <c:v>43.110069046466649</c:v>
                </c:pt>
                <c:pt idx="7">
                  <c:v>42.640749161559583</c:v>
                </c:pt>
                <c:pt idx="8">
                  <c:v>42.176538550639819</c:v>
                </c:pt>
                <c:pt idx="9">
                  <c:v>41.71738159134501</c:v>
                </c:pt>
                <c:pt idx="10">
                  <c:v>41.26322326684847</c:v>
                </c:pt>
                <c:pt idx="11">
                  <c:v>40.814009159266817</c:v>
                </c:pt>
                <c:pt idx="12">
                  <c:v>40.369685443139709</c:v>
                </c:pt>
                <c:pt idx="13">
                  <c:v>39.930198878980249</c:v>
                </c:pt>
                <c:pt idx="14">
                  <c:v>39.495496806895893</c:v>
                </c:pt>
                <c:pt idx="15">
                  <c:v>39.065527140278554</c:v>
                </c:pt>
                <c:pt idx="16">
                  <c:v>38.640238359563618</c:v>
                </c:pt>
                <c:pt idx="17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43.834128227659562</c:v>
                </c:pt>
                <c:pt idx="1">
                  <c:v>43.720905891431705</c:v>
                </c:pt>
                <c:pt idx="2">
                  <c:v>43.607976005354892</c:v>
                </c:pt>
                <c:pt idx="3">
                  <c:v>43.4953378140385</c:v>
                </c:pt>
                <c:pt idx="4">
                  <c:v>43.382990564043077</c:v>
                </c:pt>
                <c:pt idx="5">
                  <c:v>43.270933503875227</c:v>
                </c:pt>
                <c:pt idx="6">
                  <c:v>43.159165883982716</c:v>
                </c:pt>
                <c:pt idx="7">
                  <c:v>43.047686956749331</c:v>
                </c:pt>
                <c:pt idx="8">
                  <c:v>42.936495976489958</c:v>
                </c:pt>
                <c:pt idx="9">
                  <c:v>42.825592199445559</c:v>
                </c:pt>
                <c:pt idx="10">
                  <c:v>42.714974883778197</c:v>
                </c:pt>
                <c:pt idx="11">
                  <c:v>42.604643289566113</c:v>
                </c:pt>
                <c:pt idx="12">
                  <c:v>42.494596678798679</c:v>
                </c:pt>
                <c:pt idx="13">
                  <c:v>42.384834315371585</c:v>
                </c:pt>
                <c:pt idx="14">
                  <c:v>42.275355465081851</c:v>
                </c:pt>
                <c:pt idx="15">
                  <c:v>42.166159395622913</c:v>
                </c:pt>
                <c:pt idx="16">
                  <c:v>42.057245376579736</c:v>
                </c:pt>
                <c:pt idx="17">
                  <c:v>41.948612679423938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0.81729032321652573</c:v>
                </c:pt>
                <c:pt idx="3">
                  <c:v>0.87435376544141896</c:v>
                </c:pt>
                <c:pt idx="4">
                  <c:v>0.90660061020719629</c:v>
                </c:pt>
                <c:pt idx="5">
                  <c:v>0.95760153500233269</c:v>
                </c:pt>
                <c:pt idx="6">
                  <c:v>0.970673232625337</c:v>
                </c:pt>
                <c:pt idx="7">
                  <c:v>0.97702746669683405</c:v>
                </c:pt>
                <c:pt idx="8">
                  <c:v>0.98435125522634026</c:v>
                </c:pt>
                <c:pt idx="9">
                  <c:v>0.99141870751256733</c:v>
                </c:pt>
                <c:pt idx="10">
                  <c:v>0.99532273867438126</c:v>
                </c:pt>
                <c:pt idx="11">
                  <c:v>0.99655321095702043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0.85947419897647237</c:v>
                </c:pt>
                <c:pt idx="3">
                  <c:v>0.89995772050377121</c:v>
                </c:pt>
                <c:pt idx="4">
                  <c:v>0.91875423406052503</c:v>
                </c:pt>
                <c:pt idx="5">
                  <c:v>0.94179918731553347</c:v>
                </c:pt>
                <c:pt idx="6">
                  <c:v>0.95192255738947995</c:v>
                </c:pt>
                <c:pt idx="7">
                  <c:v>0.95797724184092259</c:v>
                </c:pt>
                <c:pt idx="8">
                  <c:v>0.96499730984607868</c:v>
                </c:pt>
                <c:pt idx="9">
                  <c:v>0.96884848382347444</c:v>
                </c:pt>
                <c:pt idx="10">
                  <c:v>0.97206385463862688</c:v>
                </c:pt>
                <c:pt idx="11">
                  <c:v>0.97370073847766125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0.85121462105141532</c:v>
                </c:pt>
                <c:pt idx="3">
                  <c:v>0.91023733573595489</c:v>
                </c:pt>
                <c:pt idx="4">
                  <c:v>0.93567334740051578</c:v>
                </c:pt>
                <c:pt idx="5">
                  <c:v>0.96491593996840952</c:v>
                </c:pt>
                <c:pt idx="6">
                  <c:v>0.97791322960369997</c:v>
                </c:pt>
                <c:pt idx="7">
                  <c:v>0.98349263112655705</c:v>
                </c:pt>
                <c:pt idx="8">
                  <c:v>0.98954921207949142</c:v>
                </c:pt>
                <c:pt idx="9">
                  <c:v>0.99471605067473912</c:v>
                </c:pt>
                <c:pt idx="10">
                  <c:v>0.99756455714073022</c:v>
                </c:pt>
                <c:pt idx="11">
                  <c:v>0.99856535609270136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67160.97334734608</c:v>
                </c:pt>
                <c:pt idx="1">
                  <c:v>49721.864671499621</c:v>
                </c:pt>
                <c:pt idx="2">
                  <c:v>80847.56630600708</c:v>
                </c:pt>
                <c:pt idx="3">
                  <c:v>37438.172617964185</c:v>
                </c:pt>
                <c:pt idx="4">
                  <c:v>38944.319719001476</c:v>
                </c:pt>
                <c:pt idx="5">
                  <c:v>246921.67810336311</c:v>
                </c:pt>
                <c:pt idx="6">
                  <c:v>248737</c:v>
                </c:pt>
                <c:pt idx="7">
                  <c:v>343278</c:v>
                </c:pt>
                <c:pt idx="8">
                  <c:v>267861</c:v>
                </c:pt>
                <c:pt idx="9">
                  <c:v>310223</c:v>
                </c:pt>
                <c:pt idx="10">
                  <c:v>302144</c:v>
                </c:pt>
                <c:pt idx="11">
                  <c:v>237341</c:v>
                </c:pt>
                <c:pt idx="12">
                  <c:v>299907</c:v>
                </c:pt>
                <c:pt idx="13">
                  <c:v>307863</c:v>
                </c:pt>
                <c:pt idx="14">
                  <c:v>259356</c:v>
                </c:pt>
                <c:pt idx="15">
                  <c:v>269622</c:v>
                </c:pt>
                <c:pt idx="16">
                  <c:v>203371</c:v>
                </c:pt>
                <c:pt idx="17">
                  <c:v>227019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0.94674261714058228</c:v>
                </c:pt>
                <c:pt idx="1">
                  <c:v>1.1240800473283452</c:v>
                </c:pt>
                <c:pt idx="2">
                  <c:v>1.4965122908510113</c:v>
                </c:pt>
                <c:pt idx="3">
                  <c:v>1.0730138934553193</c:v>
                </c:pt>
                <c:pt idx="4">
                  <c:v>1.805379052399031</c:v>
                </c:pt>
                <c:pt idx="5">
                  <c:v>0.58717013097821769</c:v>
                </c:pt>
                <c:pt idx="6">
                  <c:v>0.90987304411261161</c:v>
                </c:pt>
                <c:pt idx="7">
                  <c:v>1.4823841850180073</c:v>
                </c:pt>
                <c:pt idx="8">
                  <c:v>1.0818535870143946</c:v>
                </c:pt>
                <c:pt idx="9">
                  <c:v>1.2356222173862206</c:v>
                </c:pt>
                <c:pt idx="10">
                  <c:v>1.120204612295552</c:v>
                </c:pt>
                <c:pt idx="11">
                  <c:v>1.496488100250289</c:v>
                </c:pt>
                <c:pt idx="12">
                  <c:v>1.6687366912370403</c:v>
                </c:pt>
                <c:pt idx="13">
                  <c:v>1.5293566761252804</c:v>
                </c:pt>
                <c:pt idx="14">
                  <c:v>1.7829285350907123</c:v>
                </c:pt>
                <c:pt idx="15">
                  <c:v>1.6947634876026236</c:v>
                </c:pt>
                <c:pt idx="16">
                  <c:v>1.5955196545352301</c:v>
                </c:pt>
                <c:pt idx="17">
                  <c:v>2.0521898701812109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837</c:v>
                </c:pt>
                <c:pt idx="1">
                  <c:v>2326</c:v>
                </c:pt>
                <c:pt idx="2">
                  <c:v>1228</c:v>
                </c:pt>
                <c:pt idx="3">
                  <c:v>1189</c:v>
                </c:pt>
                <c:pt idx="4">
                  <c:v>1147</c:v>
                </c:pt>
                <c:pt idx="5">
                  <c:v>1124</c:v>
                </c:pt>
                <c:pt idx="6">
                  <c:v>1107</c:v>
                </c:pt>
                <c:pt idx="7">
                  <c:v>1094</c:v>
                </c:pt>
                <c:pt idx="8">
                  <c:v>1112</c:v>
                </c:pt>
                <c:pt idx="9">
                  <c:v>1112</c:v>
                </c:pt>
                <c:pt idx="10">
                  <c:v>1105</c:v>
                </c:pt>
                <c:pt idx="11">
                  <c:v>1114</c:v>
                </c:pt>
                <c:pt idx="12">
                  <c:v>1107</c:v>
                </c:pt>
                <c:pt idx="13">
                  <c:v>1106</c:v>
                </c:pt>
                <c:pt idx="14">
                  <c:v>1102</c:v>
                </c:pt>
                <c:pt idx="15">
                  <c:v>1108</c:v>
                </c:pt>
                <c:pt idx="16">
                  <c:v>1103</c:v>
                </c:pt>
                <c:pt idx="17">
                  <c:v>1145</c:v>
                </c:pt>
                <c:pt idx="18">
                  <c:v>1150</c:v>
                </c:pt>
                <c:pt idx="19">
                  <c:v>1138</c:v>
                </c:pt>
                <c:pt idx="20">
                  <c:v>1136</c:v>
                </c:pt>
                <c:pt idx="21">
                  <c:v>1152</c:v>
                </c:pt>
                <c:pt idx="22">
                  <c:v>1190</c:v>
                </c:pt>
                <c:pt idx="23">
                  <c:v>7104</c:v>
                </c:pt>
                <c:pt idx="24">
                  <c:v>7156</c:v>
                </c:pt>
                <c:pt idx="25">
                  <c:v>7193</c:v>
                </c:pt>
                <c:pt idx="26">
                  <c:v>7227</c:v>
                </c:pt>
                <c:pt idx="27">
                  <c:v>7219</c:v>
                </c:pt>
                <c:pt idx="28">
                  <c:v>7204</c:v>
                </c:pt>
                <c:pt idx="29">
                  <c:v>7169</c:v>
                </c:pt>
                <c:pt idx="30">
                  <c:v>6813</c:v>
                </c:pt>
                <c:pt idx="31">
                  <c:v>6019</c:v>
                </c:pt>
                <c:pt idx="32">
                  <c:v>5910</c:v>
                </c:pt>
                <c:pt idx="33">
                  <c:v>5760</c:v>
                </c:pt>
                <c:pt idx="34">
                  <c:v>5831</c:v>
                </c:pt>
                <c:pt idx="35">
                  <c:v>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42.919151732377529</c:v>
                </c:pt>
                <c:pt idx="1">
                  <c:v>59.249342218400699</c:v>
                </c:pt>
                <c:pt idx="2">
                  <c:v>89.537532573289894</c:v>
                </c:pt>
                <c:pt idx="3">
                  <c:v>44.010058873002535</c:v>
                </c:pt>
                <c:pt idx="4">
                  <c:v>60.316068003487331</c:v>
                </c:pt>
                <c:pt idx="5">
                  <c:v>47.366209964412811</c:v>
                </c:pt>
                <c:pt idx="6">
                  <c:v>65.219232158988262</c:v>
                </c:pt>
                <c:pt idx="7">
                  <c:v>56.678354661791616</c:v>
                </c:pt>
                <c:pt idx="8">
                  <c:v>50.870728417266207</c:v>
                </c:pt>
                <c:pt idx="9">
                  <c:v>37.081789568345329</c:v>
                </c:pt>
                <c:pt idx="10">
                  <c:v>45.064696832579187</c:v>
                </c:pt>
                <c:pt idx="11">
                  <c:v>36.92910233393178</c:v>
                </c:pt>
                <c:pt idx="12">
                  <c:v>40.001751827104876</c:v>
                </c:pt>
                <c:pt idx="13">
                  <c:v>38.651486387577066</c:v>
                </c:pt>
                <c:pt idx="14">
                  <c:v>46.072972042039574</c:v>
                </c:pt>
                <c:pt idx="15">
                  <c:v>45.916806568230278</c:v>
                </c:pt>
                <c:pt idx="16">
                  <c:v>45.772098230480971</c:v>
                </c:pt>
                <c:pt idx="17">
                  <c:v>64.622452870324537</c:v>
                </c:pt>
                <c:pt idx="18">
                  <c:v>58.400846388996591</c:v>
                </c:pt>
                <c:pt idx="19">
                  <c:v>43.692323964410917</c:v>
                </c:pt>
                <c:pt idx="20">
                  <c:v>71.168632311625956</c:v>
                </c:pt>
                <c:pt idx="21">
                  <c:v>32.49841373087169</c:v>
                </c:pt>
                <c:pt idx="22">
                  <c:v>32.72631909159788</c:v>
                </c:pt>
                <c:pt idx="23">
                  <c:v>34.758119102387823</c:v>
                </c:pt>
                <c:pt idx="24">
                  <c:v>34.759223029625488</c:v>
                </c:pt>
                <c:pt idx="25">
                  <c:v>47.723898234394554</c:v>
                </c:pt>
                <c:pt idx="26">
                  <c:v>37.06392694063927</c:v>
                </c:pt>
                <c:pt idx="27">
                  <c:v>42.973126471810502</c:v>
                </c:pt>
                <c:pt idx="28">
                  <c:v>41.941143808995001</c:v>
                </c:pt>
                <c:pt idx="29">
                  <c:v>33.106569953968474</c:v>
                </c:pt>
                <c:pt idx="30">
                  <c:v>44.019815059445179</c:v>
                </c:pt>
                <c:pt idx="31">
                  <c:v>51.148529656089053</c:v>
                </c:pt>
                <c:pt idx="32">
                  <c:v>43.884263959390864</c:v>
                </c:pt>
                <c:pt idx="33">
                  <c:v>46.809375000000003</c:v>
                </c:pt>
                <c:pt idx="34">
                  <c:v>34.877551020408163</c:v>
                </c:pt>
                <c:pt idx="35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55.452130706127321</c:v>
                </c:pt>
                <c:pt idx="2">
                  <c:v>54.848448360529638</c:v>
                </c:pt>
                <c:pt idx="3">
                  <c:v>54.251338032449453</c:v>
                </c:pt>
                <c:pt idx="4">
                  <c:v>53.660728175295205</c:v>
                </c:pt>
                <c:pt idx="5">
                  <c:v>53.076548021370769</c:v>
                </c:pt>
                <c:pt idx="6">
                  <c:v>52.498727573395961</c:v>
                </c:pt>
                <c:pt idx="7">
                  <c:v>51.927197596119527</c:v>
                </c:pt>
                <c:pt idx="8">
                  <c:v>51.36188960802307</c:v>
                </c:pt>
                <c:pt idx="9">
                  <c:v>50.802735873115708</c:v>
                </c:pt>
                <c:pt idx="10">
                  <c:v>50.249669392817673</c:v>
                </c:pt>
                <c:pt idx="11">
                  <c:v>49.70262389793259</c:v>
                </c:pt>
                <c:pt idx="12">
                  <c:v>49.16153384070688</c:v>
                </c:pt>
                <c:pt idx="13">
                  <c:v>48.626334386975884</c:v>
                </c:pt>
                <c:pt idx="14">
                  <c:v>48.096961408395174</c:v>
                </c:pt>
                <c:pt idx="15">
                  <c:v>47.573351474756784</c:v>
                </c:pt>
                <c:pt idx="16">
                  <c:v>47.055441846388739</c:v>
                </c:pt>
                <c:pt idx="17">
                  <c:v>46.543170466637669</c:v>
                </c:pt>
                <c:pt idx="18">
                  <c:v>46.036475954432916</c:v>
                </c:pt>
                <c:pt idx="19">
                  <c:v>45.535297596931969</c:v>
                </c:pt>
                <c:pt idx="20">
                  <c:v>45.039575342245563</c:v>
                </c:pt>
                <c:pt idx="21">
                  <c:v>44.549249792242335</c:v>
                </c:pt>
                <c:pt idx="22">
                  <c:v>44.06426219543161</c:v>
                </c:pt>
                <c:pt idx="23">
                  <c:v>43.584554439923643</c:v>
                </c:pt>
                <c:pt idx="24">
                  <c:v>43.110069046466649</c:v>
                </c:pt>
                <c:pt idx="25">
                  <c:v>42.640749161559583</c:v>
                </c:pt>
                <c:pt idx="26">
                  <c:v>42.176538550639819</c:v>
                </c:pt>
                <c:pt idx="27">
                  <c:v>41.71738159134501</c:v>
                </c:pt>
                <c:pt idx="28">
                  <c:v>41.26322326684847</c:v>
                </c:pt>
                <c:pt idx="29">
                  <c:v>40.814009159266817</c:v>
                </c:pt>
                <c:pt idx="30">
                  <c:v>40.369685443139709</c:v>
                </c:pt>
                <c:pt idx="31">
                  <c:v>39.930198878980249</c:v>
                </c:pt>
                <c:pt idx="32">
                  <c:v>39.495496806895893</c:v>
                </c:pt>
                <c:pt idx="33">
                  <c:v>39.065527140278554</c:v>
                </c:pt>
                <c:pt idx="34">
                  <c:v>38.640238359563618</c:v>
                </c:pt>
                <c:pt idx="35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44.750526417688754</c:v>
                </c:pt>
                <c:pt idx="11">
                  <c:v>44.634937050378376</c:v>
                </c:pt>
                <c:pt idx="12">
                  <c:v>44.519646247194615</c:v>
                </c:pt>
                <c:pt idx="13">
                  <c:v>44.404653236954609</c:v>
                </c:pt>
                <c:pt idx="14">
                  <c:v>44.289957250467452</c:v>
                </c:pt>
                <c:pt idx="15">
                  <c:v>44.175557520529047</c:v>
                </c:pt>
                <c:pt idx="16">
                  <c:v>44.061453281916968</c:v>
                </c:pt>
                <c:pt idx="17">
                  <c:v>43.94764377138528</c:v>
                </c:pt>
                <c:pt idx="18">
                  <c:v>43.834128227659562</c:v>
                </c:pt>
                <c:pt idx="19">
                  <c:v>43.720905891431705</c:v>
                </c:pt>
                <c:pt idx="20">
                  <c:v>43.607976005354892</c:v>
                </c:pt>
                <c:pt idx="21">
                  <c:v>43.4953378140385</c:v>
                </c:pt>
                <c:pt idx="22">
                  <c:v>43.382990564043077</c:v>
                </c:pt>
                <c:pt idx="23">
                  <c:v>43.270933503875227</c:v>
                </c:pt>
                <c:pt idx="24">
                  <c:v>43.159165883982716</c:v>
                </c:pt>
                <c:pt idx="25">
                  <c:v>43.047686956749331</c:v>
                </c:pt>
                <c:pt idx="26">
                  <c:v>42.936495976489958</c:v>
                </c:pt>
                <c:pt idx="27">
                  <c:v>42.825592199445559</c:v>
                </c:pt>
                <c:pt idx="28">
                  <c:v>42.714974883778197</c:v>
                </c:pt>
                <c:pt idx="29">
                  <c:v>42.604643289566113</c:v>
                </c:pt>
                <c:pt idx="30">
                  <c:v>42.494596678798679</c:v>
                </c:pt>
                <c:pt idx="31">
                  <c:v>42.384834315371585</c:v>
                </c:pt>
                <c:pt idx="32">
                  <c:v>42.275355465081851</c:v>
                </c:pt>
                <c:pt idx="33">
                  <c:v>42.166159395622913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49.507260590481984</c:v>
                </c:pt>
                <c:pt idx="17">
                  <c:v>48.835056638596747</c:v>
                </c:pt>
                <c:pt idx="18">
                  <c:v>48.171979795493975</c:v>
                </c:pt>
                <c:pt idx="19">
                  <c:v>47.517906134328967</c:v>
                </c:pt>
                <c:pt idx="20">
                  <c:v>46.872713410921691</c:v>
                </c:pt>
                <c:pt idx="21">
                  <c:v>46.236281040909617</c:v>
                </c:pt>
                <c:pt idx="22">
                  <c:v>45.608490077211052</c:v>
                </c:pt>
                <c:pt idx="23">
                  <c:v>44.989223187794146</c:v>
                </c:pt>
                <c:pt idx="24">
                  <c:v>44.378364633748127</c:v>
                </c:pt>
                <c:pt idx="25">
                  <c:v>43.775800247651908</c:v>
                </c:pt>
                <c:pt idx="26">
                  <c:v>43.181417412236719</c:v>
                </c:pt>
                <c:pt idx="27">
                  <c:v>42.595105039338186</c:v>
                </c:pt>
                <c:pt idx="28">
                  <c:v>42.016753549134471</c:v>
                </c:pt>
                <c:pt idx="29">
                  <c:v>41.446254849666026</c:v>
                </c:pt>
                <c:pt idx="30">
                  <c:v>40.883502316633638</c:v>
                </c:pt>
                <c:pt idx="31">
                  <c:v>40.328390773470737</c:v>
                </c:pt>
                <c:pt idx="32">
                  <c:v>39.780816471686201</c:v>
                </c:pt>
                <c:pt idx="33">
                  <c:v>39.240677071474082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35.455256527045854</c:v>
                </c:pt>
                <c:pt idx="23">
                  <c:v>36.302648981521457</c:v>
                </c:pt>
                <c:pt idx="24">
                  <c:v>37.170294398244117</c:v>
                </c:pt>
                <c:pt idx="25">
                  <c:v>38.058676829765425</c:v>
                </c:pt>
                <c:pt idx="26">
                  <c:v>38.968291897654368</c:v>
                </c:pt>
                <c:pt idx="27">
                  <c:v>39.8996470690007</c:v>
                </c:pt>
                <c:pt idx="28">
                  <c:v>40.85326193952686</c:v>
                </c:pt>
                <c:pt idx="29">
                  <c:v>41.829668523466303</c:v>
                </c:pt>
                <c:pt idx="30">
                  <c:v>42.829411550370139</c:v>
                </c:pt>
                <c:pt idx="31">
                  <c:v>43.853048769007344</c:v>
                </c:pt>
                <c:pt idx="32">
                  <c:v>44.901151258528479</c:v>
                </c:pt>
                <c:pt idx="33">
                  <c:v>45.974303747066259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94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58.400846388996591</c:v>
                </c:pt>
                <c:pt idx="1">
                  <c:v>43.692323964410917</c:v>
                </c:pt>
                <c:pt idx="2">
                  <c:v>71.168632311625956</c:v>
                </c:pt>
                <c:pt idx="3">
                  <c:v>32.49841373087169</c:v>
                </c:pt>
                <c:pt idx="4">
                  <c:v>32.72631909159788</c:v>
                </c:pt>
                <c:pt idx="5">
                  <c:v>34.758119102387823</c:v>
                </c:pt>
                <c:pt idx="6">
                  <c:v>34.759223029625488</c:v>
                </c:pt>
                <c:pt idx="7">
                  <c:v>47.723898234394554</c:v>
                </c:pt>
                <c:pt idx="8">
                  <c:v>37.06392694063927</c:v>
                </c:pt>
                <c:pt idx="9">
                  <c:v>42.973126471810502</c:v>
                </c:pt>
                <c:pt idx="10">
                  <c:v>41.941143808995001</c:v>
                </c:pt>
                <c:pt idx="11">
                  <c:v>33.106569953968474</c:v>
                </c:pt>
                <c:pt idx="12">
                  <c:v>44.019815059445179</c:v>
                </c:pt>
                <c:pt idx="13">
                  <c:v>51.148529656089053</c:v>
                </c:pt>
                <c:pt idx="14">
                  <c:v>43.884263959390864</c:v>
                </c:pt>
                <c:pt idx="15">
                  <c:v>46.809375000000003</c:v>
                </c:pt>
                <c:pt idx="16">
                  <c:v>34.877551020408163</c:v>
                </c:pt>
                <c:pt idx="17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46.036475954432916</c:v>
                </c:pt>
                <c:pt idx="1">
                  <c:v>45.535297596931969</c:v>
                </c:pt>
                <c:pt idx="2">
                  <c:v>45.039575342245563</c:v>
                </c:pt>
                <c:pt idx="3">
                  <c:v>44.549249792242335</c:v>
                </c:pt>
                <c:pt idx="4">
                  <c:v>44.06426219543161</c:v>
                </c:pt>
                <c:pt idx="5">
                  <c:v>43.584554439923643</c:v>
                </c:pt>
                <c:pt idx="6">
                  <c:v>43.110069046466649</c:v>
                </c:pt>
                <c:pt idx="7">
                  <c:v>42.640749161559583</c:v>
                </c:pt>
                <c:pt idx="8">
                  <c:v>42.176538550639819</c:v>
                </c:pt>
                <c:pt idx="9">
                  <c:v>41.71738159134501</c:v>
                </c:pt>
                <c:pt idx="10">
                  <c:v>41.26322326684847</c:v>
                </c:pt>
                <c:pt idx="11">
                  <c:v>40.814009159266817</c:v>
                </c:pt>
                <c:pt idx="12">
                  <c:v>40.369685443139709</c:v>
                </c:pt>
                <c:pt idx="13">
                  <c:v>39.930198878980249</c:v>
                </c:pt>
                <c:pt idx="14">
                  <c:v>39.495496806895893</c:v>
                </c:pt>
                <c:pt idx="15">
                  <c:v>39.065527140278554</c:v>
                </c:pt>
                <c:pt idx="16">
                  <c:v>38.640238359563618</c:v>
                </c:pt>
                <c:pt idx="17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43.834128227659562</c:v>
                </c:pt>
                <c:pt idx="1">
                  <c:v>43.720905891431705</c:v>
                </c:pt>
                <c:pt idx="2">
                  <c:v>43.607976005354892</c:v>
                </c:pt>
                <c:pt idx="3">
                  <c:v>43.4953378140385</c:v>
                </c:pt>
                <c:pt idx="4">
                  <c:v>43.382990564043077</c:v>
                </c:pt>
                <c:pt idx="5">
                  <c:v>43.270933503875227</c:v>
                </c:pt>
                <c:pt idx="6">
                  <c:v>43.159165883982716</c:v>
                </c:pt>
                <c:pt idx="7">
                  <c:v>43.047686956749331</c:v>
                </c:pt>
                <c:pt idx="8">
                  <c:v>42.936495976489958</c:v>
                </c:pt>
                <c:pt idx="9">
                  <c:v>42.825592199445559</c:v>
                </c:pt>
                <c:pt idx="10">
                  <c:v>42.714974883778197</c:v>
                </c:pt>
                <c:pt idx="11">
                  <c:v>42.604643289566113</c:v>
                </c:pt>
                <c:pt idx="12">
                  <c:v>42.494596678798679</c:v>
                </c:pt>
                <c:pt idx="13">
                  <c:v>42.384834315371585</c:v>
                </c:pt>
                <c:pt idx="14">
                  <c:v>42.275355465081851</c:v>
                </c:pt>
                <c:pt idx="15">
                  <c:v>42.166159395622913</c:v>
                </c:pt>
                <c:pt idx="16">
                  <c:v>42.057245376579736</c:v>
                </c:pt>
                <c:pt idx="17">
                  <c:v>41.948612679423938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0.81729032321652573</c:v>
                </c:pt>
                <c:pt idx="3">
                  <c:v>0.87435376544141896</c:v>
                </c:pt>
                <c:pt idx="4">
                  <c:v>0.90660061020719629</c:v>
                </c:pt>
                <c:pt idx="5">
                  <c:v>0.95760153500233269</c:v>
                </c:pt>
                <c:pt idx="6">
                  <c:v>0.970673232625337</c:v>
                </c:pt>
                <c:pt idx="7">
                  <c:v>0.97702746669683405</c:v>
                </c:pt>
                <c:pt idx="8">
                  <c:v>0.98435125522634026</c:v>
                </c:pt>
                <c:pt idx="9">
                  <c:v>0.99141870751256733</c:v>
                </c:pt>
                <c:pt idx="10">
                  <c:v>0.99532273867438126</c:v>
                </c:pt>
                <c:pt idx="11">
                  <c:v>0.99655321095702043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0.85947419897647237</c:v>
                </c:pt>
                <c:pt idx="3">
                  <c:v>0.89995772050377121</c:v>
                </c:pt>
                <c:pt idx="4">
                  <c:v>0.91875423406052503</c:v>
                </c:pt>
                <c:pt idx="5">
                  <c:v>0.94179918731553347</c:v>
                </c:pt>
                <c:pt idx="6">
                  <c:v>0.95192255738947995</c:v>
                </c:pt>
                <c:pt idx="7">
                  <c:v>0.95797724184092259</c:v>
                </c:pt>
                <c:pt idx="8">
                  <c:v>0.96499730984607868</c:v>
                </c:pt>
                <c:pt idx="9">
                  <c:v>0.96884848382347444</c:v>
                </c:pt>
                <c:pt idx="10">
                  <c:v>0.97206385463862688</c:v>
                </c:pt>
                <c:pt idx="11">
                  <c:v>0.97370073847766125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0.85121462105141532</c:v>
                </c:pt>
                <c:pt idx="3">
                  <c:v>0.91023733573595489</c:v>
                </c:pt>
                <c:pt idx="4">
                  <c:v>0.93567334740051578</c:v>
                </c:pt>
                <c:pt idx="5">
                  <c:v>0.96491593996840952</c:v>
                </c:pt>
                <c:pt idx="6">
                  <c:v>0.97791322960369997</c:v>
                </c:pt>
                <c:pt idx="7">
                  <c:v>0.98349263112655705</c:v>
                </c:pt>
                <c:pt idx="8">
                  <c:v>0.98954921207949142</c:v>
                </c:pt>
                <c:pt idx="9">
                  <c:v>0.99471605067473912</c:v>
                </c:pt>
                <c:pt idx="10">
                  <c:v>0.99756455714073022</c:v>
                </c:pt>
                <c:pt idx="11">
                  <c:v>0.99856535609270136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67160.97334734608</c:v>
                </c:pt>
                <c:pt idx="1">
                  <c:v>49721.864671499621</c:v>
                </c:pt>
                <c:pt idx="2">
                  <c:v>80847.56630600708</c:v>
                </c:pt>
                <c:pt idx="3">
                  <c:v>37438.172617964185</c:v>
                </c:pt>
                <c:pt idx="4">
                  <c:v>38944.319719001476</c:v>
                </c:pt>
                <c:pt idx="5">
                  <c:v>246921.67810336311</c:v>
                </c:pt>
                <c:pt idx="6">
                  <c:v>248737</c:v>
                </c:pt>
                <c:pt idx="7">
                  <c:v>343278</c:v>
                </c:pt>
                <c:pt idx="8">
                  <c:v>267861</c:v>
                </c:pt>
                <c:pt idx="9">
                  <c:v>310223</c:v>
                </c:pt>
                <c:pt idx="10">
                  <c:v>302144</c:v>
                </c:pt>
                <c:pt idx="11">
                  <c:v>237341</c:v>
                </c:pt>
                <c:pt idx="12">
                  <c:v>299907</c:v>
                </c:pt>
                <c:pt idx="13">
                  <c:v>307863</c:v>
                </c:pt>
                <c:pt idx="14">
                  <c:v>259356</c:v>
                </c:pt>
                <c:pt idx="15">
                  <c:v>269622</c:v>
                </c:pt>
                <c:pt idx="16">
                  <c:v>203371</c:v>
                </c:pt>
                <c:pt idx="17">
                  <c:v>227019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0.94674261714058228</c:v>
                </c:pt>
                <c:pt idx="1">
                  <c:v>1.1240800473283452</c:v>
                </c:pt>
                <c:pt idx="2">
                  <c:v>1.4965122908510113</c:v>
                </c:pt>
                <c:pt idx="3">
                  <c:v>1.0730138934553193</c:v>
                </c:pt>
                <c:pt idx="4">
                  <c:v>1.805379052399031</c:v>
                </c:pt>
                <c:pt idx="5">
                  <c:v>0.58717013097821769</c:v>
                </c:pt>
                <c:pt idx="6">
                  <c:v>0.90987304411261161</c:v>
                </c:pt>
                <c:pt idx="7">
                  <c:v>1.4823841850180073</c:v>
                </c:pt>
                <c:pt idx="8">
                  <c:v>1.0818535870143946</c:v>
                </c:pt>
                <c:pt idx="9">
                  <c:v>1.2356222173862206</c:v>
                </c:pt>
                <c:pt idx="10">
                  <c:v>1.120204612295552</c:v>
                </c:pt>
                <c:pt idx="11">
                  <c:v>1.496488100250289</c:v>
                </c:pt>
                <c:pt idx="12">
                  <c:v>1.6687366912370403</c:v>
                </c:pt>
                <c:pt idx="13">
                  <c:v>1.5293566761252804</c:v>
                </c:pt>
                <c:pt idx="14">
                  <c:v>1.7829285350907123</c:v>
                </c:pt>
                <c:pt idx="15">
                  <c:v>1.6947634876026236</c:v>
                </c:pt>
                <c:pt idx="16">
                  <c:v>1.5955196545352301</c:v>
                </c:pt>
                <c:pt idx="17">
                  <c:v>2.0521898701812109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837</c:v>
                </c:pt>
                <c:pt idx="1">
                  <c:v>2326</c:v>
                </c:pt>
                <c:pt idx="2">
                  <c:v>1228</c:v>
                </c:pt>
                <c:pt idx="3">
                  <c:v>1189</c:v>
                </c:pt>
                <c:pt idx="4">
                  <c:v>1147</c:v>
                </c:pt>
                <c:pt idx="5">
                  <c:v>1124</c:v>
                </c:pt>
                <c:pt idx="6">
                  <c:v>1107</c:v>
                </c:pt>
                <c:pt idx="7">
                  <c:v>1094</c:v>
                </c:pt>
                <c:pt idx="8">
                  <c:v>1112</c:v>
                </c:pt>
                <c:pt idx="9">
                  <c:v>1112</c:v>
                </c:pt>
                <c:pt idx="10">
                  <c:v>1105</c:v>
                </c:pt>
                <c:pt idx="11">
                  <c:v>1114</c:v>
                </c:pt>
                <c:pt idx="12">
                  <c:v>1107</c:v>
                </c:pt>
                <c:pt idx="13">
                  <c:v>1106</c:v>
                </c:pt>
                <c:pt idx="14">
                  <c:v>1102</c:v>
                </c:pt>
                <c:pt idx="15">
                  <c:v>1108</c:v>
                </c:pt>
                <c:pt idx="16">
                  <c:v>1103</c:v>
                </c:pt>
                <c:pt idx="17">
                  <c:v>1145</c:v>
                </c:pt>
                <c:pt idx="18">
                  <c:v>1150</c:v>
                </c:pt>
                <c:pt idx="19">
                  <c:v>1138</c:v>
                </c:pt>
                <c:pt idx="20">
                  <c:v>1136</c:v>
                </c:pt>
                <c:pt idx="21">
                  <c:v>1152</c:v>
                </c:pt>
                <c:pt idx="22">
                  <c:v>1190</c:v>
                </c:pt>
                <c:pt idx="23">
                  <c:v>7104</c:v>
                </c:pt>
                <c:pt idx="24">
                  <c:v>7156</c:v>
                </c:pt>
                <c:pt idx="25">
                  <c:v>7193</c:v>
                </c:pt>
                <c:pt idx="26">
                  <c:v>7227</c:v>
                </c:pt>
                <c:pt idx="27">
                  <c:v>7219</c:v>
                </c:pt>
                <c:pt idx="28">
                  <c:v>7204</c:v>
                </c:pt>
                <c:pt idx="29">
                  <c:v>7169</c:v>
                </c:pt>
                <c:pt idx="30">
                  <c:v>6813</c:v>
                </c:pt>
                <c:pt idx="31">
                  <c:v>6019</c:v>
                </c:pt>
                <c:pt idx="32">
                  <c:v>5910</c:v>
                </c:pt>
                <c:pt idx="33">
                  <c:v>5760</c:v>
                </c:pt>
                <c:pt idx="34">
                  <c:v>5831</c:v>
                </c:pt>
                <c:pt idx="35">
                  <c:v>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42.919151732377529</c:v>
                </c:pt>
                <c:pt idx="1">
                  <c:v>59.249342218400699</c:v>
                </c:pt>
                <c:pt idx="2">
                  <c:v>89.537532573289894</c:v>
                </c:pt>
                <c:pt idx="3">
                  <c:v>44.010058873002535</c:v>
                </c:pt>
                <c:pt idx="4">
                  <c:v>60.316068003487331</c:v>
                </c:pt>
                <c:pt idx="5">
                  <c:v>47.366209964412811</c:v>
                </c:pt>
                <c:pt idx="6">
                  <c:v>65.219232158988262</c:v>
                </c:pt>
                <c:pt idx="7">
                  <c:v>56.678354661791616</c:v>
                </c:pt>
                <c:pt idx="8">
                  <c:v>50.870728417266207</c:v>
                </c:pt>
                <c:pt idx="9">
                  <c:v>37.081789568345329</c:v>
                </c:pt>
                <c:pt idx="10">
                  <c:v>45.064696832579187</c:v>
                </c:pt>
                <c:pt idx="11">
                  <c:v>36.92910233393178</c:v>
                </c:pt>
                <c:pt idx="12">
                  <c:v>40.001751827104876</c:v>
                </c:pt>
                <c:pt idx="13">
                  <c:v>38.651486387577066</c:v>
                </c:pt>
                <c:pt idx="14">
                  <c:v>46.072972042039574</c:v>
                </c:pt>
                <c:pt idx="15">
                  <c:v>45.916806568230278</c:v>
                </c:pt>
                <c:pt idx="16">
                  <c:v>45.772098230480971</c:v>
                </c:pt>
                <c:pt idx="17">
                  <c:v>64.622452870324537</c:v>
                </c:pt>
                <c:pt idx="18">
                  <c:v>58.400846388996591</c:v>
                </c:pt>
                <c:pt idx="19">
                  <c:v>43.692323964410917</c:v>
                </c:pt>
                <c:pt idx="20">
                  <c:v>71.168632311625956</c:v>
                </c:pt>
                <c:pt idx="21">
                  <c:v>32.49841373087169</c:v>
                </c:pt>
                <c:pt idx="22">
                  <c:v>32.72631909159788</c:v>
                </c:pt>
                <c:pt idx="23">
                  <c:v>34.758119102387823</c:v>
                </c:pt>
                <c:pt idx="24">
                  <c:v>34.759223029625488</c:v>
                </c:pt>
                <c:pt idx="25">
                  <c:v>47.723898234394554</c:v>
                </c:pt>
                <c:pt idx="26">
                  <c:v>37.06392694063927</c:v>
                </c:pt>
                <c:pt idx="27">
                  <c:v>42.973126471810502</c:v>
                </c:pt>
                <c:pt idx="28">
                  <c:v>41.941143808995001</c:v>
                </c:pt>
                <c:pt idx="29">
                  <c:v>33.106569953968474</c:v>
                </c:pt>
                <c:pt idx="30">
                  <c:v>44.019815059445179</c:v>
                </c:pt>
                <c:pt idx="31">
                  <c:v>51.148529656089053</c:v>
                </c:pt>
                <c:pt idx="32">
                  <c:v>43.884263959390864</c:v>
                </c:pt>
                <c:pt idx="33">
                  <c:v>46.809375000000003</c:v>
                </c:pt>
                <c:pt idx="34">
                  <c:v>34.877551020408163</c:v>
                </c:pt>
                <c:pt idx="35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55.452130706127321</c:v>
                </c:pt>
                <c:pt idx="2">
                  <c:v>54.848448360529638</c:v>
                </c:pt>
                <c:pt idx="3">
                  <c:v>54.251338032449453</c:v>
                </c:pt>
                <c:pt idx="4">
                  <c:v>53.660728175295205</c:v>
                </c:pt>
                <c:pt idx="5">
                  <c:v>53.076548021370769</c:v>
                </c:pt>
                <c:pt idx="6">
                  <c:v>52.498727573395961</c:v>
                </c:pt>
                <c:pt idx="7">
                  <c:v>51.927197596119527</c:v>
                </c:pt>
                <c:pt idx="8">
                  <c:v>51.36188960802307</c:v>
                </c:pt>
                <c:pt idx="9">
                  <c:v>50.802735873115708</c:v>
                </c:pt>
                <c:pt idx="10">
                  <c:v>50.249669392817673</c:v>
                </c:pt>
                <c:pt idx="11">
                  <c:v>49.70262389793259</c:v>
                </c:pt>
                <c:pt idx="12">
                  <c:v>49.16153384070688</c:v>
                </c:pt>
                <c:pt idx="13">
                  <c:v>48.626334386975884</c:v>
                </c:pt>
                <c:pt idx="14">
                  <c:v>48.096961408395174</c:v>
                </c:pt>
                <c:pt idx="15">
                  <c:v>47.573351474756784</c:v>
                </c:pt>
                <c:pt idx="16">
                  <c:v>47.055441846388739</c:v>
                </c:pt>
                <c:pt idx="17">
                  <c:v>46.543170466637669</c:v>
                </c:pt>
                <c:pt idx="18">
                  <c:v>46.036475954432916</c:v>
                </c:pt>
                <c:pt idx="19">
                  <c:v>45.535297596931969</c:v>
                </c:pt>
                <c:pt idx="20">
                  <c:v>45.039575342245563</c:v>
                </c:pt>
                <c:pt idx="21">
                  <c:v>44.549249792242335</c:v>
                </c:pt>
                <c:pt idx="22">
                  <c:v>44.06426219543161</c:v>
                </c:pt>
                <c:pt idx="23">
                  <c:v>43.584554439923643</c:v>
                </c:pt>
                <c:pt idx="24">
                  <c:v>43.110069046466649</c:v>
                </c:pt>
                <c:pt idx="25">
                  <c:v>42.640749161559583</c:v>
                </c:pt>
                <c:pt idx="26">
                  <c:v>42.176538550639819</c:v>
                </c:pt>
                <c:pt idx="27">
                  <c:v>41.71738159134501</c:v>
                </c:pt>
                <c:pt idx="28">
                  <c:v>41.26322326684847</c:v>
                </c:pt>
                <c:pt idx="29">
                  <c:v>40.814009159266817</c:v>
                </c:pt>
                <c:pt idx="30">
                  <c:v>40.369685443139709</c:v>
                </c:pt>
                <c:pt idx="31">
                  <c:v>39.930198878980249</c:v>
                </c:pt>
                <c:pt idx="32">
                  <c:v>39.495496806895893</c:v>
                </c:pt>
                <c:pt idx="33">
                  <c:v>39.065527140278554</c:v>
                </c:pt>
                <c:pt idx="34">
                  <c:v>38.640238359563618</c:v>
                </c:pt>
                <c:pt idx="35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44.750526417688754</c:v>
                </c:pt>
                <c:pt idx="11">
                  <c:v>44.634937050378376</c:v>
                </c:pt>
                <c:pt idx="12">
                  <c:v>44.519646247194615</c:v>
                </c:pt>
                <c:pt idx="13">
                  <c:v>44.404653236954609</c:v>
                </c:pt>
                <c:pt idx="14">
                  <c:v>44.289957250467452</c:v>
                </c:pt>
                <c:pt idx="15">
                  <c:v>44.175557520529047</c:v>
                </c:pt>
                <c:pt idx="16">
                  <c:v>44.061453281916968</c:v>
                </c:pt>
                <c:pt idx="17">
                  <c:v>43.94764377138528</c:v>
                </c:pt>
                <c:pt idx="18">
                  <c:v>43.834128227659562</c:v>
                </c:pt>
                <c:pt idx="19">
                  <c:v>43.720905891431705</c:v>
                </c:pt>
                <c:pt idx="20">
                  <c:v>43.607976005354892</c:v>
                </c:pt>
                <c:pt idx="21">
                  <c:v>43.4953378140385</c:v>
                </c:pt>
                <c:pt idx="22">
                  <c:v>43.382990564043077</c:v>
                </c:pt>
                <c:pt idx="23">
                  <c:v>43.270933503875227</c:v>
                </c:pt>
                <c:pt idx="24">
                  <c:v>43.159165883982716</c:v>
                </c:pt>
                <c:pt idx="25">
                  <c:v>43.047686956749331</c:v>
                </c:pt>
                <c:pt idx="26">
                  <c:v>42.936495976489958</c:v>
                </c:pt>
                <c:pt idx="27">
                  <c:v>42.825592199445559</c:v>
                </c:pt>
                <c:pt idx="28">
                  <c:v>42.714974883778197</c:v>
                </c:pt>
                <c:pt idx="29">
                  <c:v>42.604643289566113</c:v>
                </c:pt>
                <c:pt idx="30">
                  <c:v>42.494596678798679</c:v>
                </c:pt>
                <c:pt idx="31">
                  <c:v>42.384834315371585</c:v>
                </c:pt>
                <c:pt idx="32">
                  <c:v>42.275355465081851</c:v>
                </c:pt>
                <c:pt idx="33">
                  <c:v>42.166159395622913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49.507260590481984</c:v>
                </c:pt>
                <c:pt idx="17">
                  <c:v>48.835056638596747</c:v>
                </c:pt>
                <c:pt idx="18">
                  <c:v>48.171979795493975</c:v>
                </c:pt>
                <c:pt idx="19">
                  <c:v>47.517906134328967</c:v>
                </c:pt>
                <c:pt idx="20">
                  <c:v>46.872713410921691</c:v>
                </c:pt>
                <c:pt idx="21">
                  <c:v>46.236281040909617</c:v>
                </c:pt>
                <c:pt idx="22">
                  <c:v>45.608490077211052</c:v>
                </c:pt>
                <c:pt idx="23">
                  <c:v>44.989223187794146</c:v>
                </c:pt>
                <c:pt idx="24">
                  <c:v>44.378364633748127</c:v>
                </c:pt>
                <c:pt idx="25">
                  <c:v>43.775800247651908</c:v>
                </c:pt>
                <c:pt idx="26">
                  <c:v>43.181417412236719</c:v>
                </c:pt>
                <c:pt idx="27">
                  <c:v>42.595105039338186</c:v>
                </c:pt>
                <c:pt idx="28">
                  <c:v>42.016753549134471</c:v>
                </c:pt>
                <c:pt idx="29">
                  <c:v>41.446254849666026</c:v>
                </c:pt>
                <c:pt idx="30">
                  <c:v>40.883502316633638</c:v>
                </c:pt>
                <c:pt idx="31">
                  <c:v>40.328390773470737</c:v>
                </c:pt>
                <c:pt idx="32">
                  <c:v>39.780816471686201</c:v>
                </c:pt>
                <c:pt idx="33">
                  <c:v>39.240677071474082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35.455256527045854</c:v>
                </c:pt>
                <c:pt idx="23">
                  <c:v>36.302648981521457</c:v>
                </c:pt>
                <c:pt idx="24">
                  <c:v>37.170294398244117</c:v>
                </c:pt>
                <c:pt idx="25">
                  <c:v>38.058676829765425</c:v>
                </c:pt>
                <c:pt idx="26">
                  <c:v>38.968291897654368</c:v>
                </c:pt>
                <c:pt idx="27">
                  <c:v>39.8996470690007</c:v>
                </c:pt>
                <c:pt idx="28">
                  <c:v>40.85326193952686</c:v>
                </c:pt>
                <c:pt idx="29">
                  <c:v>41.829668523466303</c:v>
                </c:pt>
                <c:pt idx="30">
                  <c:v>42.829411550370139</c:v>
                </c:pt>
                <c:pt idx="31">
                  <c:v>43.853048769007344</c:v>
                </c:pt>
                <c:pt idx="32">
                  <c:v>44.901151258528479</c:v>
                </c:pt>
                <c:pt idx="33">
                  <c:v>45.974303747066259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94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58.400846388996591</c:v>
                </c:pt>
                <c:pt idx="1">
                  <c:v>43.692323964410917</c:v>
                </c:pt>
                <c:pt idx="2">
                  <c:v>71.168632311625956</c:v>
                </c:pt>
                <c:pt idx="3">
                  <c:v>32.49841373087169</c:v>
                </c:pt>
                <c:pt idx="4">
                  <c:v>32.72631909159788</c:v>
                </c:pt>
                <c:pt idx="5">
                  <c:v>34.758119102387823</c:v>
                </c:pt>
                <c:pt idx="6">
                  <c:v>34.759223029625488</c:v>
                </c:pt>
                <c:pt idx="7">
                  <c:v>47.723898234394554</c:v>
                </c:pt>
                <c:pt idx="8">
                  <c:v>37.06392694063927</c:v>
                </c:pt>
                <c:pt idx="9">
                  <c:v>42.973126471810502</c:v>
                </c:pt>
                <c:pt idx="10">
                  <c:v>41.941143808995001</c:v>
                </c:pt>
                <c:pt idx="11">
                  <c:v>33.106569953968474</c:v>
                </c:pt>
                <c:pt idx="12">
                  <c:v>44.019815059445179</c:v>
                </c:pt>
                <c:pt idx="13">
                  <c:v>51.148529656089053</c:v>
                </c:pt>
                <c:pt idx="14">
                  <c:v>43.884263959390864</c:v>
                </c:pt>
                <c:pt idx="15">
                  <c:v>46.809375000000003</c:v>
                </c:pt>
                <c:pt idx="16">
                  <c:v>34.877551020408163</c:v>
                </c:pt>
                <c:pt idx="17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46.036475954432916</c:v>
                </c:pt>
                <c:pt idx="1">
                  <c:v>45.535297596931969</c:v>
                </c:pt>
                <c:pt idx="2">
                  <c:v>45.039575342245563</c:v>
                </c:pt>
                <c:pt idx="3">
                  <c:v>44.549249792242335</c:v>
                </c:pt>
                <c:pt idx="4">
                  <c:v>44.06426219543161</c:v>
                </c:pt>
                <c:pt idx="5">
                  <c:v>43.584554439923643</c:v>
                </c:pt>
                <c:pt idx="6">
                  <c:v>43.110069046466649</c:v>
                </c:pt>
                <c:pt idx="7">
                  <c:v>42.640749161559583</c:v>
                </c:pt>
                <c:pt idx="8">
                  <c:v>42.176538550639819</c:v>
                </c:pt>
                <c:pt idx="9">
                  <c:v>41.71738159134501</c:v>
                </c:pt>
                <c:pt idx="10">
                  <c:v>41.26322326684847</c:v>
                </c:pt>
                <c:pt idx="11">
                  <c:v>40.814009159266817</c:v>
                </c:pt>
                <c:pt idx="12">
                  <c:v>40.369685443139709</c:v>
                </c:pt>
                <c:pt idx="13">
                  <c:v>39.930198878980249</c:v>
                </c:pt>
                <c:pt idx="14">
                  <c:v>39.495496806895893</c:v>
                </c:pt>
                <c:pt idx="15">
                  <c:v>39.065527140278554</c:v>
                </c:pt>
                <c:pt idx="16">
                  <c:v>38.640238359563618</c:v>
                </c:pt>
                <c:pt idx="17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43.834128227659562</c:v>
                </c:pt>
                <c:pt idx="1">
                  <c:v>43.720905891431705</c:v>
                </c:pt>
                <c:pt idx="2">
                  <c:v>43.607976005354892</c:v>
                </c:pt>
                <c:pt idx="3">
                  <c:v>43.4953378140385</c:v>
                </c:pt>
                <c:pt idx="4">
                  <c:v>43.382990564043077</c:v>
                </c:pt>
                <c:pt idx="5">
                  <c:v>43.270933503875227</c:v>
                </c:pt>
                <c:pt idx="6">
                  <c:v>43.159165883982716</c:v>
                </c:pt>
                <c:pt idx="7">
                  <c:v>43.047686956749331</c:v>
                </c:pt>
                <c:pt idx="8">
                  <c:v>42.936495976489958</c:v>
                </c:pt>
                <c:pt idx="9">
                  <c:v>42.825592199445559</c:v>
                </c:pt>
                <c:pt idx="10">
                  <c:v>42.714974883778197</c:v>
                </c:pt>
                <c:pt idx="11">
                  <c:v>42.604643289566113</c:v>
                </c:pt>
                <c:pt idx="12">
                  <c:v>42.494596678798679</c:v>
                </c:pt>
                <c:pt idx="13">
                  <c:v>42.384834315371585</c:v>
                </c:pt>
                <c:pt idx="14">
                  <c:v>42.275355465081851</c:v>
                </c:pt>
                <c:pt idx="15">
                  <c:v>42.166159395622913</c:v>
                </c:pt>
                <c:pt idx="16">
                  <c:v>42.057245376579736</c:v>
                </c:pt>
                <c:pt idx="17">
                  <c:v>41.948612679423938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9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0.94674261714058228</c:v>
                </c:pt>
                <c:pt idx="1">
                  <c:v>1.1240800473283452</c:v>
                </c:pt>
                <c:pt idx="2">
                  <c:v>1.4965122908510113</c:v>
                </c:pt>
                <c:pt idx="3">
                  <c:v>1.0730138934553193</c:v>
                </c:pt>
                <c:pt idx="4">
                  <c:v>1.805379052399031</c:v>
                </c:pt>
                <c:pt idx="5">
                  <c:v>0.58717013097821769</c:v>
                </c:pt>
                <c:pt idx="6">
                  <c:v>0.90987304411261161</c:v>
                </c:pt>
                <c:pt idx="7">
                  <c:v>1.4823841850180073</c:v>
                </c:pt>
                <c:pt idx="8">
                  <c:v>1.0818535870143946</c:v>
                </c:pt>
                <c:pt idx="9">
                  <c:v>1.2356222173862206</c:v>
                </c:pt>
                <c:pt idx="10">
                  <c:v>1.120204612295552</c:v>
                </c:pt>
                <c:pt idx="11">
                  <c:v>1.496488100250289</c:v>
                </c:pt>
                <c:pt idx="12">
                  <c:v>1.6687366912370403</c:v>
                </c:pt>
                <c:pt idx="13">
                  <c:v>1.5293566761252804</c:v>
                </c:pt>
                <c:pt idx="14">
                  <c:v>1.7829285350907123</c:v>
                </c:pt>
                <c:pt idx="15">
                  <c:v>1.6947634876026236</c:v>
                </c:pt>
                <c:pt idx="16">
                  <c:v>1.5955196545352301</c:v>
                </c:pt>
                <c:pt idx="17">
                  <c:v>2.0521898701812109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0.81729032321652573</c:v>
                </c:pt>
                <c:pt idx="3">
                  <c:v>0.87435376544141896</c:v>
                </c:pt>
                <c:pt idx="4">
                  <c:v>0.90660061020719629</c:v>
                </c:pt>
                <c:pt idx="5">
                  <c:v>0.95760153500233269</c:v>
                </c:pt>
                <c:pt idx="6">
                  <c:v>0.970673232625337</c:v>
                </c:pt>
                <c:pt idx="7">
                  <c:v>0.97702746669683405</c:v>
                </c:pt>
                <c:pt idx="8">
                  <c:v>0.98435125522634026</c:v>
                </c:pt>
                <c:pt idx="9">
                  <c:v>0.99141870751256733</c:v>
                </c:pt>
                <c:pt idx="10">
                  <c:v>0.99532273867438126</c:v>
                </c:pt>
                <c:pt idx="11">
                  <c:v>0.99655321095702043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0.85947419897647237</c:v>
                </c:pt>
                <c:pt idx="3">
                  <c:v>0.89995772050377121</c:v>
                </c:pt>
                <c:pt idx="4">
                  <c:v>0.91875423406052503</c:v>
                </c:pt>
                <c:pt idx="5">
                  <c:v>0.94179918731553347</c:v>
                </c:pt>
                <c:pt idx="6">
                  <c:v>0.95192255738947995</c:v>
                </c:pt>
                <c:pt idx="7">
                  <c:v>0.95797724184092259</c:v>
                </c:pt>
                <c:pt idx="8">
                  <c:v>0.96499730984607868</c:v>
                </c:pt>
                <c:pt idx="9">
                  <c:v>0.96884848382347444</c:v>
                </c:pt>
                <c:pt idx="10">
                  <c:v>0.97206385463862688</c:v>
                </c:pt>
                <c:pt idx="11">
                  <c:v>0.97370073847766125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0.85121462105141532</c:v>
                </c:pt>
                <c:pt idx="3">
                  <c:v>0.91023733573595489</c:v>
                </c:pt>
                <c:pt idx="4">
                  <c:v>0.93567334740051578</c:v>
                </c:pt>
                <c:pt idx="5">
                  <c:v>0.96491593996840952</c:v>
                </c:pt>
                <c:pt idx="6">
                  <c:v>0.97791322960369997</c:v>
                </c:pt>
                <c:pt idx="7">
                  <c:v>0.98349263112655705</c:v>
                </c:pt>
                <c:pt idx="8">
                  <c:v>0.98954921207949142</c:v>
                </c:pt>
                <c:pt idx="9">
                  <c:v>0.99471605067473912</c:v>
                </c:pt>
                <c:pt idx="10">
                  <c:v>0.99756455714073022</c:v>
                </c:pt>
                <c:pt idx="11">
                  <c:v>0.99856535609270136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837</c:v>
                </c:pt>
                <c:pt idx="1">
                  <c:v>2326</c:v>
                </c:pt>
                <c:pt idx="2">
                  <c:v>1228</c:v>
                </c:pt>
                <c:pt idx="3">
                  <c:v>1189</c:v>
                </c:pt>
                <c:pt idx="4">
                  <c:v>1147</c:v>
                </c:pt>
                <c:pt idx="5">
                  <c:v>1124</c:v>
                </c:pt>
                <c:pt idx="6">
                  <c:v>1107</c:v>
                </c:pt>
                <c:pt idx="7">
                  <c:v>1094</c:v>
                </c:pt>
                <c:pt idx="8">
                  <c:v>1112</c:v>
                </c:pt>
                <c:pt idx="9">
                  <c:v>1112</c:v>
                </c:pt>
                <c:pt idx="10">
                  <c:v>1105</c:v>
                </c:pt>
                <c:pt idx="11">
                  <c:v>1114</c:v>
                </c:pt>
                <c:pt idx="12">
                  <c:v>1107</c:v>
                </c:pt>
                <c:pt idx="13">
                  <c:v>1106</c:v>
                </c:pt>
                <c:pt idx="14">
                  <c:v>1102</c:v>
                </c:pt>
                <c:pt idx="15">
                  <c:v>1108</c:v>
                </c:pt>
                <c:pt idx="16">
                  <c:v>1103</c:v>
                </c:pt>
                <c:pt idx="17">
                  <c:v>1145</c:v>
                </c:pt>
                <c:pt idx="18">
                  <c:v>1150</c:v>
                </c:pt>
                <c:pt idx="19">
                  <c:v>1138</c:v>
                </c:pt>
                <c:pt idx="20">
                  <c:v>1136</c:v>
                </c:pt>
                <c:pt idx="21">
                  <c:v>1152</c:v>
                </c:pt>
                <c:pt idx="22">
                  <c:v>1190</c:v>
                </c:pt>
                <c:pt idx="23">
                  <c:v>7104</c:v>
                </c:pt>
                <c:pt idx="24">
                  <c:v>7156</c:v>
                </c:pt>
                <c:pt idx="25">
                  <c:v>7193</c:v>
                </c:pt>
                <c:pt idx="26">
                  <c:v>7227</c:v>
                </c:pt>
                <c:pt idx="27">
                  <c:v>7219</c:v>
                </c:pt>
                <c:pt idx="28">
                  <c:v>7204</c:v>
                </c:pt>
                <c:pt idx="29">
                  <c:v>7169</c:v>
                </c:pt>
                <c:pt idx="30">
                  <c:v>6813</c:v>
                </c:pt>
                <c:pt idx="31">
                  <c:v>6019</c:v>
                </c:pt>
                <c:pt idx="32">
                  <c:v>5910</c:v>
                </c:pt>
                <c:pt idx="33">
                  <c:v>5760</c:v>
                </c:pt>
                <c:pt idx="34">
                  <c:v>5831</c:v>
                </c:pt>
                <c:pt idx="35">
                  <c:v>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-0.34938816208230938</c:v>
                </c:pt>
                <c:pt idx="1">
                  <c:v>-0.32238930093642248</c:v>
                </c:pt>
                <c:pt idx="2">
                  <c:v>-0.28938782424852572</c:v>
                </c:pt>
                <c:pt idx="3">
                  <c:v>3.0449928614242339E-2</c:v>
                </c:pt>
                <c:pt idx="4">
                  <c:v>-2.3748275154294118E-2</c:v>
                </c:pt>
                <c:pt idx="5">
                  <c:v>-1.5054451157647364E-2</c:v>
                </c:pt>
                <c:pt idx="6">
                  <c:v>2.8563537608585765E-3</c:v>
                </c:pt>
                <c:pt idx="7">
                  <c:v>1.8865248543146418E-2</c:v>
                </c:pt>
                <c:pt idx="8">
                  <c:v>2.5381303619379958E-2</c:v>
                </c:pt>
                <c:pt idx="9">
                  <c:v>-0.16034131775331695</c:v>
                </c:pt>
                <c:pt idx="10">
                  <c:v>-0.16190664011213229</c:v>
                </c:pt>
                <c:pt idx="11">
                  <c:v>1.4352536987226383E-2</c:v>
                </c:pt>
                <c:pt idx="12">
                  <c:v>-4.1524247721485441E-2</c:v>
                </c:pt>
                <c:pt idx="13">
                  <c:v>-2.2047500466640946E-2</c:v>
                </c:pt>
                <c:pt idx="14">
                  <c:v>-0.11457218775809475</c:v>
                </c:pt>
                <c:pt idx="15">
                  <c:v>-0.24496311723768538</c:v>
                </c:pt>
                <c:pt idx="16">
                  <c:v>-0.29460441106160962</c:v>
                </c:pt>
                <c:pt idx="17">
                  <c:v>-0.23057652192945333</c:v>
                </c:pt>
                <c:pt idx="18">
                  <c:v>-0.19744221440570442</c:v>
                </c:pt>
                <c:pt idx="19">
                  <c:v>-3.7440451809545583E-2</c:v>
                </c:pt>
                <c:pt idx="20">
                  <c:v>-7.9345319647012302E-2</c:v>
                </c:pt>
                <c:pt idx="21">
                  <c:v>0.20237585185062912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-0.18159898849877509</c:v>
                </c:pt>
                <c:pt idx="4">
                  <c:v>-0.18119240710167306</c:v>
                </c:pt>
                <c:pt idx="5">
                  <c:v>-0.16151341674516151</c:v>
                </c:pt>
                <c:pt idx="6">
                  <c:v>1.5756943784593469E-2</c:v>
                </c:pt>
                <c:pt idx="7">
                  <c:v>-4.3385032592414552E-3</c:v>
                </c:pt>
                <c:pt idx="8">
                  <c:v>2.7390961478273024E-3</c:v>
                </c:pt>
                <c:pt idx="9">
                  <c:v>-6.3730128091825544E-2</c:v>
                </c:pt>
                <c:pt idx="10">
                  <c:v>-6.384735682994136E-2</c:v>
                </c:pt>
                <c:pt idx="11">
                  <c:v>2.0253657035990358E-2</c:v>
                </c:pt>
                <c:pt idx="12">
                  <c:v>-9.9555864486871815E-2</c:v>
                </c:pt>
                <c:pt idx="13">
                  <c:v>-8.9583946948460613E-2</c:v>
                </c:pt>
                <c:pt idx="14">
                  <c:v>-5.5753314392029463E-2</c:v>
                </c:pt>
                <c:pt idx="15">
                  <c:v>-0.15467568911572527</c:v>
                </c:pt>
                <c:pt idx="16">
                  <c:v>-0.17569051692381177</c:v>
                </c:pt>
                <c:pt idx="17">
                  <c:v>-0.17808996777118713</c:v>
                </c:pt>
                <c:pt idx="18">
                  <c:v>-0.21998062994838952</c:v>
                </c:pt>
                <c:pt idx="19">
                  <c:v>-0.17474058827658467</c:v>
                </c:pt>
                <c:pt idx="20">
                  <c:v>-0.16252531465800624</c:v>
                </c:pt>
                <c:pt idx="21">
                  <c:v>-5.1144931571799668E-2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-0.12744750937544902</c:v>
                </c:pt>
                <c:pt idx="10">
                  <c:v>-0.1317126338120953</c:v>
                </c:pt>
                <c:pt idx="11">
                  <c:v>-8.7645150565449859E-2</c:v>
                </c:pt>
                <c:pt idx="12">
                  <c:v>-3.3715742736207699E-2</c:v>
                </c:pt>
                <c:pt idx="13">
                  <c:v>-4.2109988492121997E-2</c:v>
                </c:pt>
                <c:pt idx="14">
                  <c:v>-2.3931244215048664E-2</c:v>
                </c:pt>
                <c:pt idx="15">
                  <c:v>-0.10834514976304799</c:v>
                </c:pt>
                <c:pt idx="16">
                  <c:v>-0.12301027241523366</c:v>
                </c:pt>
                <c:pt idx="17">
                  <c:v>-8.8937585742874248E-2</c:v>
                </c:pt>
                <c:pt idx="18">
                  <c:v>-0.16877543867671763</c:v>
                </c:pt>
                <c:pt idx="19">
                  <c:v>-0.13691706319252972</c:v>
                </c:pt>
                <c:pt idx="20">
                  <c:v>-0.11391373588174813</c:v>
                </c:pt>
                <c:pt idx="21">
                  <c:v>-0.1036381040455655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-0.1032626142324693</c:v>
                </c:pt>
                <c:pt idx="1">
                  <c:v>-0.1032626142324693</c:v>
                </c:pt>
                <c:pt idx="2">
                  <c:v>-0.1032626142324693</c:v>
                </c:pt>
                <c:pt idx="3">
                  <c:v>-0.1032626142324693</c:v>
                </c:pt>
                <c:pt idx="4">
                  <c:v>-0.1032626142324693</c:v>
                </c:pt>
                <c:pt idx="5">
                  <c:v>-0.1032626142324693</c:v>
                </c:pt>
                <c:pt idx="6">
                  <c:v>-0.1032626142324693</c:v>
                </c:pt>
                <c:pt idx="7">
                  <c:v>-0.1032626142324693</c:v>
                </c:pt>
                <c:pt idx="8">
                  <c:v>-0.1032626142324693</c:v>
                </c:pt>
                <c:pt idx="9">
                  <c:v>-0.1032626142324693</c:v>
                </c:pt>
                <c:pt idx="10">
                  <c:v>-0.1032626142324693</c:v>
                </c:pt>
                <c:pt idx="11">
                  <c:v>-0.1032626142324693</c:v>
                </c:pt>
                <c:pt idx="12">
                  <c:v>-0.1032626142324693</c:v>
                </c:pt>
                <c:pt idx="13">
                  <c:v>-0.1032626142324693</c:v>
                </c:pt>
                <c:pt idx="14">
                  <c:v>-0.1032626142324693</c:v>
                </c:pt>
                <c:pt idx="15">
                  <c:v>-0.1032626142324693</c:v>
                </c:pt>
                <c:pt idx="16">
                  <c:v>-0.1032626142324693</c:v>
                </c:pt>
                <c:pt idx="17">
                  <c:v>-0.1032626142324693</c:v>
                </c:pt>
                <c:pt idx="18">
                  <c:v>-0.1032626142324693</c:v>
                </c:pt>
                <c:pt idx="19">
                  <c:v>-0.1032626142324693</c:v>
                </c:pt>
                <c:pt idx="20">
                  <c:v>-0.1032626142324693</c:v>
                </c:pt>
                <c:pt idx="21">
                  <c:v>-0.1032626142324693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42.919151732377529</c:v>
                </c:pt>
                <c:pt idx="1">
                  <c:v>59.249342218400699</c:v>
                </c:pt>
                <c:pt idx="2">
                  <c:v>89.537532573289894</c:v>
                </c:pt>
                <c:pt idx="3">
                  <c:v>44.010058873002535</c:v>
                </c:pt>
                <c:pt idx="4">
                  <c:v>60.316068003487331</c:v>
                </c:pt>
                <c:pt idx="5">
                  <c:v>47.366209964412811</c:v>
                </c:pt>
                <c:pt idx="6">
                  <c:v>65.219232158988262</c:v>
                </c:pt>
                <c:pt idx="7">
                  <c:v>56.678354661791616</c:v>
                </c:pt>
                <c:pt idx="8">
                  <c:v>50.870728417266207</c:v>
                </c:pt>
                <c:pt idx="9">
                  <c:v>37.081789568345329</c:v>
                </c:pt>
                <c:pt idx="10">
                  <c:v>45.064696832579187</c:v>
                </c:pt>
                <c:pt idx="11">
                  <c:v>36.92910233393178</c:v>
                </c:pt>
                <c:pt idx="12">
                  <c:v>40.001751827104876</c:v>
                </c:pt>
                <c:pt idx="13">
                  <c:v>38.651486387577066</c:v>
                </c:pt>
                <c:pt idx="14">
                  <c:v>46.072972042039574</c:v>
                </c:pt>
                <c:pt idx="15">
                  <c:v>45.916806568230278</c:v>
                </c:pt>
                <c:pt idx="16">
                  <c:v>45.772098230480971</c:v>
                </c:pt>
                <c:pt idx="17">
                  <c:v>64.622452870324537</c:v>
                </c:pt>
                <c:pt idx="18">
                  <c:v>58.400846388996591</c:v>
                </c:pt>
                <c:pt idx="19">
                  <c:v>43.692323964410917</c:v>
                </c:pt>
                <c:pt idx="20">
                  <c:v>71.168632311625956</c:v>
                </c:pt>
                <c:pt idx="21">
                  <c:v>32.49841373087169</c:v>
                </c:pt>
                <c:pt idx="22">
                  <c:v>32.72631909159788</c:v>
                </c:pt>
                <c:pt idx="23">
                  <c:v>34.758119102387823</c:v>
                </c:pt>
                <c:pt idx="24">
                  <c:v>34.759223029625488</c:v>
                </c:pt>
                <c:pt idx="25">
                  <c:v>47.723898234394554</c:v>
                </c:pt>
                <c:pt idx="26">
                  <c:v>37.06392694063927</c:v>
                </c:pt>
                <c:pt idx="27">
                  <c:v>42.973126471810502</c:v>
                </c:pt>
                <c:pt idx="28">
                  <c:v>41.941143808995001</c:v>
                </c:pt>
                <c:pt idx="29">
                  <c:v>33.106569953968474</c:v>
                </c:pt>
                <c:pt idx="30">
                  <c:v>44.019815059445179</c:v>
                </c:pt>
                <c:pt idx="31">
                  <c:v>51.148529656089053</c:v>
                </c:pt>
                <c:pt idx="32">
                  <c:v>43.884263959390864</c:v>
                </c:pt>
                <c:pt idx="33">
                  <c:v>46.809375000000003</c:v>
                </c:pt>
                <c:pt idx="34">
                  <c:v>34.877551020408163</c:v>
                </c:pt>
                <c:pt idx="35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55.452130706127321</c:v>
                </c:pt>
                <c:pt idx="2">
                  <c:v>54.848448360529638</c:v>
                </c:pt>
                <c:pt idx="3">
                  <c:v>54.251338032449453</c:v>
                </c:pt>
                <c:pt idx="4">
                  <c:v>53.660728175295205</c:v>
                </c:pt>
                <c:pt idx="5">
                  <c:v>53.076548021370769</c:v>
                </c:pt>
                <c:pt idx="6">
                  <c:v>52.498727573395961</c:v>
                </c:pt>
                <c:pt idx="7">
                  <c:v>51.927197596119527</c:v>
                </c:pt>
                <c:pt idx="8">
                  <c:v>51.36188960802307</c:v>
                </c:pt>
                <c:pt idx="9">
                  <c:v>50.802735873115708</c:v>
                </c:pt>
                <c:pt idx="10">
                  <c:v>50.249669392817673</c:v>
                </c:pt>
                <c:pt idx="11">
                  <c:v>49.70262389793259</c:v>
                </c:pt>
                <c:pt idx="12">
                  <c:v>49.16153384070688</c:v>
                </c:pt>
                <c:pt idx="13">
                  <c:v>48.626334386975884</c:v>
                </c:pt>
                <c:pt idx="14">
                  <c:v>48.096961408395174</c:v>
                </c:pt>
                <c:pt idx="15">
                  <c:v>47.573351474756784</c:v>
                </c:pt>
                <c:pt idx="16">
                  <c:v>47.055441846388739</c:v>
                </c:pt>
                <c:pt idx="17">
                  <c:v>46.543170466637669</c:v>
                </c:pt>
                <c:pt idx="18">
                  <c:v>46.036475954432916</c:v>
                </c:pt>
                <c:pt idx="19">
                  <c:v>45.535297596931969</c:v>
                </c:pt>
                <c:pt idx="20">
                  <c:v>45.039575342245563</c:v>
                </c:pt>
                <c:pt idx="21">
                  <c:v>44.549249792242335</c:v>
                </c:pt>
                <c:pt idx="22">
                  <c:v>44.06426219543161</c:v>
                </c:pt>
                <c:pt idx="23">
                  <c:v>43.584554439923643</c:v>
                </c:pt>
                <c:pt idx="24">
                  <c:v>43.110069046466649</c:v>
                </c:pt>
                <c:pt idx="25">
                  <c:v>42.640749161559583</c:v>
                </c:pt>
                <c:pt idx="26">
                  <c:v>42.176538550639819</c:v>
                </c:pt>
                <c:pt idx="27">
                  <c:v>41.71738159134501</c:v>
                </c:pt>
                <c:pt idx="28">
                  <c:v>41.26322326684847</c:v>
                </c:pt>
                <c:pt idx="29">
                  <c:v>40.814009159266817</c:v>
                </c:pt>
                <c:pt idx="30">
                  <c:v>40.369685443139709</c:v>
                </c:pt>
                <c:pt idx="31">
                  <c:v>39.930198878980249</c:v>
                </c:pt>
                <c:pt idx="32">
                  <c:v>39.495496806895893</c:v>
                </c:pt>
                <c:pt idx="33">
                  <c:v>39.065527140278554</c:v>
                </c:pt>
                <c:pt idx="34">
                  <c:v>38.640238359563618</c:v>
                </c:pt>
                <c:pt idx="35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44.750526417688754</c:v>
                </c:pt>
                <c:pt idx="11">
                  <c:v>44.634937050378376</c:v>
                </c:pt>
                <c:pt idx="12">
                  <c:v>44.519646247194615</c:v>
                </c:pt>
                <c:pt idx="13">
                  <c:v>44.404653236954609</c:v>
                </c:pt>
                <c:pt idx="14">
                  <c:v>44.289957250467452</c:v>
                </c:pt>
                <c:pt idx="15">
                  <c:v>44.175557520529047</c:v>
                </c:pt>
                <c:pt idx="16">
                  <c:v>44.061453281916968</c:v>
                </c:pt>
                <c:pt idx="17">
                  <c:v>43.94764377138528</c:v>
                </c:pt>
                <c:pt idx="18">
                  <c:v>43.834128227659562</c:v>
                </c:pt>
                <c:pt idx="19">
                  <c:v>43.720905891431705</c:v>
                </c:pt>
                <c:pt idx="20">
                  <c:v>43.607976005354892</c:v>
                </c:pt>
                <c:pt idx="21">
                  <c:v>43.4953378140385</c:v>
                </c:pt>
                <c:pt idx="22">
                  <c:v>43.382990564043077</c:v>
                </c:pt>
                <c:pt idx="23">
                  <c:v>43.270933503875227</c:v>
                </c:pt>
                <c:pt idx="24">
                  <c:v>43.159165883982716</c:v>
                </c:pt>
                <c:pt idx="25">
                  <c:v>43.047686956749331</c:v>
                </c:pt>
                <c:pt idx="26">
                  <c:v>42.936495976489958</c:v>
                </c:pt>
                <c:pt idx="27">
                  <c:v>42.825592199445559</c:v>
                </c:pt>
                <c:pt idx="28">
                  <c:v>42.714974883778197</c:v>
                </c:pt>
                <c:pt idx="29">
                  <c:v>42.604643289566113</c:v>
                </c:pt>
                <c:pt idx="30">
                  <c:v>42.494596678798679</c:v>
                </c:pt>
                <c:pt idx="31">
                  <c:v>42.384834315371585</c:v>
                </c:pt>
                <c:pt idx="32">
                  <c:v>42.275355465081851</c:v>
                </c:pt>
                <c:pt idx="33">
                  <c:v>42.166159395622913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49.507260590481984</c:v>
                </c:pt>
                <c:pt idx="17">
                  <c:v>48.835056638596747</c:v>
                </c:pt>
                <c:pt idx="18">
                  <c:v>48.171979795493975</c:v>
                </c:pt>
                <c:pt idx="19">
                  <c:v>47.517906134328967</c:v>
                </c:pt>
                <c:pt idx="20">
                  <c:v>46.872713410921691</c:v>
                </c:pt>
                <c:pt idx="21">
                  <c:v>46.236281040909617</c:v>
                </c:pt>
                <c:pt idx="22">
                  <c:v>45.608490077211052</c:v>
                </c:pt>
                <c:pt idx="23">
                  <c:v>44.989223187794146</c:v>
                </c:pt>
                <c:pt idx="24">
                  <c:v>44.378364633748127</c:v>
                </c:pt>
                <c:pt idx="25">
                  <c:v>43.775800247651908</c:v>
                </c:pt>
                <c:pt idx="26">
                  <c:v>43.181417412236719</c:v>
                </c:pt>
                <c:pt idx="27">
                  <c:v>42.595105039338186</c:v>
                </c:pt>
                <c:pt idx="28">
                  <c:v>42.016753549134471</c:v>
                </c:pt>
                <c:pt idx="29">
                  <c:v>41.446254849666026</c:v>
                </c:pt>
                <c:pt idx="30">
                  <c:v>40.883502316633638</c:v>
                </c:pt>
                <c:pt idx="31">
                  <c:v>40.328390773470737</c:v>
                </c:pt>
                <c:pt idx="32">
                  <c:v>39.780816471686201</c:v>
                </c:pt>
                <c:pt idx="33">
                  <c:v>39.240677071474082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35.455256527045854</c:v>
                </c:pt>
                <c:pt idx="23">
                  <c:v>36.302648981521457</c:v>
                </c:pt>
                <c:pt idx="24">
                  <c:v>37.170294398244117</c:v>
                </c:pt>
                <c:pt idx="25">
                  <c:v>38.058676829765425</c:v>
                </c:pt>
                <c:pt idx="26">
                  <c:v>38.968291897654368</c:v>
                </c:pt>
                <c:pt idx="27">
                  <c:v>39.8996470690007</c:v>
                </c:pt>
                <c:pt idx="28">
                  <c:v>40.85326193952686</c:v>
                </c:pt>
                <c:pt idx="29">
                  <c:v>41.829668523466303</c:v>
                </c:pt>
                <c:pt idx="30">
                  <c:v>42.829411550370139</c:v>
                </c:pt>
                <c:pt idx="31">
                  <c:v>43.853048769007344</c:v>
                </c:pt>
                <c:pt idx="32">
                  <c:v>44.901151258528479</c:v>
                </c:pt>
                <c:pt idx="33">
                  <c:v>45.974303747066259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94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58.400846388996591</c:v>
                </c:pt>
                <c:pt idx="1">
                  <c:v>43.692323964410917</c:v>
                </c:pt>
                <c:pt idx="2">
                  <c:v>71.168632311625956</c:v>
                </c:pt>
                <c:pt idx="3">
                  <c:v>32.49841373087169</c:v>
                </c:pt>
                <c:pt idx="4">
                  <c:v>32.72631909159788</c:v>
                </c:pt>
                <c:pt idx="5">
                  <c:v>34.758119102387823</c:v>
                </c:pt>
                <c:pt idx="6">
                  <c:v>34.759223029625488</c:v>
                </c:pt>
                <c:pt idx="7">
                  <c:v>47.723898234394554</c:v>
                </c:pt>
                <c:pt idx="8">
                  <c:v>37.06392694063927</c:v>
                </c:pt>
                <c:pt idx="9">
                  <c:v>42.973126471810502</c:v>
                </c:pt>
                <c:pt idx="10">
                  <c:v>41.941143808995001</c:v>
                </c:pt>
                <c:pt idx="11">
                  <c:v>33.106569953968474</c:v>
                </c:pt>
                <c:pt idx="12">
                  <c:v>44.019815059445179</c:v>
                </c:pt>
                <c:pt idx="13">
                  <c:v>51.148529656089053</c:v>
                </c:pt>
                <c:pt idx="14">
                  <c:v>43.884263959390864</c:v>
                </c:pt>
                <c:pt idx="15">
                  <c:v>46.809375000000003</c:v>
                </c:pt>
                <c:pt idx="16">
                  <c:v>34.877551020408163</c:v>
                </c:pt>
                <c:pt idx="17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46.036475954432916</c:v>
                </c:pt>
                <c:pt idx="1">
                  <c:v>45.535297596931969</c:v>
                </c:pt>
                <c:pt idx="2">
                  <c:v>45.039575342245563</c:v>
                </c:pt>
                <c:pt idx="3">
                  <c:v>44.549249792242335</c:v>
                </c:pt>
                <c:pt idx="4">
                  <c:v>44.06426219543161</c:v>
                </c:pt>
                <c:pt idx="5">
                  <c:v>43.584554439923643</c:v>
                </c:pt>
                <c:pt idx="6">
                  <c:v>43.110069046466649</c:v>
                </c:pt>
                <c:pt idx="7">
                  <c:v>42.640749161559583</c:v>
                </c:pt>
                <c:pt idx="8">
                  <c:v>42.176538550639819</c:v>
                </c:pt>
                <c:pt idx="9">
                  <c:v>41.71738159134501</c:v>
                </c:pt>
                <c:pt idx="10">
                  <c:v>41.26322326684847</c:v>
                </c:pt>
                <c:pt idx="11">
                  <c:v>40.814009159266817</c:v>
                </c:pt>
                <c:pt idx="12">
                  <c:v>40.369685443139709</c:v>
                </c:pt>
                <c:pt idx="13">
                  <c:v>39.930198878980249</c:v>
                </c:pt>
                <c:pt idx="14">
                  <c:v>39.495496806895893</c:v>
                </c:pt>
                <c:pt idx="15">
                  <c:v>39.065527140278554</c:v>
                </c:pt>
                <c:pt idx="16">
                  <c:v>38.640238359563618</c:v>
                </c:pt>
                <c:pt idx="17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43.834128227659562</c:v>
                </c:pt>
                <c:pt idx="1">
                  <c:v>43.720905891431705</c:v>
                </c:pt>
                <c:pt idx="2">
                  <c:v>43.607976005354892</c:v>
                </c:pt>
                <c:pt idx="3">
                  <c:v>43.4953378140385</c:v>
                </c:pt>
                <c:pt idx="4">
                  <c:v>43.382990564043077</c:v>
                </c:pt>
                <c:pt idx="5">
                  <c:v>43.270933503875227</c:v>
                </c:pt>
                <c:pt idx="6">
                  <c:v>43.159165883982716</c:v>
                </c:pt>
                <c:pt idx="7">
                  <c:v>43.047686956749331</c:v>
                </c:pt>
                <c:pt idx="8">
                  <c:v>42.936495976489958</c:v>
                </c:pt>
                <c:pt idx="9">
                  <c:v>42.825592199445559</c:v>
                </c:pt>
                <c:pt idx="10">
                  <c:v>42.714974883778197</c:v>
                </c:pt>
                <c:pt idx="11">
                  <c:v>42.604643289566113</c:v>
                </c:pt>
                <c:pt idx="12">
                  <c:v>42.494596678798679</c:v>
                </c:pt>
                <c:pt idx="13">
                  <c:v>42.384834315371585</c:v>
                </c:pt>
                <c:pt idx="14">
                  <c:v>42.275355465081851</c:v>
                </c:pt>
                <c:pt idx="15">
                  <c:v>42.166159395622913</c:v>
                </c:pt>
                <c:pt idx="16">
                  <c:v>42.057245376579736</c:v>
                </c:pt>
                <c:pt idx="17">
                  <c:v>41.948612679423938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9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0.94674261714058228</c:v>
                </c:pt>
                <c:pt idx="1">
                  <c:v>1.1240800473283452</c:v>
                </c:pt>
                <c:pt idx="2">
                  <c:v>1.4965122908510113</c:v>
                </c:pt>
                <c:pt idx="3">
                  <c:v>1.0730138934553193</c:v>
                </c:pt>
                <c:pt idx="4">
                  <c:v>1.805379052399031</c:v>
                </c:pt>
                <c:pt idx="5">
                  <c:v>0.58717013097821769</c:v>
                </c:pt>
                <c:pt idx="6">
                  <c:v>0.90987304411261161</c:v>
                </c:pt>
                <c:pt idx="7">
                  <c:v>1.4823841850180073</c:v>
                </c:pt>
                <c:pt idx="8">
                  <c:v>1.0818535870143946</c:v>
                </c:pt>
                <c:pt idx="9">
                  <c:v>1.2356222173862206</c:v>
                </c:pt>
                <c:pt idx="10">
                  <c:v>1.120204612295552</c:v>
                </c:pt>
                <c:pt idx="11">
                  <c:v>1.496488100250289</c:v>
                </c:pt>
                <c:pt idx="12">
                  <c:v>1.6687366912370403</c:v>
                </c:pt>
                <c:pt idx="13">
                  <c:v>1.5293566761252804</c:v>
                </c:pt>
                <c:pt idx="14">
                  <c:v>1.7829285350907123</c:v>
                </c:pt>
                <c:pt idx="15">
                  <c:v>1.6947634876026236</c:v>
                </c:pt>
                <c:pt idx="16">
                  <c:v>1.5955196545352301</c:v>
                </c:pt>
                <c:pt idx="17">
                  <c:v>2.0521898701812109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0.81729032321652573</c:v>
                </c:pt>
                <c:pt idx="3">
                  <c:v>0.87435376544141896</c:v>
                </c:pt>
                <c:pt idx="4">
                  <c:v>0.90660061020719629</c:v>
                </c:pt>
                <c:pt idx="5">
                  <c:v>0.95760153500233269</c:v>
                </c:pt>
                <c:pt idx="6">
                  <c:v>0.970673232625337</c:v>
                </c:pt>
                <c:pt idx="7">
                  <c:v>0.97702746669683405</c:v>
                </c:pt>
                <c:pt idx="8">
                  <c:v>0.98435125522634026</c:v>
                </c:pt>
                <c:pt idx="9">
                  <c:v>0.99141870751256733</c:v>
                </c:pt>
                <c:pt idx="10">
                  <c:v>0.99532273867438126</c:v>
                </c:pt>
                <c:pt idx="11">
                  <c:v>0.99655321095702043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0.85947419897647237</c:v>
                </c:pt>
                <c:pt idx="3">
                  <c:v>0.89995772050377121</c:v>
                </c:pt>
                <c:pt idx="4">
                  <c:v>0.91875423406052503</c:v>
                </c:pt>
                <c:pt idx="5">
                  <c:v>0.94179918731553347</c:v>
                </c:pt>
                <c:pt idx="6">
                  <c:v>0.95192255738947995</c:v>
                </c:pt>
                <c:pt idx="7">
                  <c:v>0.95797724184092259</c:v>
                </c:pt>
                <c:pt idx="8">
                  <c:v>0.96499730984607868</c:v>
                </c:pt>
                <c:pt idx="9">
                  <c:v>0.96884848382347444</c:v>
                </c:pt>
                <c:pt idx="10">
                  <c:v>0.97206385463862688</c:v>
                </c:pt>
                <c:pt idx="11">
                  <c:v>0.97370073847766125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0.85121462105141532</c:v>
                </c:pt>
                <c:pt idx="3">
                  <c:v>0.91023733573595489</c:v>
                </c:pt>
                <c:pt idx="4">
                  <c:v>0.93567334740051578</c:v>
                </c:pt>
                <c:pt idx="5">
                  <c:v>0.96491593996840952</c:v>
                </c:pt>
                <c:pt idx="6">
                  <c:v>0.97791322960369997</c:v>
                </c:pt>
                <c:pt idx="7">
                  <c:v>0.98349263112655705</c:v>
                </c:pt>
                <c:pt idx="8">
                  <c:v>0.98954921207949142</c:v>
                </c:pt>
                <c:pt idx="9">
                  <c:v>0.99471605067473912</c:v>
                </c:pt>
                <c:pt idx="10">
                  <c:v>0.99756455714073022</c:v>
                </c:pt>
                <c:pt idx="11">
                  <c:v>0.99856535609270136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837</c:v>
                </c:pt>
                <c:pt idx="1">
                  <c:v>2326</c:v>
                </c:pt>
                <c:pt idx="2">
                  <c:v>1228</c:v>
                </c:pt>
                <c:pt idx="3">
                  <c:v>1189</c:v>
                </c:pt>
                <c:pt idx="4">
                  <c:v>1147</c:v>
                </c:pt>
                <c:pt idx="5">
                  <c:v>1124</c:v>
                </c:pt>
                <c:pt idx="6">
                  <c:v>1107</c:v>
                </c:pt>
                <c:pt idx="7">
                  <c:v>1094</c:v>
                </c:pt>
                <c:pt idx="8">
                  <c:v>1112</c:v>
                </c:pt>
                <c:pt idx="9">
                  <c:v>1112</c:v>
                </c:pt>
                <c:pt idx="10">
                  <c:v>1105</c:v>
                </c:pt>
                <c:pt idx="11">
                  <c:v>1114</c:v>
                </c:pt>
                <c:pt idx="12">
                  <c:v>1107</c:v>
                </c:pt>
                <c:pt idx="13">
                  <c:v>1106</c:v>
                </c:pt>
                <c:pt idx="14">
                  <c:v>1102</c:v>
                </c:pt>
                <c:pt idx="15">
                  <c:v>1108</c:v>
                </c:pt>
                <c:pt idx="16">
                  <c:v>1103</c:v>
                </c:pt>
                <c:pt idx="17">
                  <c:v>1145</c:v>
                </c:pt>
                <c:pt idx="18">
                  <c:v>1150</c:v>
                </c:pt>
                <c:pt idx="19">
                  <c:v>1138</c:v>
                </c:pt>
                <c:pt idx="20">
                  <c:v>1136</c:v>
                </c:pt>
                <c:pt idx="21">
                  <c:v>1152</c:v>
                </c:pt>
                <c:pt idx="22">
                  <c:v>1190</c:v>
                </c:pt>
                <c:pt idx="23">
                  <c:v>7104</c:v>
                </c:pt>
                <c:pt idx="24">
                  <c:v>7156</c:v>
                </c:pt>
                <c:pt idx="25">
                  <c:v>7193</c:v>
                </c:pt>
                <c:pt idx="26">
                  <c:v>7227</c:v>
                </c:pt>
                <c:pt idx="27">
                  <c:v>7219</c:v>
                </c:pt>
                <c:pt idx="28">
                  <c:v>7204</c:v>
                </c:pt>
                <c:pt idx="29">
                  <c:v>7169</c:v>
                </c:pt>
                <c:pt idx="30">
                  <c:v>6813</c:v>
                </c:pt>
                <c:pt idx="31">
                  <c:v>6019</c:v>
                </c:pt>
                <c:pt idx="32">
                  <c:v>5910</c:v>
                </c:pt>
                <c:pt idx="33">
                  <c:v>5760</c:v>
                </c:pt>
                <c:pt idx="34">
                  <c:v>5831</c:v>
                </c:pt>
                <c:pt idx="35">
                  <c:v>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-0.34938816208230938</c:v>
                </c:pt>
                <c:pt idx="1">
                  <c:v>-0.32238930093642248</c:v>
                </c:pt>
                <c:pt idx="2">
                  <c:v>-0.28938782424852572</c:v>
                </c:pt>
                <c:pt idx="3">
                  <c:v>3.0449928614242339E-2</c:v>
                </c:pt>
                <c:pt idx="4">
                  <c:v>-2.3748275154294118E-2</c:v>
                </c:pt>
                <c:pt idx="5">
                  <c:v>-1.5054451157647364E-2</c:v>
                </c:pt>
                <c:pt idx="6">
                  <c:v>2.8563537608585765E-3</c:v>
                </c:pt>
                <c:pt idx="7">
                  <c:v>1.8865248543146418E-2</c:v>
                </c:pt>
                <c:pt idx="8">
                  <c:v>2.5381303619379958E-2</c:v>
                </c:pt>
                <c:pt idx="9">
                  <c:v>-0.16034131775331695</c:v>
                </c:pt>
                <c:pt idx="10">
                  <c:v>-0.16190664011213229</c:v>
                </c:pt>
                <c:pt idx="11">
                  <c:v>1.4352536987226383E-2</c:v>
                </c:pt>
                <c:pt idx="12">
                  <c:v>-4.1524247721485441E-2</c:v>
                </c:pt>
                <c:pt idx="13">
                  <c:v>-2.2047500466640946E-2</c:v>
                </c:pt>
                <c:pt idx="14">
                  <c:v>-0.11457218775809475</c:v>
                </c:pt>
                <c:pt idx="15">
                  <c:v>-0.24496311723768538</c:v>
                </c:pt>
                <c:pt idx="16">
                  <c:v>-0.29460441106160962</c:v>
                </c:pt>
                <c:pt idx="17">
                  <c:v>-0.23057652192945333</c:v>
                </c:pt>
                <c:pt idx="18">
                  <c:v>-0.19744221440570442</c:v>
                </c:pt>
                <c:pt idx="19">
                  <c:v>-3.7440451809545583E-2</c:v>
                </c:pt>
                <c:pt idx="20">
                  <c:v>-7.9345319647012302E-2</c:v>
                </c:pt>
                <c:pt idx="21">
                  <c:v>0.20237585185062912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-0.18159898849877509</c:v>
                </c:pt>
                <c:pt idx="4">
                  <c:v>-0.18119240710167306</c:v>
                </c:pt>
                <c:pt idx="5">
                  <c:v>-0.16151341674516151</c:v>
                </c:pt>
                <c:pt idx="6">
                  <c:v>1.5756943784593469E-2</c:v>
                </c:pt>
                <c:pt idx="7">
                  <c:v>-4.3385032592414552E-3</c:v>
                </c:pt>
                <c:pt idx="8">
                  <c:v>2.7390961478273024E-3</c:v>
                </c:pt>
                <c:pt idx="9">
                  <c:v>-6.3730128091825544E-2</c:v>
                </c:pt>
                <c:pt idx="10">
                  <c:v>-6.384735682994136E-2</c:v>
                </c:pt>
                <c:pt idx="11">
                  <c:v>2.0253657035990358E-2</c:v>
                </c:pt>
                <c:pt idx="12">
                  <c:v>-9.9555864486871815E-2</c:v>
                </c:pt>
                <c:pt idx="13">
                  <c:v>-8.9583946948460613E-2</c:v>
                </c:pt>
                <c:pt idx="14">
                  <c:v>-5.5753314392029463E-2</c:v>
                </c:pt>
                <c:pt idx="15">
                  <c:v>-0.15467568911572527</c:v>
                </c:pt>
                <c:pt idx="16">
                  <c:v>-0.17569051692381177</c:v>
                </c:pt>
                <c:pt idx="17">
                  <c:v>-0.17808996777118713</c:v>
                </c:pt>
                <c:pt idx="18">
                  <c:v>-0.21998062994838952</c:v>
                </c:pt>
                <c:pt idx="19">
                  <c:v>-0.17474058827658467</c:v>
                </c:pt>
                <c:pt idx="20">
                  <c:v>-0.16252531465800624</c:v>
                </c:pt>
                <c:pt idx="21">
                  <c:v>-5.1144931571799668E-2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-0.12744750937544902</c:v>
                </c:pt>
                <c:pt idx="10">
                  <c:v>-0.1317126338120953</c:v>
                </c:pt>
                <c:pt idx="11">
                  <c:v>-8.7645150565449859E-2</c:v>
                </c:pt>
                <c:pt idx="12">
                  <c:v>-3.3715742736207699E-2</c:v>
                </c:pt>
                <c:pt idx="13">
                  <c:v>-4.2109988492121997E-2</c:v>
                </c:pt>
                <c:pt idx="14">
                  <c:v>-2.3931244215048664E-2</c:v>
                </c:pt>
                <c:pt idx="15">
                  <c:v>-0.10834514976304799</c:v>
                </c:pt>
                <c:pt idx="16">
                  <c:v>-0.12301027241523366</c:v>
                </c:pt>
                <c:pt idx="17">
                  <c:v>-8.8937585742874248E-2</c:v>
                </c:pt>
                <c:pt idx="18">
                  <c:v>-0.16877543867671763</c:v>
                </c:pt>
                <c:pt idx="19">
                  <c:v>-0.13691706319252972</c:v>
                </c:pt>
                <c:pt idx="20">
                  <c:v>-0.11391373588174813</c:v>
                </c:pt>
                <c:pt idx="21">
                  <c:v>-0.1036381040455655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-0.1032626142324693</c:v>
                </c:pt>
                <c:pt idx="1">
                  <c:v>-0.1032626142324693</c:v>
                </c:pt>
                <c:pt idx="2">
                  <c:v>-0.1032626142324693</c:v>
                </c:pt>
                <c:pt idx="3">
                  <c:v>-0.1032626142324693</c:v>
                </c:pt>
                <c:pt idx="4">
                  <c:v>-0.1032626142324693</c:v>
                </c:pt>
                <c:pt idx="5">
                  <c:v>-0.1032626142324693</c:v>
                </c:pt>
                <c:pt idx="6">
                  <c:v>-0.1032626142324693</c:v>
                </c:pt>
                <c:pt idx="7">
                  <c:v>-0.1032626142324693</c:v>
                </c:pt>
                <c:pt idx="8">
                  <c:v>-0.1032626142324693</c:v>
                </c:pt>
                <c:pt idx="9">
                  <c:v>-0.1032626142324693</c:v>
                </c:pt>
                <c:pt idx="10">
                  <c:v>-0.1032626142324693</c:v>
                </c:pt>
                <c:pt idx="11">
                  <c:v>-0.1032626142324693</c:v>
                </c:pt>
                <c:pt idx="12">
                  <c:v>-0.1032626142324693</c:v>
                </c:pt>
                <c:pt idx="13">
                  <c:v>-0.1032626142324693</c:v>
                </c:pt>
                <c:pt idx="14">
                  <c:v>-0.1032626142324693</c:v>
                </c:pt>
                <c:pt idx="15">
                  <c:v>-0.1032626142324693</c:v>
                </c:pt>
                <c:pt idx="16">
                  <c:v>-0.1032626142324693</c:v>
                </c:pt>
                <c:pt idx="17">
                  <c:v>-0.1032626142324693</c:v>
                </c:pt>
                <c:pt idx="18">
                  <c:v>-0.1032626142324693</c:v>
                </c:pt>
                <c:pt idx="19">
                  <c:v>-0.1032626142324693</c:v>
                </c:pt>
                <c:pt idx="20">
                  <c:v>-0.1032626142324693</c:v>
                </c:pt>
                <c:pt idx="21">
                  <c:v>-0.1032626142324693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67160.97334734608</c:v>
                </c:pt>
                <c:pt idx="1">
                  <c:v>49721.864671499621</c:v>
                </c:pt>
                <c:pt idx="2">
                  <c:v>80847.56630600708</c:v>
                </c:pt>
                <c:pt idx="3">
                  <c:v>37438.172617964185</c:v>
                </c:pt>
                <c:pt idx="4">
                  <c:v>38944.319719001476</c:v>
                </c:pt>
                <c:pt idx="5">
                  <c:v>246921.67810336311</c:v>
                </c:pt>
                <c:pt idx="6">
                  <c:v>248737</c:v>
                </c:pt>
                <c:pt idx="7">
                  <c:v>343278</c:v>
                </c:pt>
                <c:pt idx="8">
                  <c:v>267861</c:v>
                </c:pt>
                <c:pt idx="9">
                  <c:v>310223</c:v>
                </c:pt>
                <c:pt idx="10">
                  <c:v>302144</c:v>
                </c:pt>
                <c:pt idx="11">
                  <c:v>237341</c:v>
                </c:pt>
                <c:pt idx="12">
                  <c:v>299907</c:v>
                </c:pt>
                <c:pt idx="13">
                  <c:v>307863</c:v>
                </c:pt>
                <c:pt idx="14">
                  <c:v>259356</c:v>
                </c:pt>
                <c:pt idx="15">
                  <c:v>269622</c:v>
                </c:pt>
                <c:pt idx="16">
                  <c:v>203371</c:v>
                </c:pt>
                <c:pt idx="17">
                  <c:v>227019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67160.97334734608</c:v>
                </c:pt>
                <c:pt idx="1">
                  <c:v>49721.864671499621</c:v>
                </c:pt>
                <c:pt idx="2">
                  <c:v>80847.56630600708</c:v>
                </c:pt>
                <c:pt idx="3">
                  <c:v>37438.172617964185</c:v>
                </c:pt>
                <c:pt idx="4">
                  <c:v>38944.319719001476</c:v>
                </c:pt>
                <c:pt idx="5">
                  <c:v>246921.67810336311</c:v>
                </c:pt>
                <c:pt idx="6">
                  <c:v>248737</c:v>
                </c:pt>
                <c:pt idx="7">
                  <c:v>343278</c:v>
                </c:pt>
                <c:pt idx="8">
                  <c:v>267861</c:v>
                </c:pt>
                <c:pt idx="9">
                  <c:v>310223</c:v>
                </c:pt>
                <c:pt idx="10">
                  <c:v>302144</c:v>
                </c:pt>
                <c:pt idx="11">
                  <c:v>237341</c:v>
                </c:pt>
                <c:pt idx="12">
                  <c:v>299907</c:v>
                </c:pt>
                <c:pt idx="13">
                  <c:v>307863</c:v>
                </c:pt>
                <c:pt idx="14">
                  <c:v>259356</c:v>
                </c:pt>
                <c:pt idx="15">
                  <c:v>269622</c:v>
                </c:pt>
                <c:pt idx="16">
                  <c:v>203371</c:v>
                </c:pt>
                <c:pt idx="17">
                  <c:v>227019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42.919151732377529</c:v>
                </c:pt>
                <c:pt idx="1">
                  <c:v>59.249342218400699</c:v>
                </c:pt>
                <c:pt idx="2">
                  <c:v>89.537532573289894</c:v>
                </c:pt>
                <c:pt idx="3">
                  <c:v>44.010058873002535</c:v>
                </c:pt>
                <c:pt idx="4">
                  <c:v>60.316068003487331</c:v>
                </c:pt>
                <c:pt idx="5">
                  <c:v>47.366209964412811</c:v>
                </c:pt>
                <c:pt idx="6">
                  <c:v>65.219232158988262</c:v>
                </c:pt>
                <c:pt idx="7">
                  <c:v>56.678354661791616</c:v>
                </c:pt>
                <c:pt idx="8">
                  <c:v>50.870728417266207</c:v>
                </c:pt>
                <c:pt idx="9">
                  <c:v>37.081789568345329</c:v>
                </c:pt>
                <c:pt idx="10">
                  <c:v>45.064696832579187</c:v>
                </c:pt>
                <c:pt idx="11">
                  <c:v>36.92910233393178</c:v>
                </c:pt>
                <c:pt idx="12">
                  <c:v>40.001751827104876</c:v>
                </c:pt>
                <c:pt idx="13">
                  <c:v>38.651486387577066</c:v>
                </c:pt>
                <c:pt idx="14">
                  <c:v>46.072972042039574</c:v>
                </c:pt>
                <c:pt idx="15">
                  <c:v>45.916806568230278</c:v>
                </c:pt>
                <c:pt idx="16">
                  <c:v>45.772098230480971</c:v>
                </c:pt>
                <c:pt idx="17">
                  <c:v>64.622452870324537</c:v>
                </c:pt>
                <c:pt idx="18">
                  <c:v>58.400846388996591</c:v>
                </c:pt>
                <c:pt idx="19">
                  <c:v>43.692323964410917</c:v>
                </c:pt>
                <c:pt idx="20">
                  <c:v>71.168632311625956</c:v>
                </c:pt>
                <c:pt idx="21">
                  <c:v>32.49841373087169</c:v>
                </c:pt>
                <c:pt idx="22">
                  <c:v>32.72631909159788</c:v>
                </c:pt>
                <c:pt idx="23">
                  <c:v>34.758119102387823</c:v>
                </c:pt>
                <c:pt idx="24">
                  <c:v>34.759223029625488</c:v>
                </c:pt>
                <c:pt idx="25">
                  <c:v>47.723898234394554</c:v>
                </c:pt>
                <c:pt idx="26">
                  <c:v>37.06392694063927</c:v>
                </c:pt>
                <c:pt idx="27">
                  <c:v>42.973126471810502</c:v>
                </c:pt>
                <c:pt idx="28">
                  <c:v>41.941143808995001</c:v>
                </c:pt>
                <c:pt idx="29">
                  <c:v>33.106569953968474</c:v>
                </c:pt>
                <c:pt idx="30">
                  <c:v>44.019815059445179</c:v>
                </c:pt>
                <c:pt idx="31">
                  <c:v>51.148529656089053</c:v>
                </c:pt>
                <c:pt idx="32">
                  <c:v>43.884263959390864</c:v>
                </c:pt>
                <c:pt idx="33">
                  <c:v>46.809375000000003</c:v>
                </c:pt>
                <c:pt idx="34">
                  <c:v>34.877551020408163</c:v>
                </c:pt>
                <c:pt idx="35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55.452130706127321</c:v>
                </c:pt>
                <c:pt idx="2">
                  <c:v>54.848448360529638</c:v>
                </c:pt>
                <c:pt idx="3">
                  <c:v>54.251338032449453</c:v>
                </c:pt>
                <c:pt idx="4">
                  <c:v>53.660728175295205</c:v>
                </c:pt>
                <c:pt idx="5">
                  <c:v>53.076548021370769</c:v>
                </c:pt>
                <c:pt idx="6">
                  <c:v>52.498727573395961</c:v>
                </c:pt>
                <c:pt idx="7">
                  <c:v>51.927197596119527</c:v>
                </c:pt>
                <c:pt idx="8">
                  <c:v>51.36188960802307</c:v>
                </c:pt>
                <c:pt idx="9">
                  <c:v>50.802735873115708</c:v>
                </c:pt>
                <c:pt idx="10">
                  <c:v>50.249669392817673</c:v>
                </c:pt>
                <c:pt idx="11">
                  <c:v>49.70262389793259</c:v>
                </c:pt>
                <c:pt idx="12">
                  <c:v>49.16153384070688</c:v>
                </c:pt>
                <c:pt idx="13">
                  <c:v>48.626334386975884</c:v>
                </c:pt>
                <c:pt idx="14">
                  <c:v>48.096961408395174</c:v>
                </c:pt>
                <c:pt idx="15">
                  <c:v>47.573351474756784</c:v>
                </c:pt>
                <c:pt idx="16">
                  <c:v>47.055441846388739</c:v>
                </c:pt>
                <c:pt idx="17">
                  <c:v>46.543170466637669</c:v>
                </c:pt>
                <c:pt idx="18">
                  <c:v>46.036475954432916</c:v>
                </c:pt>
                <c:pt idx="19">
                  <c:v>45.535297596931969</c:v>
                </c:pt>
                <c:pt idx="20">
                  <c:v>45.039575342245563</c:v>
                </c:pt>
                <c:pt idx="21">
                  <c:v>44.549249792242335</c:v>
                </c:pt>
                <c:pt idx="22">
                  <c:v>44.06426219543161</c:v>
                </c:pt>
                <c:pt idx="23">
                  <c:v>43.584554439923643</c:v>
                </c:pt>
                <c:pt idx="24">
                  <c:v>43.110069046466649</c:v>
                </c:pt>
                <c:pt idx="25">
                  <c:v>42.640749161559583</c:v>
                </c:pt>
                <c:pt idx="26">
                  <c:v>42.176538550639819</c:v>
                </c:pt>
                <c:pt idx="27">
                  <c:v>41.71738159134501</c:v>
                </c:pt>
                <c:pt idx="28">
                  <c:v>41.26322326684847</c:v>
                </c:pt>
                <c:pt idx="29">
                  <c:v>40.814009159266817</c:v>
                </c:pt>
                <c:pt idx="30">
                  <c:v>40.369685443139709</c:v>
                </c:pt>
                <c:pt idx="31">
                  <c:v>39.930198878980249</c:v>
                </c:pt>
                <c:pt idx="32">
                  <c:v>39.495496806895893</c:v>
                </c:pt>
                <c:pt idx="33">
                  <c:v>39.065527140278554</c:v>
                </c:pt>
                <c:pt idx="34">
                  <c:v>38.640238359563618</c:v>
                </c:pt>
                <c:pt idx="35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44.750526417688754</c:v>
                </c:pt>
                <c:pt idx="11">
                  <c:v>44.634937050378376</c:v>
                </c:pt>
                <c:pt idx="12">
                  <c:v>44.519646247194615</c:v>
                </c:pt>
                <c:pt idx="13">
                  <c:v>44.404653236954609</c:v>
                </c:pt>
                <c:pt idx="14">
                  <c:v>44.289957250467452</c:v>
                </c:pt>
                <c:pt idx="15">
                  <c:v>44.175557520529047</c:v>
                </c:pt>
                <c:pt idx="16">
                  <c:v>44.061453281916968</c:v>
                </c:pt>
                <c:pt idx="17">
                  <c:v>43.94764377138528</c:v>
                </c:pt>
                <c:pt idx="18">
                  <c:v>43.834128227659562</c:v>
                </c:pt>
                <c:pt idx="19">
                  <c:v>43.720905891431705</c:v>
                </c:pt>
                <c:pt idx="20">
                  <c:v>43.607976005354892</c:v>
                </c:pt>
                <c:pt idx="21">
                  <c:v>43.4953378140385</c:v>
                </c:pt>
                <c:pt idx="22">
                  <c:v>43.382990564043077</c:v>
                </c:pt>
                <c:pt idx="23">
                  <c:v>43.270933503875227</c:v>
                </c:pt>
                <c:pt idx="24">
                  <c:v>43.159165883982716</c:v>
                </c:pt>
                <c:pt idx="25">
                  <c:v>43.047686956749331</c:v>
                </c:pt>
                <c:pt idx="26">
                  <c:v>42.936495976489958</c:v>
                </c:pt>
                <c:pt idx="27">
                  <c:v>42.825592199445559</c:v>
                </c:pt>
                <c:pt idx="28">
                  <c:v>42.714974883778197</c:v>
                </c:pt>
                <c:pt idx="29">
                  <c:v>42.604643289566113</c:v>
                </c:pt>
                <c:pt idx="30">
                  <c:v>42.494596678798679</c:v>
                </c:pt>
                <c:pt idx="31">
                  <c:v>42.384834315371585</c:v>
                </c:pt>
                <c:pt idx="32">
                  <c:v>42.275355465081851</c:v>
                </c:pt>
                <c:pt idx="33">
                  <c:v>42.166159395622913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49.507260590481984</c:v>
                </c:pt>
                <c:pt idx="17">
                  <c:v>48.835056638596747</c:v>
                </c:pt>
                <c:pt idx="18">
                  <c:v>48.171979795493975</c:v>
                </c:pt>
                <c:pt idx="19">
                  <c:v>47.517906134328967</c:v>
                </c:pt>
                <c:pt idx="20">
                  <c:v>46.872713410921691</c:v>
                </c:pt>
                <c:pt idx="21">
                  <c:v>46.236281040909617</c:v>
                </c:pt>
                <c:pt idx="22">
                  <c:v>45.608490077211052</c:v>
                </c:pt>
                <c:pt idx="23">
                  <c:v>44.989223187794146</c:v>
                </c:pt>
                <c:pt idx="24">
                  <c:v>44.378364633748127</c:v>
                </c:pt>
                <c:pt idx="25">
                  <c:v>43.775800247651908</c:v>
                </c:pt>
                <c:pt idx="26">
                  <c:v>43.181417412236719</c:v>
                </c:pt>
                <c:pt idx="27">
                  <c:v>42.595105039338186</c:v>
                </c:pt>
                <c:pt idx="28">
                  <c:v>42.016753549134471</c:v>
                </c:pt>
                <c:pt idx="29">
                  <c:v>41.446254849666026</c:v>
                </c:pt>
                <c:pt idx="30">
                  <c:v>40.883502316633638</c:v>
                </c:pt>
                <c:pt idx="31">
                  <c:v>40.328390773470737</c:v>
                </c:pt>
                <c:pt idx="32">
                  <c:v>39.780816471686201</c:v>
                </c:pt>
                <c:pt idx="33">
                  <c:v>39.240677071474082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35.455256527045854</c:v>
                </c:pt>
                <c:pt idx="23">
                  <c:v>36.302648981521457</c:v>
                </c:pt>
                <c:pt idx="24">
                  <c:v>37.170294398244117</c:v>
                </c:pt>
                <c:pt idx="25">
                  <c:v>38.058676829765425</c:v>
                </c:pt>
                <c:pt idx="26">
                  <c:v>38.968291897654368</c:v>
                </c:pt>
                <c:pt idx="27">
                  <c:v>39.8996470690007</c:v>
                </c:pt>
                <c:pt idx="28">
                  <c:v>40.85326193952686</c:v>
                </c:pt>
                <c:pt idx="29">
                  <c:v>41.829668523466303</c:v>
                </c:pt>
                <c:pt idx="30">
                  <c:v>42.829411550370139</c:v>
                </c:pt>
                <c:pt idx="31">
                  <c:v>43.853048769007344</c:v>
                </c:pt>
                <c:pt idx="32">
                  <c:v>44.901151258528479</c:v>
                </c:pt>
                <c:pt idx="33">
                  <c:v>45.974303747066259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94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58.400846388996591</c:v>
                </c:pt>
                <c:pt idx="1">
                  <c:v>43.692323964410917</c:v>
                </c:pt>
                <c:pt idx="2">
                  <c:v>71.168632311625956</c:v>
                </c:pt>
                <c:pt idx="3">
                  <c:v>32.49841373087169</c:v>
                </c:pt>
                <c:pt idx="4">
                  <c:v>32.72631909159788</c:v>
                </c:pt>
                <c:pt idx="5">
                  <c:v>34.758119102387823</c:v>
                </c:pt>
                <c:pt idx="6">
                  <c:v>34.759223029625488</c:v>
                </c:pt>
                <c:pt idx="7">
                  <c:v>47.723898234394554</c:v>
                </c:pt>
                <c:pt idx="8">
                  <c:v>37.06392694063927</c:v>
                </c:pt>
                <c:pt idx="9">
                  <c:v>42.973126471810502</c:v>
                </c:pt>
                <c:pt idx="10">
                  <c:v>41.941143808995001</c:v>
                </c:pt>
                <c:pt idx="11">
                  <c:v>33.106569953968474</c:v>
                </c:pt>
                <c:pt idx="12">
                  <c:v>44.019815059445179</c:v>
                </c:pt>
                <c:pt idx="13">
                  <c:v>51.148529656089053</c:v>
                </c:pt>
                <c:pt idx="14">
                  <c:v>43.884263959390864</c:v>
                </c:pt>
                <c:pt idx="15">
                  <c:v>46.809375000000003</c:v>
                </c:pt>
                <c:pt idx="16">
                  <c:v>34.877551020408163</c:v>
                </c:pt>
                <c:pt idx="17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46.036475954432916</c:v>
                </c:pt>
                <c:pt idx="1">
                  <c:v>45.535297596931969</c:v>
                </c:pt>
                <c:pt idx="2">
                  <c:v>45.039575342245563</c:v>
                </c:pt>
                <c:pt idx="3">
                  <c:v>44.549249792242335</c:v>
                </c:pt>
                <c:pt idx="4">
                  <c:v>44.06426219543161</c:v>
                </c:pt>
                <c:pt idx="5">
                  <c:v>43.584554439923643</c:v>
                </c:pt>
                <c:pt idx="6">
                  <c:v>43.110069046466649</c:v>
                </c:pt>
                <c:pt idx="7">
                  <c:v>42.640749161559583</c:v>
                </c:pt>
                <c:pt idx="8">
                  <c:v>42.176538550639819</c:v>
                </c:pt>
                <c:pt idx="9">
                  <c:v>41.71738159134501</c:v>
                </c:pt>
                <c:pt idx="10">
                  <c:v>41.26322326684847</c:v>
                </c:pt>
                <c:pt idx="11">
                  <c:v>40.814009159266817</c:v>
                </c:pt>
                <c:pt idx="12">
                  <c:v>40.369685443139709</c:v>
                </c:pt>
                <c:pt idx="13">
                  <c:v>39.930198878980249</c:v>
                </c:pt>
                <c:pt idx="14">
                  <c:v>39.495496806895893</c:v>
                </c:pt>
                <c:pt idx="15">
                  <c:v>39.065527140278554</c:v>
                </c:pt>
                <c:pt idx="16">
                  <c:v>38.640238359563618</c:v>
                </c:pt>
                <c:pt idx="17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43.834128227659562</c:v>
                </c:pt>
                <c:pt idx="1">
                  <c:v>43.720905891431705</c:v>
                </c:pt>
                <c:pt idx="2">
                  <c:v>43.607976005354892</c:v>
                </c:pt>
                <c:pt idx="3">
                  <c:v>43.4953378140385</c:v>
                </c:pt>
                <c:pt idx="4">
                  <c:v>43.382990564043077</c:v>
                </c:pt>
                <c:pt idx="5">
                  <c:v>43.270933503875227</c:v>
                </c:pt>
                <c:pt idx="6">
                  <c:v>43.159165883982716</c:v>
                </c:pt>
                <c:pt idx="7">
                  <c:v>43.047686956749331</c:v>
                </c:pt>
                <c:pt idx="8">
                  <c:v>42.936495976489958</c:v>
                </c:pt>
                <c:pt idx="9">
                  <c:v>42.825592199445559</c:v>
                </c:pt>
                <c:pt idx="10">
                  <c:v>42.714974883778197</c:v>
                </c:pt>
                <c:pt idx="11">
                  <c:v>42.604643289566113</c:v>
                </c:pt>
                <c:pt idx="12">
                  <c:v>42.494596678798679</c:v>
                </c:pt>
                <c:pt idx="13">
                  <c:v>42.384834315371585</c:v>
                </c:pt>
                <c:pt idx="14">
                  <c:v>42.275355465081851</c:v>
                </c:pt>
                <c:pt idx="15">
                  <c:v>42.166159395622913</c:v>
                </c:pt>
                <c:pt idx="16">
                  <c:v>42.057245376579736</c:v>
                </c:pt>
                <c:pt idx="17">
                  <c:v>41.948612679423938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9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0.94674261714058228</c:v>
                </c:pt>
                <c:pt idx="1">
                  <c:v>1.1240800473283452</c:v>
                </c:pt>
                <c:pt idx="2">
                  <c:v>1.4965122908510113</c:v>
                </c:pt>
                <c:pt idx="3">
                  <c:v>1.0730138934553193</c:v>
                </c:pt>
                <c:pt idx="4">
                  <c:v>1.805379052399031</c:v>
                </c:pt>
                <c:pt idx="5">
                  <c:v>0.58717013097821769</c:v>
                </c:pt>
                <c:pt idx="6">
                  <c:v>0.90987304411261161</c:v>
                </c:pt>
                <c:pt idx="7">
                  <c:v>1.4823841850180073</c:v>
                </c:pt>
                <c:pt idx="8">
                  <c:v>1.0818535870143946</c:v>
                </c:pt>
                <c:pt idx="9">
                  <c:v>1.2356222173862206</c:v>
                </c:pt>
                <c:pt idx="10">
                  <c:v>1.120204612295552</c:v>
                </c:pt>
                <c:pt idx="11">
                  <c:v>1.496488100250289</c:v>
                </c:pt>
                <c:pt idx="12">
                  <c:v>1.6687366912370403</c:v>
                </c:pt>
                <c:pt idx="13">
                  <c:v>1.5293566761252804</c:v>
                </c:pt>
                <c:pt idx="14">
                  <c:v>1.7829285350907123</c:v>
                </c:pt>
                <c:pt idx="15">
                  <c:v>1.6947634876026236</c:v>
                </c:pt>
                <c:pt idx="16">
                  <c:v>1.5955196545352301</c:v>
                </c:pt>
                <c:pt idx="17">
                  <c:v>2.0521898701812109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0.81729032321652573</c:v>
                </c:pt>
                <c:pt idx="3">
                  <c:v>0.87435376544141896</c:v>
                </c:pt>
                <c:pt idx="4">
                  <c:v>0.90660061020719629</c:v>
                </c:pt>
                <c:pt idx="5">
                  <c:v>0.95760153500233269</c:v>
                </c:pt>
                <c:pt idx="6">
                  <c:v>0.970673232625337</c:v>
                </c:pt>
                <c:pt idx="7">
                  <c:v>0.97702746669683405</c:v>
                </c:pt>
                <c:pt idx="8">
                  <c:v>0.98435125522634026</c:v>
                </c:pt>
                <c:pt idx="9">
                  <c:v>0.99141870751256733</c:v>
                </c:pt>
                <c:pt idx="10">
                  <c:v>0.99532273867438126</c:v>
                </c:pt>
                <c:pt idx="11">
                  <c:v>0.99655321095702043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0.85947419897647237</c:v>
                </c:pt>
                <c:pt idx="3">
                  <c:v>0.89995772050377121</c:v>
                </c:pt>
                <c:pt idx="4">
                  <c:v>0.91875423406052503</c:v>
                </c:pt>
                <c:pt idx="5">
                  <c:v>0.94179918731553347</c:v>
                </c:pt>
                <c:pt idx="6">
                  <c:v>0.95192255738947995</c:v>
                </c:pt>
                <c:pt idx="7">
                  <c:v>0.95797724184092259</c:v>
                </c:pt>
                <c:pt idx="8">
                  <c:v>0.96499730984607868</c:v>
                </c:pt>
                <c:pt idx="9">
                  <c:v>0.96884848382347444</c:v>
                </c:pt>
                <c:pt idx="10">
                  <c:v>0.97206385463862688</c:v>
                </c:pt>
                <c:pt idx="11">
                  <c:v>0.97370073847766125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0.85121462105141532</c:v>
                </c:pt>
                <c:pt idx="3">
                  <c:v>0.91023733573595489</c:v>
                </c:pt>
                <c:pt idx="4">
                  <c:v>0.93567334740051578</c:v>
                </c:pt>
                <c:pt idx="5">
                  <c:v>0.96491593996840952</c:v>
                </c:pt>
                <c:pt idx="6">
                  <c:v>0.97791322960369997</c:v>
                </c:pt>
                <c:pt idx="7">
                  <c:v>0.98349263112655705</c:v>
                </c:pt>
                <c:pt idx="8">
                  <c:v>0.98954921207949142</c:v>
                </c:pt>
                <c:pt idx="9">
                  <c:v>0.99471605067473912</c:v>
                </c:pt>
                <c:pt idx="10">
                  <c:v>0.99756455714073022</c:v>
                </c:pt>
                <c:pt idx="11">
                  <c:v>0.99856535609270136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837</c:v>
                </c:pt>
                <c:pt idx="1">
                  <c:v>2326</c:v>
                </c:pt>
                <c:pt idx="2">
                  <c:v>1228</c:v>
                </c:pt>
                <c:pt idx="3">
                  <c:v>1189</c:v>
                </c:pt>
                <c:pt idx="4">
                  <c:v>1147</c:v>
                </c:pt>
                <c:pt idx="5">
                  <c:v>1124</c:v>
                </c:pt>
                <c:pt idx="6">
                  <c:v>1107</c:v>
                </c:pt>
                <c:pt idx="7">
                  <c:v>1094</c:v>
                </c:pt>
                <c:pt idx="8">
                  <c:v>1112</c:v>
                </c:pt>
                <c:pt idx="9">
                  <c:v>1112</c:v>
                </c:pt>
                <c:pt idx="10">
                  <c:v>1105</c:v>
                </c:pt>
                <c:pt idx="11">
                  <c:v>1114</c:v>
                </c:pt>
                <c:pt idx="12">
                  <c:v>1107</c:v>
                </c:pt>
                <c:pt idx="13">
                  <c:v>1106</c:v>
                </c:pt>
                <c:pt idx="14">
                  <c:v>1102</c:v>
                </c:pt>
                <c:pt idx="15">
                  <c:v>1108</c:v>
                </c:pt>
                <c:pt idx="16">
                  <c:v>1103</c:v>
                </c:pt>
                <c:pt idx="17">
                  <c:v>1145</c:v>
                </c:pt>
                <c:pt idx="18">
                  <c:v>1150</c:v>
                </c:pt>
                <c:pt idx="19">
                  <c:v>1138</c:v>
                </c:pt>
                <c:pt idx="20">
                  <c:v>1136</c:v>
                </c:pt>
                <c:pt idx="21">
                  <c:v>1152</c:v>
                </c:pt>
                <c:pt idx="22">
                  <c:v>1190</c:v>
                </c:pt>
                <c:pt idx="23">
                  <c:v>7104</c:v>
                </c:pt>
                <c:pt idx="24">
                  <c:v>7156</c:v>
                </c:pt>
                <c:pt idx="25">
                  <c:v>7193</c:v>
                </c:pt>
                <c:pt idx="26">
                  <c:v>7227</c:v>
                </c:pt>
                <c:pt idx="27">
                  <c:v>7219</c:v>
                </c:pt>
                <c:pt idx="28">
                  <c:v>7204</c:v>
                </c:pt>
                <c:pt idx="29">
                  <c:v>7169</c:v>
                </c:pt>
                <c:pt idx="30">
                  <c:v>6813</c:v>
                </c:pt>
                <c:pt idx="31">
                  <c:v>6019</c:v>
                </c:pt>
                <c:pt idx="32">
                  <c:v>5910</c:v>
                </c:pt>
                <c:pt idx="33">
                  <c:v>5760</c:v>
                </c:pt>
                <c:pt idx="34">
                  <c:v>5831</c:v>
                </c:pt>
                <c:pt idx="35">
                  <c:v>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-0.34938816208230938</c:v>
                </c:pt>
                <c:pt idx="1">
                  <c:v>-0.32238930093642248</c:v>
                </c:pt>
                <c:pt idx="2">
                  <c:v>-0.28938782424852572</c:v>
                </c:pt>
                <c:pt idx="3">
                  <c:v>3.0449928614242339E-2</c:v>
                </c:pt>
                <c:pt idx="4">
                  <c:v>-2.3748275154294118E-2</c:v>
                </c:pt>
                <c:pt idx="5">
                  <c:v>-1.5054451157647364E-2</c:v>
                </c:pt>
                <c:pt idx="6">
                  <c:v>2.8563537608585765E-3</c:v>
                </c:pt>
                <c:pt idx="7">
                  <c:v>1.8865248543146418E-2</c:v>
                </c:pt>
                <c:pt idx="8">
                  <c:v>2.5381303619379958E-2</c:v>
                </c:pt>
                <c:pt idx="9">
                  <c:v>-0.16034131775331695</c:v>
                </c:pt>
                <c:pt idx="10">
                  <c:v>-0.16190664011213229</c:v>
                </c:pt>
                <c:pt idx="11">
                  <c:v>1.4352536987226383E-2</c:v>
                </c:pt>
                <c:pt idx="12">
                  <c:v>-4.1524247721485441E-2</c:v>
                </c:pt>
                <c:pt idx="13">
                  <c:v>-2.2047500466640946E-2</c:v>
                </c:pt>
                <c:pt idx="14">
                  <c:v>-0.11457218775809475</c:v>
                </c:pt>
                <c:pt idx="15">
                  <c:v>-0.24496311723768538</c:v>
                </c:pt>
                <c:pt idx="16">
                  <c:v>-0.29460441106160962</c:v>
                </c:pt>
                <c:pt idx="17">
                  <c:v>-0.23057652192945333</c:v>
                </c:pt>
                <c:pt idx="18">
                  <c:v>-0.19744221440570442</c:v>
                </c:pt>
                <c:pt idx="19">
                  <c:v>-3.7440451809545583E-2</c:v>
                </c:pt>
                <c:pt idx="20">
                  <c:v>-7.9345319647012302E-2</c:v>
                </c:pt>
                <c:pt idx="21">
                  <c:v>0.20237585185062912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-0.18159898849877509</c:v>
                </c:pt>
                <c:pt idx="4">
                  <c:v>-0.18119240710167306</c:v>
                </c:pt>
                <c:pt idx="5">
                  <c:v>-0.16151341674516151</c:v>
                </c:pt>
                <c:pt idx="6">
                  <c:v>1.5756943784593469E-2</c:v>
                </c:pt>
                <c:pt idx="7">
                  <c:v>-4.3385032592414552E-3</c:v>
                </c:pt>
                <c:pt idx="8">
                  <c:v>2.7390961478273024E-3</c:v>
                </c:pt>
                <c:pt idx="9">
                  <c:v>-6.3730128091825544E-2</c:v>
                </c:pt>
                <c:pt idx="10">
                  <c:v>-6.384735682994136E-2</c:v>
                </c:pt>
                <c:pt idx="11">
                  <c:v>2.0253657035990358E-2</c:v>
                </c:pt>
                <c:pt idx="12">
                  <c:v>-9.9555864486871815E-2</c:v>
                </c:pt>
                <c:pt idx="13">
                  <c:v>-8.9583946948460613E-2</c:v>
                </c:pt>
                <c:pt idx="14">
                  <c:v>-5.5753314392029463E-2</c:v>
                </c:pt>
                <c:pt idx="15">
                  <c:v>-0.15467568911572527</c:v>
                </c:pt>
                <c:pt idx="16">
                  <c:v>-0.17569051692381177</c:v>
                </c:pt>
                <c:pt idx="17">
                  <c:v>-0.17808996777118713</c:v>
                </c:pt>
                <c:pt idx="18">
                  <c:v>-0.21998062994838952</c:v>
                </c:pt>
                <c:pt idx="19">
                  <c:v>-0.17474058827658467</c:v>
                </c:pt>
                <c:pt idx="20">
                  <c:v>-0.16252531465800624</c:v>
                </c:pt>
                <c:pt idx="21">
                  <c:v>-5.1144931571799668E-2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-0.12744750937544902</c:v>
                </c:pt>
                <c:pt idx="10">
                  <c:v>-0.1317126338120953</c:v>
                </c:pt>
                <c:pt idx="11">
                  <c:v>-8.7645150565449859E-2</c:v>
                </c:pt>
                <c:pt idx="12">
                  <c:v>-3.3715742736207699E-2</c:v>
                </c:pt>
                <c:pt idx="13">
                  <c:v>-4.2109988492121997E-2</c:v>
                </c:pt>
                <c:pt idx="14">
                  <c:v>-2.3931244215048664E-2</c:v>
                </c:pt>
                <c:pt idx="15">
                  <c:v>-0.10834514976304799</c:v>
                </c:pt>
                <c:pt idx="16">
                  <c:v>-0.12301027241523366</c:v>
                </c:pt>
                <c:pt idx="17">
                  <c:v>-8.8937585742874248E-2</c:v>
                </c:pt>
                <c:pt idx="18">
                  <c:v>-0.16877543867671763</c:v>
                </c:pt>
                <c:pt idx="19">
                  <c:v>-0.13691706319252972</c:v>
                </c:pt>
                <c:pt idx="20">
                  <c:v>-0.11391373588174813</c:v>
                </c:pt>
                <c:pt idx="21">
                  <c:v>-0.1036381040455655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-0.1032626142324693</c:v>
                </c:pt>
                <c:pt idx="1">
                  <c:v>-0.1032626142324693</c:v>
                </c:pt>
                <c:pt idx="2">
                  <c:v>-0.1032626142324693</c:v>
                </c:pt>
                <c:pt idx="3">
                  <c:v>-0.1032626142324693</c:v>
                </c:pt>
                <c:pt idx="4">
                  <c:v>-0.1032626142324693</c:v>
                </c:pt>
                <c:pt idx="5">
                  <c:v>-0.1032626142324693</c:v>
                </c:pt>
                <c:pt idx="6">
                  <c:v>-0.1032626142324693</c:v>
                </c:pt>
                <c:pt idx="7">
                  <c:v>-0.1032626142324693</c:v>
                </c:pt>
                <c:pt idx="8">
                  <c:v>-0.1032626142324693</c:v>
                </c:pt>
                <c:pt idx="9">
                  <c:v>-0.1032626142324693</c:v>
                </c:pt>
                <c:pt idx="10">
                  <c:v>-0.1032626142324693</c:v>
                </c:pt>
                <c:pt idx="11">
                  <c:v>-0.1032626142324693</c:v>
                </c:pt>
                <c:pt idx="12">
                  <c:v>-0.1032626142324693</c:v>
                </c:pt>
                <c:pt idx="13">
                  <c:v>-0.1032626142324693</c:v>
                </c:pt>
                <c:pt idx="14">
                  <c:v>-0.1032626142324693</c:v>
                </c:pt>
                <c:pt idx="15">
                  <c:v>-0.1032626142324693</c:v>
                </c:pt>
                <c:pt idx="16">
                  <c:v>-0.1032626142324693</c:v>
                </c:pt>
                <c:pt idx="17">
                  <c:v>-0.1032626142324693</c:v>
                </c:pt>
                <c:pt idx="18">
                  <c:v>-0.1032626142324693</c:v>
                </c:pt>
                <c:pt idx="19">
                  <c:v>-0.1032626142324693</c:v>
                </c:pt>
                <c:pt idx="20">
                  <c:v>-0.1032626142324693</c:v>
                </c:pt>
                <c:pt idx="21">
                  <c:v>-0.1032626142324693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42.919151732377529</c:v>
                </c:pt>
                <c:pt idx="1">
                  <c:v>59.249342218400699</c:v>
                </c:pt>
                <c:pt idx="2">
                  <c:v>89.537532573289894</c:v>
                </c:pt>
                <c:pt idx="3">
                  <c:v>44.010058873002535</c:v>
                </c:pt>
                <c:pt idx="4">
                  <c:v>60.316068003487331</c:v>
                </c:pt>
                <c:pt idx="5">
                  <c:v>47.366209964412811</c:v>
                </c:pt>
                <c:pt idx="6">
                  <c:v>65.219232158988262</c:v>
                </c:pt>
                <c:pt idx="7">
                  <c:v>56.678354661791616</c:v>
                </c:pt>
                <c:pt idx="8">
                  <c:v>50.870728417266207</c:v>
                </c:pt>
                <c:pt idx="9">
                  <c:v>37.081789568345329</c:v>
                </c:pt>
                <c:pt idx="10">
                  <c:v>45.064696832579187</c:v>
                </c:pt>
                <c:pt idx="11">
                  <c:v>36.92910233393178</c:v>
                </c:pt>
                <c:pt idx="12">
                  <c:v>40.001751827104876</c:v>
                </c:pt>
                <c:pt idx="13">
                  <c:v>38.651486387577066</c:v>
                </c:pt>
                <c:pt idx="14">
                  <c:v>46.072972042039574</c:v>
                </c:pt>
                <c:pt idx="15">
                  <c:v>45.916806568230278</c:v>
                </c:pt>
                <c:pt idx="16">
                  <c:v>45.772098230480971</c:v>
                </c:pt>
                <c:pt idx="17">
                  <c:v>64.622452870324537</c:v>
                </c:pt>
                <c:pt idx="18">
                  <c:v>58.400846388996591</c:v>
                </c:pt>
                <c:pt idx="19">
                  <c:v>43.692323964410917</c:v>
                </c:pt>
                <c:pt idx="20">
                  <c:v>71.168632311625956</c:v>
                </c:pt>
                <c:pt idx="21">
                  <c:v>32.49841373087169</c:v>
                </c:pt>
                <c:pt idx="22">
                  <c:v>32.72631909159788</c:v>
                </c:pt>
                <c:pt idx="23">
                  <c:v>34.758119102387823</c:v>
                </c:pt>
                <c:pt idx="24">
                  <c:v>34.759223029625488</c:v>
                </c:pt>
                <c:pt idx="25">
                  <c:v>47.723898234394554</c:v>
                </c:pt>
                <c:pt idx="26">
                  <c:v>37.06392694063927</c:v>
                </c:pt>
                <c:pt idx="27">
                  <c:v>42.973126471810502</c:v>
                </c:pt>
                <c:pt idx="28">
                  <c:v>41.941143808995001</c:v>
                </c:pt>
                <c:pt idx="29">
                  <c:v>33.106569953968474</c:v>
                </c:pt>
                <c:pt idx="30">
                  <c:v>44.019815059445179</c:v>
                </c:pt>
                <c:pt idx="31">
                  <c:v>51.148529656089053</c:v>
                </c:pt>
                <c:pt idx="32">
                  <c:v>43.884263959390864</c:v>
                </c:pt>
                <c:pt idx="33">
                  <c:v>46.809375000000003</c:v>
                </c:pt>
                <c:pt idx="34">
                  <c:v>34.877551020408163</c:v>
                </c:pt>
                <c:pt idx="35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55.452130706127321</c:v>
                </c:pt>
                <c:pt idx="2">
                  <c:v>54.848448360529638</c:v>
                </c:pt>
                <c:pt idx="3">
                  <c:v>54.251338032449453</c:v>
                </c:pt>
                <c:pt idx="4">
                  <c:v>53.660728175295205</c:v>
                </c:pt>
                <c:pt idx="5">
                  <c:v>53.076548021370769</c:v>
                </c:pt>
                <c:pt idx="6">
                  <c:v>52.498727573395961</c:v>
                </c:pt>
                <c:pt idx="7">
                  <c:v>51.927197596119527</c:v>
                </c:pt>
                <c:pt idx="8">
                  <c:v>51.36188960802307</c:v>
                </c:pt>
                <c:pt idx="9">
                  <c:v>50.802735873115708</c:v>
                </c:pt>
                <c:pt idx="10">
                  <c:v>50.249669392817673</c:v>
                </c:pt>
                <c:pt idx="11">
                  <c:v>49.70262389793259</c:v>
                </c:pt>
                <c:pt idx="12">
                  <c:v>49.16153384070688</c:v>
                </c:pt>
                <c:pt idx="13">
                  <c:v>48.626334386975884</c:v>
                </c:pt>
                <c:pt idx="14">
                  <c:v>48.096961408395174</c:v>
                </c:pt>
                <c:pt idx="15">
                  <c:v>47.573351474756784</c:v>
                </c:pt>
                <c:pt idx="16">
                  <c:v>47.055441846388739</c:v>
                </c:pt>
                <c:pt idx="17">
                  <c:v>46.543170466637669</c:v>
                </c:pt>
                <c:pt idx="18">
                  <c:v>46.036475954432916</c:v>
                </c:pt>
                <c:pt idx="19">
                  <c:v>45.535297596931969</c:v>
                </c:pt>
                <c:pt idx="20">
                  <c:v>45.039575342245563</c:v>
                </c:pt>
                <c:pt idx="21">
                  <c:v>44.549249792242335</c:v>
                </c:pt>
                <c:pt idx="22">
                  <c:v>44.06426219543161</c:v>
                </c:pt>
                <c:pt idx="23">
                  <c:v>43.584554439923643</c:v>
                </c:pt>
                <c:pt idx="24">
                  <c:v>43.110069046466649</c:v>
                </c:pt>
                <c:pt idx="25">
                  <c:v>42.640749161559583</c:v>
                </c:pt>
                <c:pt idx="26">
                  <c:v>42.176538550639819</c:v>
                </c:pt>
                <c:pt idx="27">
                  <c:v>41.71738159134501</c:v>
                </c:pt>
                <c:pt idx="28">
                  <c:v>41.26322326684847</c:v>
                </c:pt>
                <c:pt idx="29">
                  <c:v>40.814009159266817</c:v>
                </c:pt>
                <c:pt idx="30">
                  <c:v>40.369685443139709</c:v>
                </c:pt>
                <c:pt idx="31">
                  <c:v>39.930198878980249</c:v>
                </c:pt>
                <c:pt idx="32">
                  <c:v>39.495496806895893</c:v>
                </c:pt>
                <c:pt idx="33">
                  <c:v>39.065527140278554</c:v>
                </c:pt>
                <c:pt idx="34">
                  <c:v>38.640238359563618</c:v>
                </c:pt>
                <c:pt idx="35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44.750526417688754</c:v>
                </c:pt>
                <c:pt idx="11">
                  <c:v>44.634937050378376</c:v>
                </c:pt>
                <c:pt idx="12">
                  <c:v>44.519646247194615</c:v>
                </c:pt>
                <c:pt idx="13">
                  <c:v>44.404653236954609</c:v>
                </c:pt>
                <c:pt idx="14">
                  <c:v>44.289957250467452</c:v>
                </c:pt>
                <c:pt idx="15">
                  <c:v>44.175557520529047</c:v>
                </c:pt>
                <c:pt idx="16">
                  <c:v>44.061453281916968</c:v>
                </c:pt>
                <c:pt idx="17">
                  <c:v>43.94764377138528</c:v>
                </c:pt>
                <c:pt idx="18">
                  <c:v>43.834128227659562</c:v>
                </c:pt>
                <c:pt idx="19">
                  <c:v>43.720905891431705</c:v>
                </c:pt>
                <c:pt idx="20">
                  <c:v>43.607976005354892</c:v>
                </c:pt>
                <c:pt idx="21">
                  <c:v>43.4953378140385</c:v>
                </c:pt>
                <c:pt idx="22">
                  <c:v>43.382990564043077</c:v>
                </c:pt>
                <c:pt idx="23">
                  <c:v>43.270933503875227</c:v>
                </c:pt>
                <c:pt idx="24">
                  <c:v>43.159165883982716</c:v>
                </c:pt>
                <c:pt idx="25">
                  <c:v>43.047686956749331</c:v>
                </c:pt>
                <c:pt idx="26">
                  <c:v>42.936495976489958</c:v>
                </c:pt>
                <c:pt idx="27">
                  <c:v>42.825592199445559</c:v>
                </c:pt>
                <c:pt idx="28">
                  <c:v>42.714974883778197</c:v>
                </c:pt>
                <c:pt idx="29">
                  <c:v>42.604643289566113</c:v>
                </c:pt>
                <c:pt idx="30">
                  <c:v>42.494596678798679</c:v>
                </c:pt>
                <c:pt idx="31">
                  <c:v>42.384834315371585</c:v>
                </c:pt>
                <c:pt idx="32">
                  <c:v>42.275355465081851</c:v>
                </c:pt>
                <c:pt idx="33">
                  <c:v>42.166159395622913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49.507260590481984</c:v>
                </c:pt>
                <c:pt idx="17">
                  <c:v>48.835056638596747</c:v>
                </c:pt>
                <c:pt idx="18">
                  <c:v>48.171979795493975</c:v>
                </c:pt>
                <c:pt idx="19">
                  <c:v>47.517906134328967</c:v>
                </c:pt>
                <c:pt idx="20">
                  <c:v>46.872713410921691</c:v>
                </c:pt>
                <c:pt idx="21">
                  <c:v>46.236281040909617</c:v>
                </c:pt>
                <c:pt idx="22">
                  <c:v>45.608490077211052</c:v>
                </c:pt>
                <c:pt idx="23">
                  <c:v>44.989223187794146</c:v>
                </c:pt>
                <c:pt idx="24">
                  <c:v>44.378364633748127</c:v>
                </c:pt>
                <c:pt idx="25">
                  <c:v>43.775800247651908</c:v>
                </c:pt>
                <c:pt idx="26">
                  <c:v>43.181417412236719</c:v>
                </c:pt>
                <c:pt idx="27">
                  <c:v>42.595105039338186</c:v>
                </c:pt>
                <c:pt idx="28">
                  <c:v>42.016753549134471</c:v>
                </c:pt>
                <c:pt idx="29">
                  <c:v>41.446254849666026</c:v>
                </c:pt>
                <c:pt idx="30">
                  <c:v>40.883502316633638</c:v>
                </c:pt>
                <c:pt idx="31">
                  <c:v>40.328390773470737</c:v>
                </c:pt>
                <c:pt idx="32">
                  <c:v>39.780816471686201</c:v>
                </c:pt>
                <c:pt idx="33">
                  <c:v>39.240677071474082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35.455256527045854</c:v>
                </c:pt>
                <c:pt idx="23">
                  <c:v>36.302648981521457</c:v>
                </c:pt>
                <c:pt idx="24">
                  <c:v>37.170294398244117</c:v>
                </c:pt>
                <c:pt idx="25">
                  <c:v>38.058676829765425</c:v>
                </c:pt>
                <c:pt idx="26">
                  <c:v>38.968291897654368</c:v>
                </c:pt>
                <c:pt idx="27">
                  <c:v>39.8996470690007</c:v>
                </c:pt>
                <c:pt idx="28">
                  <c:v>40.85326193952686</c:v>
                </c:pt>
                <c:pt idx="29">
                  <c:v>41.829668523466303</c:v>
                </c:pt>
                <c:pt idx="30">
                  <c:v>42.829411550370139</c:v>
                </c:pt>
                <c:pt idx="31">
                  <c:v>43.853048769007344</c:v>
                </c:pt>
                <c:pt idx="32">
                  <c:v>44.901151258528479</c:v>
                </c:pt>
                <c:pt idx="33">
                  <c:v>45.974303747066259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94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58.400846388996591</c:v>
                </c:pt>
                <c:pt idx="1">
                  <c:v>43.692323964410917</c:v>
                </c:pt>
                <c:pt idx="2">
                  <c:v>71.168632311625956</c:v>
                </c:pt>
                <c:pt idx="3">
                  <c:v>32.49841373087169</c:v>
                </c:pt>
                <c:pt idx="4">
                  <c:v>32.72631909159788</c:v>
                </c:pt>
                <c:pt idx="5">
                  <c:v>34.758119102387823</c:v>
                </c:pt>
                <c:pt idx="6">
                  <c:v>34.759223029625488</c:v>
                </c:pt>
                <c:pt idx="7">
                  <c:v>47.723898234394554</c:v>
                </c:pt>
                <c:pt idx="8">
                  <c:v>37.06392694063927</c:v>
                </c:pt>
                <c:pt idx="9">
                  <c:v>42.973126471810502</c:v>
                </c:pt>
                <c:pt idx="10">
                  <c:v>41.941143808995001</c:v>
                </c:pt>
                <c:pt idx="11">
                  <c:v>33.106569953968474</c:v>
                </c:pt>
                <c:pt idx="12">
                  <c:v>44.019815059445179</c:v>
                </c:pt>
                <c:pt idx="13">
                  <c:v>51.148529656089053</c:v>
                </c:pt>
                <c:pt idx="14">
                  <c:v>43.884263959390864</c:v>
                </c:pt>
                <c:pt idx="15">
                  <c:v>46.809375000000003</c:v>
                </c:pt>
                <c:pt idx="16">
                  <c:v>34.877551020408163</c:v>
                </c:pt>
                <c:pt idx="17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46.036475954432916</c:v>
                </c:pt>
                <c:pt idx="1">
                  <c:v>45.535297596931969</c:v>
                </c:pt>
                <c:pt idx="2">
                  <c:v>45.039575342245563</c:v>
                </c:pt>
                <c:pt idx="3">
                  <c:v>44.549249792242335</c:v>
                </c:pt>
                <c:pt idx="4">
                  <c:v>44.06426219543161</c:v>
                </c:pt>
                <c:pt idx="5">
                  <c:v>43.584554439923643</c:v>
                </c:pt>
                <c:pt idx="6">
                  <c:v>43.110069046466649</c:v>
                </c:pt>
                <c:pt idx="7">
                  <c:v>42.640749161559583</c:v>
                </c:pt>
                <c:pt idx="8">
                  <c:v>42.176538550639819</c:v>
                </c:pt>
                <c:pt idx="9">
                  <c:v>41.71738159134501</c:v>
                </c:pt>
                <c:pt idx="10">
                  <c:v>41.26322326684847</c:v>
                </c:pt>
                <c:pt idx="11">
                  <c:v>40.814009159266817</c:v>
                </c:pt>
                <c:pt idx="12">
                  <c:v>40.369685443139709</c:v>
                </c:pt>
                <c:pt idx="13">
                  <c:v>39.930198878980249</c:v>
                </c:pt>
                <c:pt idx="14">
                  <c:v>39.495496806895893</c:v>
                </c:pt>
                <c:pt idx="15">
                  <c:v>39.065527140278554</c:v>
                </c:pt>
                <c:pt idx="16">
                  <c:v>38.640238359563618</c:v>
                </c:pt>
                <c:pt idx="17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43.834128227659562</c:v>
                </c:pt>
                <c:pt idx="1">
                  <c:v>43.720905891431705</c:v>
                </c:pt>
                <c:pt idx="2">
                  <c:v>43.607976005354892</c:v>
                </c:pt>
                <c:pt idx="3">
                  <c:v>43.4953378140385</c:v>
                </c:pt>
                <c:pt idx="4">
                  <c:v>43.382990564043077</c:v>
                </c:pt>
                <c:pt idx="5">
                  <c:v>43.270933503875227</c:v>
                </c:pt>
                <c:pt idx="6">
                  <c:v>43.159165883982716</c:v>
                </c:pt>
                <c:pt idx="7">
                  <c:v>43.047686956749331</c:v>
                </c:pt>
                <c:pt idx="8">
                  <c:v>42.936495976489958</c:v>
                </c:pt>
                <c:pt idx="9">
                  <c:v>42.825592199445559</c:v>
                </c:pt>
                <c:pt idx="10">
                  <c:v>42.714974883778197</c:v>
                </c:pt>
                <c:pt idx="11">
                  <c:v>42.604643289566113</c:v>
                </c:pt>
                <c:pt idx="12">
                  <c:v>42.494596678798679</c:v>
                </c:pt>
                <c:pt idx="13">
                  <c:v>42.384834315371585</c:v>
                </c:pt>
                <c:pt idx="14">
                  <c:v>42.275355465081851</c:v>
                </c:pt>
                <c:pt idx="15">
                  <c:v>42.166159395622913</c:v>
                </c:pt>
                <c:pt idx="16">
                  <c:v>42.057245376579736</c:v>
                </c:pt>
                <c:pt idx="17">
                  <c:v>41.948612679423938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9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0.94674261714058228</c:v>
                </c:pt>
                <c:pt idx="1">
                  <c:v>1.1240800473283452</c:v>
                </c:pt>
                <c:pt idx="2">
                  <c:v>1.4965122908510113</c:v>
                </c:pt>
                <c:pt idx="3">
                  <c:v>1.0730138934553193</c:v>
                </c:pt>
                <c:pt idx="4">
                  <c:v>1.805379052399031</c:v>
                </c:pt>
                <c:pt idx="5">
                  <c:v>0.58717013097821769</c:v>
                </c:pt>
                <c:pt idx="6">
                  <c:v>0.90987304411261161</c:v>
                </c:pt>
                <c:pt idx="7">
                  <c:v>1.4823841850180073</c:v>
                </c:pt>
                <c:pt idx="8">
                  <c:v>1.0818535870143946</c:v>
                </c:pt>
                <c:pt idx="9">
                  <c:v>1.2356222173862206</c:v>
                </c:pt>
                <c:pt idx="10">
                  <c:v>1.120204612295552</c:v>
                </c:pt>
                <c:pt idx="11">
                  <c:v>1.496488100250289</c:v>
                </c:pt>
                <c:pt idx="12">
                  <c:v>1.6687366912370403</c:v>
                </c:pt>
                <c:pt idx="13">
                  <c:v>1.5293566761252804</c:v>
                </c:pt>
                <c:pt idx="14">
                  <c:v>1.7829285350907123</c:v>
                </c:pt>
                <c:pt idx="15">
                  <c:v>1.6947634876026236</c:v>
                </c:pt>
                <c:pt idx="16">
                  <c:v>1.5955196545352301</c:v>
                </c:pt>
                <c:pt idx="17">
                  <c:v>2.0521898701812109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0.81729032321652573</c:v>
                </c:pt>
                <c:pt idx="3">
                  <c:v>0.87435376544141896</c:v>
                </c:pt>
                <c:pt idx="4">
                  <c:v>0.90660061020719629</c:v>
                </c:pt>
                <c:pt idx="5">
                  <c:v>0.95760153500233269</c:v>
                </c:pt>
                <c:pt idx="6">
                  <c:v>0.970673232625337</c:v>
                </c:pt>
                <c:pt idx="7">
                  <c:v>0.97702746669683405</c:v>
                </c:pt>
                <c:pt idx="8">
                  <c:v>0.98435125522634026</c:v>
                </c:pt>
                <c:pt idx="9">
                  <c:v>0.99141870751256733</c:v>
                </c:pt>
                <c:pt idx="10">
                  <c:v>0.99532273867438126</c:v>
                </c:pt>
                <c:pt idx="11">
                  <c:v>0.99655321095702043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0.85947419897647237</c:v>
                </c:pt>
                <c:pt idx="3">
                  <c:v>0.89995772050377121</c:v>
                </c:pt>
                <c:pt idx="4">
                  <c:v>0.91875423406052503</c:v>
                </c:pt>
                <c:pt idx="5">
                  <c:v>0.94179918731553347</c:v>
                </c:pt>
                <c:pt idx="6">
                  <c:v>0.95192255738947995</c:v>
                </c:pt>
                <c:pt idx="7">
                  <c:v>0.95797724184092259</c:v>
                </c:pt>
                <c:pt idx="8">
                  <c:v>0.96499730984607868</c:v>
                </c:pt>
                <c:pt idx="9">
                  <c:v>0.96884848382347444</c:v>
                </c:pt>
                <c:pt idx="10">
                  <c:v>0.97206385463862688</c:v>
                </c:pt>
                <c:pt idx="11">
                  <c:v>0.97370073847766125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0.85121462105141532</c:v>
                </c:pt>
                <c:pt idx="3">
                  <c:v>0.91023733573595489</c:v>
                </c:pt>
                <c:pt idx="4">
                  <c:v>0.93567334740051578</c:v>
                </c:pt>
                <c:pt idx="5">
                  <c:v>0.96491593996840952</c:v>
                </c:pt>
                <c:pt idx="6">
                  <c:v>0.97791322960369997</c:v>
                </c:pt>
                <c:pt idx="7">
                  <c:v>0.98349263112655705</c:v>
                </c:pt>
                <c:pt idx="8">
                  <c:v>0.98954921207949142</c:v>
                </c:pt>
                <c:pt idx="9">
                  <c:v>0.99471605067473912</c:v>
                </c:pt>
                <c:pt idx="10">
                  <c:v>0.99756455714073022</c:v>
                </c:pt>
                <c:pt idx="11">
                  <c:v>0.99856535609270136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837</c:v>
                </c:pt>
                <c:pt idx="1">
                  <c:v>2326</c:v>
                </c:pt>
                <c:pt idx="2">
                  <c:v>1228</c:v>
                </c:pt>
                <c:pt idx="3">
                  <c:v>1189</c:v>
                </c:pt>
                <c:pt idx="4">
                  <c:v>1147</c:v>
                </c:pt>
                <c:pt idx="5">
                  <c:v>1124</c:v>
                </c:pt>
                <c:pt idx="6">
                  <c:v>1107</c:v>
                </c:pt>
                <c:pt idx="7">
                  <c:v>1094</c:v>
                </c:pt>
                <c:pt idx="8">
                  <c:v>1112</c:v>
                </c:pt>
                <c:pt idx="9">
                  <c:v>1112</c:v>
                </c:pt>
                <c:pt idx="10">
                  <c:v>1105</c:v>
                </c:pt>
                <c:pt idx="11">
                  <c:v>1114</c:v>
                </c:pt>
                <c:pt idx="12">
                  <c:v>1107</c:v>
                </c:pt>
                <c:pt idx="13">
                  <c:v>1106</c:v>
                </c:pt>
                <c:pt idx="14">
                  <c:v>1102</c:v>
                </c:pt>
                <c:pt idx="15">
                  <c:v>1108</c:v>
                </c:pt>
                <c:pt idx="16">
                  <c:v>1103</c:v>
                </c:pt>
                <c:pt idx="17">
                  <c:v>1145</c:v>
                </c:pt>
                <c:pt idx="18">
                  <c:v>1150</c:v>
                </c:pt>
                <c:pt idx="19">
                  <c:v>1138</c:v>
                </c:pt>
                <c:pt idx="20">
                  <c:v>1136</c:v>
                </c:pt>
                <c:pt idx="21">
                  <c:v>1152</c:v>
                </c:pt>
                <c:pt idx="22">
                  <c:v>1190</c:v>
                </c:pt>
                <c:pt idx="23">
                  <c:v>7104</c:v>
                </c:pt>
                <c:pt idx="24">
                  <c:v>7156</c:v>
                </c:pt>
                <c:pt idx="25">
                  <c:v>7193</c:v>
                </c:pt>
                <c:pt idx="26">
                  <c:v>7227</c:v>
                </c:pt>
                <c:pt idx="27">
                  <c:v>7219</c:v>
                </c:pt>
                <c:pt idx="28">
                  <c:v>7204</c:v>
                </c:pt>
                <c:pt idx="29">
                  <c:v>7169</c:v>
                </c:pt>
                <c:pt idx="30">
                  <c:v>6813</c:v>
                </c:pt>
                <c:pt idx="31">
                  <c:v>6019</c:v>
                </c:pt>
                <c:pt idx="32">
                  <c:v>5910</c:v>
                </c:pt>
                <c:pt idx="33">
                  <c:v>5760</c:v>
                </c:pt>
                <c:pt idx="34">
                  <c:v>5831</c:v>
                </c:pt>
                <c:pt idx="35">
                  <c:v>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-0.34938816208230938</c:v>
                </c:pt>
                <c:pt idx="1">
                  <c:v>-0.32238930093642248</c:v>
                </c:pt>
                <c:pt idx="2">
                  <c:v>-0.28938782424852572</c:v>
                </c:pt>
                <c:pt idx="3">
                  <c:v>3.0449928614242339E-2</c:v>
                </c:pt>
                <c:pt idx="4">
                  <c:v>-2.3748275154294118E-2</c:v>
                </c:pt>
                <c:pt idx="5">
                  <c:v>-1.5054451157647364E-2</c:v>
                </c:pt>
                <c:pt idx="6">
                  <c:v>2.8563537608585765E-3</c:v>
                </c:pt>
                <c:pt idx="7">
                  <c:v>1.8865248543146418E-2</c:v>
                </c:pt>
                <c:pt idx="8">
                  <c:v>2.5381303619379958E-2</c:v>
                </c:pt>
                <c:pt idx="9">
                  <c:v>-0.16034131775331695</c:v>
                </c:pt>
                <c:pt idx="10">
                  <c:v>-0.16190664011213229</c:v>
                </c:pt>
                <c:pt idx="11">
                  <c:v>1.4352536987226383E-2</c:v>
                </c:pt>
                <c:pt idx="12">
                  <c:v>-4.1524247721485441E-2</c:v>
                </c:pt>
                <c:pt idx="13">
                  <c:v>-2.2047500466640946E-2</c:v>
                </c:pt>
                <c:pt idx="14">
                  <c:v>-0.11457218775809475</c:v>
                </c:pt>
                <c:pt idx="15">
                  <c:v>-0.24496311723768538</c:v>
                </c:pt>
                <c:pt idx="16">
                  <c:v>-0.29460441106160962</c:v>
                </c:pt>
                <c:pt idx="17">
                  <c:v>-0.23057652192945333</c:v>
                </c:pt>
                <c:pt idx="18">
                  <c:v>-0.19744221440570442</c:v>
                </c:pt>
                <c:pt idx="19">
                  <c:v>-3.7440451809545583E-2</c:v>
                </c:pt>
                <c:pt idx="20">
                  <c:v>-7.9345319647012302E-2</c:v>
                </c:pt>
                <c:pt idx="21">
                  <c:v>0.20237585185062912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-0.18159898849877509</c:v>
                </c:pt>
                <c:pt idx="4">
                  <c:v>-0.18119240710167306</c:v>
                </c:pt>
                <c:pt idx="5">
                  <c:v>-0.16151341674516151</c:v>
                </c:pt>
                <c:pt idx="6">
                  <c:v>1.5756943784593469E-2</c:v>
                </c:pt>
                <c:pt idx="7">
                  <c:v>-4.3385032592414552E-3</c:v>
                </c:pt>
                <c:pt idx="8">
                  <c:v>2.7390961478273024E-3</c:v>
                </c:pt>
                <c:pt idx="9">
                  <c:v>-6.3730128091825544E-2</c:v>
                </c:pt>
                <c:pt idx="10">
                  <c:v>-6.384735682994136E-2</c:v>
                </c:pt>
                <c:pt idx="11">
                  <c:v>2.0253657035990358E-2</c:v>
                </c:pt>
                <c:pt idx="12">
                  <c:v>-9.9555864486871815E-2</c:v>
                </c:pt>
                <c:pt idx="13">
                  <c:v>-8.9583946948460613E-2</c:v>
                </c:pt>
                <c:pt idx="14">
                  <c:v>-5.5753314392029463E-2</c:v>
                </c:pt>
                <c:pt idx="15">
                  <c:v>-0.15467568911572527</c:v>
                </c:pt>
                <c:pt idx="16">
                  <c:v>-0.17569051692381177</c:v>
                </c:pt>
                <c:pt idx="17">
                  <c:v>-0.17808996777118713</c:v>
                </c:pt>
                <c:pt idx="18">
                  <c:v>-0.21998062994838952</c:v>
                </c:pt>
                <c:pt idx="19">
                  <c:v>-0.17474058827658467</c:v>
                </c:pt>
                <c:pt idx="20">
                  <c:v>-0.16252531465800624</c:v>
                </c:pt>
                <c:pt idx="21">
                  <c:v>-5.1144931571799668E-2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-0.12744750937544902</c:v>
                </c:pt>
                <c:pt idx="10">
                  <c:v>-0.1317126338120953</c:v>
                </c:pt>
                <c:pt idx="11">
                  <c:v>-8.7645150565449859E-2</c:v>
                </c:pt>
                <c:pt idx="12">
                  <c:v>-3.3715742736207699E-2</c:v>
                </c:pt>
                <c:pt idx="13">
                  <c:v>-4.2109988492121997E-2</c:v>
                </c:pt>
                <c:pt idx="14">
                  <c:v>-2.3931244215048664E-2</c:v>
                </c:pt>
                <c:pt idx="15">
                  <c:v>-0.10834514976304799</c:v>
                </c:pt>
                <c:pt idx="16">
                  <c:v>-0.12301027241523366</c:v>
                </c:pt>
                <c:pt idx="17">
                  <c:v>-8.8937585742874248E-2</c:v>
                </c:pt>
                <c:pt idx="18">
                  <c:v>-0.16877543867671763</c:v>
                </c:pt>
                <c:pt idx="19">
                  <c:v>-0.13691706319252972</c:v>
                </c:pt>
                <c:pt idx="20">
                  <c:v>-0.11391373588174813</c:v>
                </c:pt>
                <c:pt idx="21">
                  <c:v>-0.1036381040455655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-0.1032626142324693</c:v>
                </c:pt>
                <c:pt idx="1">
                  <c:v>-0.1032626142324693</c:v>
                </c:pt>
                <c:pt idx="2">
                  <c:v>-0.1032626142324693</c:v>
                </c:pt>
                <c:pt idx="3">
                  <c:v>-0.1032626142324693</c:v>
                </c:pt>
                <c:pt idx="4">
                  <c:v>-0.1032626142324693</c:v>
                </c:pt>
                <c:pt idx="5">
                  <c:v>-0.1032626142324693</c:v>
                </c:pt>
                <c:pt idx="6">
                  <c:v>-0.1032626142324693</c:v>
                </c:pt>
                <c:pt idx="7">
                  <c:v>-0.1032626142324693</c:v>
                </c:pt>
                <c:pt idx="8">
                  <c:v>-0.1032626142324693</c:v>
                </c:pt>
                <c:pt idx="9">
                  <c:v>-0.1032626142324693</c:v>
                </c:pt>
                <c:pt idx="10">
                  <c:v>-0.1032626142324693</c:v>
                </c:pt>
                <c:pt idx="11">
                  <c:v>-0.1032626142324693</c:v>
                </c:pt>
                <c:pt idx="12">
                  <c:v>-0.1032626142324693</c:v>
                </c:pt>
                <c:pt idx="13">
                  <c:v>-0.1032626142324693</c:v>
                </c:pt>
                <c:pt idx="14">
                  <c:v>-0.1032626142324693</c:v>
                </c:pt>
                <c:pt idx="15">
                  <c:v>-0.1032626142324693</c:v>
                </c:pt>
                <c:pt idx="16">
                  <c:v>-0.1032626142324693</c:v>
                </c:pt>
                <c:pt idx="17">
                  <c:v>-0.1032626142324693</c:v>
                </c:pt>
                <c:pt idx="18">
                  <c:v>-0.1032626142324693</c:v>
                </c:pt>
                <c:pt idx="19">
                  <c:v>-0.1032626142324693</c:v>
                </c:pt>
                <c:pt idx="20">
                  <c:v>-0.1032626142324693</c:v>
                </c:pt>
                <c:pt idx="21">
                  <c:v>-0.1032626142324693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67160.97334734608</c:v>
                </c:pt>
                <c:pt idx="1">
                  <c:v>49721.864671499621</c:v>
                </c:pt>
                <c:pt idx="2">
                  <c:v>80847.56630600708</c:v>
                </c:pt>
                <c:pt idx="3">
                  <c:v>37438.172617964185</c:v>
                </c:pt>
                <c:pt idx="4">
                  <c:v>38944.319719001476</c:v>
                </c:pt>
                <c:pt idx="5">
                  <c:v>246921.67810336311</c:v>
                </c:pt>
                <c:pt idx="6">
                  <c:v>248737</c:v>
                </c:pt>
                <c:pt idx="7">
                  <c:v>343278</c:v>
                </c:pt>
                <c:pt idx="8">
                  <c:v>267861</c:v>
                </c:pt>
                <c:pt idx="9">
                  <c:v>310223</c:v>
                </c:pt>
                <c:pt idx="10">
                  <c:v>302144</c:v>
                </c:pt>
                <c:pt idx="11">
                  <c:v>237341</c:v>
                </c:pt>
                <c:pt idx="12">
                  <c:v>299907</c:v>
                </c:pt>
                <c:pt idx="13">
                  <c:v>307863</c:v>
                </c:pt>
                <c:pt idx="14">
                  <c:v>259356</c:v>
                </c:pt>
                <c:pt idx="15">
                  <c:v>269622</c:v>
                </c:pt>
                <c:pt idx="16">
                  <c:v>203371</c:v>
                </c:pt>
                <c:pt idx="17">
                  <c:v>227019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67160.97334734608</c:v>
                </c:pt>
                <c:pt idx="1">
                  <c:v>49721.864671499621</c:v>
                </c:pt>
                <c:pt idx="2">
                  <c:v>80847.56630600708</c:v>
                </c:pt>
                <c:pt idx="3">
                  <c:v>37438.172617964185</c:v>
                </c:pt>
                <c:pt idx="4">
                  <c:v>38944.319719001476</c:v>
                </c:pt>
                <c:pt idx="5">
                  <c:v>246921.67810336311</c:v>
                </c:pt>
                <c:pt idx="6">
                  <c:v>248737</c:v>
                </c:pt>
                <c:pt idx="7">
                  <c:v>343278</c:v>
                </c:pt>
                <c:pt idx="8">
                  <c:v>267861</c:v>
                </c:pt>
                <c:pt idx="9">
                  <c:v>310223</c:v>
                </c:pt>
                <c:pt idx="10">
                  <c:v>302144</c:v>
                </c:pt>
                <c:pt idx="11">
                  <c:v>237341</c:v>
                </c:pt>
                <c:pt idx="12">
                  <c:v>299907</c:v>
                </c:pt>
                <c:pt idx="13">
                  <c:v>307863</c:v>
                </c:pt>
                <c:pt idx="14">
                  <c:v>259356</c:v>
                </c:pt>
                <c:pt idx="15">
                  <c:v>269622</c:v>
                </c:pt>
                <c:pt idx="16">
                  <c:v>203371</c:v>
                </c:pt>
                <c:pt idx="17">
                  <c:v>227019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0.75</c:v>
                </c:pt>
                <c:pt idx="1">
                  <c:v>0.92</c:v>
                </c:pt>
                <c:pt idx="2">
                  <c:v>0.76</c:v>
                </c:pt>
                <c:pt idx="3">
                  <c:v>0.79</c:v>
                </c:pt>
                <c:pt idx="4">
                  <c:v>1.1100000000000001</c:v>
                </c:pt>
                <c:pt idx="5">
                  <c:v>1.69</c:v>
                </c:pt>
                <c:pt idx="6">
                  <c:v>0.84</c:v>
                </c:pt>
                <c:pt idx="7">
                  <c:v>1.1599999999999999</c:v>
                </c:pt>
                <c:pt idx="8">
                  <c:v>0.92</c:v>
                </c:pt>
                <c:pt idx="9">
                  <c:v>1.28</c:v>
                </c:pt>
                <c:pt idx="10">
                  <c:v>1.1200000000000001</c:v>
                </c:pt>
                <c:pt idx="11">
                  <c:v>1.02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0.74</c:v>
                </c:pt>
                <c:pt idx="1">
                  <c:v>0.75</c:v>
                </c:pt>
                <c:pt idx="2">
                  <c:v>0.81</c:v>
                </c:pt>
                <c:pt idx="3">
                  <c:v>0.83</c:v>
                </c:pt>
                <c:pt idx="4">
                  <c:v>0.81</c:v>
                </c:pt>
                <c:pt idx="5">
                  <c:v>0.98</c:v>
                </c:pt>
                <c:pt idx="6">
                  <c:v>0.98</c:v>
                </c:pt>
                <c:pt idx="7">
                  <c:v>0.99</c:v>
                </c:pt>
                <c:pt idx="8">
                  <c:v>1.41</c:v>
                </c:pt>
                <c:pt idx="9">
                  <c:v>1.29</c:v>
                </c:pt>
                <c:pt idx="10">
                  <c:v>0.97</c:v>
                </c:pt>
                <c:pt idx="11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0.81</c:v>
                </c:pt>
                <c:pt idx="4">
                  <c:v>1.1299999999999999</c:v>
                </c:pt>
                <c:pt idx="5">
                  <c:v>0.89</c:v>
                </c:pt>
                <c:pt idx="6">
                  <c:v>1.04</c:v>
                </c:pt>
                <c:pt idx="7">
                  <c:v>1.02</c:v>
                </c:pt>
                <c:pt idx="8">
                  <c:v>0.81</c:v>
                </c:pt>
                <c:pt idx="9">
                  <c:v>1.0900000000000001</c:v>
                </c:pt>
                <c:pt idx="10">
                  <c:v>1.28</c:v>
                </c:pt>
                <c:pt idx="11">
                  <c:v>1.1100000000000001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0.87120403111415357</c:v>
                </c:pt>
                <c:pt idx="1">
                  <c:v>0.91680781829550351</c:v>
                </c:pt>
                <c:pt idx="2">
                  <c:v>0.89085348813009269</c:v>
                </c:pt>
                <c:pt idx="3">
                  <c:v>0.90579480141256319</c:v>
                </c:pt>
                <c:pt idx="4">
                  <c:v>1.0067872585967734</c:v>
                </c:pt>
                <c:pt idx="5">
                  <c:v>1.0906654202184169</c:v>
                </c:pt>
                <c:pt idx="6">
                  <c:v>0.97541002474243044</c:v>
                </c:pt>
                <c:pt idx="7">
                  <c:v>1.0275690597365175</c:v>
                </c:pt>
                <c:pt idx="8">
                  <c:v>1.0233286231966712</c:v>
                </c:pt>
                <c:pt idx="9">
                  <c:v>1.1089778920998992</c:v>
                </c:pt>
                <c:pt idx="10">
                  <c:v>1.0620559266384957</c:v>
                </c:pt>
                <c:pt idx="11">
                  <c:v>1.1205456558184834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8839999437332153"/>
          <c:min val="0.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-0.16034131775331695</c:v>
                </c:pt>
                <c:pt idx="1">
                  <c:v>-0.16190664011213229</c:v>
                </c:pt>
                <c:pt idx="2">
                  <c:v>1.4352536987226383E-2</c:v>
                </c:pt>
                <c:pt idx="3">
                  <c:v>-4.1524247721485441E-2</c:v>
                </c:pt>
                <c:pt idx="4">
                  <c:v>-2.2047500466640946E-2</c:v>
                </c:pt>
                <c:pt idx="5">
                  <c:v>-0.11457218775809475</c:v>
                </c:pt>
                <c:pt idx="6">
                  <c:v>-0.24496311723768538</c:v>
                </c:pt>
                <c:pt idx="7">
                  <c:v>-0.29460441106160962</c:v>
                </c:pt>
                <c:pt idx="8">
                  <c:v>-0.23057652192945333</c:v>
                </c:pt>
                <c:pt idx="9">
                  <c:v>-0.19744221440570442</c:v>
                </c:pt>
                <c:pt idx="10">
                  <c:v>-3.7440451809545583E-2</c:v>
                </c:pt>
                <c:pt idx="11">
                  <c:v>-7.9345319647012302E-2</c:v>
                </c:pt>
                <c:pt idx="12">
                  <c:v>0.20237585185062912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-6.3730128091825544E-2</c:v>
                </c:pt>
                <c:pt idx="1">
                  <c:v>-6.384735682994136E-2</c:v>
                </c:pt>
                <c:pt idx="2">
                  <c:v>2.0253657035990358E-2</c:v>
                </c:pt>
                <c:pt idx="3">
                  <c:v>-9.9555864486871815E-2</c:v>
                </c:pt>
                <c:pt idx="4">
                  <c:v>-8.9583946948460613E-2</c:v>
                </c:pt>
                <c:pt idx="5">
                  <c:v>-5.5753314392029463E-2</c:v>
                </c:pt>
                <c:pt idx="6">
                  <c:v>-0.15467568911572527</c:v>
                </c:pt>
                <c:pt idx="7">
                  <c:v>-0.17569051692381177</c:v>
                </c:pt>
                <c:pt idx="8">
                  <c:v>-0.17808996777118713</c:v>
                </c:pt>
                <c:pt idx="9">
                  <c:v>-0.21998062994838952</c:v>
                </c:pt>
                <c:pt idx="10">
                  <c:v>-0.17474058827658467</c:v>
                </c:pt>
                <c:pt idx="11">
                  <c:v>-0.16252531465800624</c:v>
                </c:pt>
                <c:pt idx="12">
                  <c:v>-5.1144931571799668E-2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-0.12744750937544902</c:v>
                </c:pt>
                <c:pt idx="1">
                  <c:v>-0.1317126338120953</c:v>
                </c:pt>
                <c:pt idx="2">
                  <c:v>-8.7645150565449859E-2</c:v>
                </c:pt>
                <c:pt idx="3">
                  <c:v>-3.3715742736207699E-2</c:v>
                </c:pt>
                <c:pt idx="4">
                  <c:v>-4.2109988492121997E-2</c:v>
                </c:pt>
                <c:pt idx="5">
                  <c:v>-2.3931244215048664E-2</c:v>
                </c:pt>
                <c:pt idx="6">
                  <c:v>-0.10834514976304799</c:v>
                </c:pt>
                <c:pt idx="7">
                  <c:v>-0.12301027241523366</c:v>
                </c:pt>
                <c:pt idx="8">
                  <c:v>-8.8937585742874248E-2</c:v>
                </c:pt>
                <c:pt idx="9">
                  <c:v>-0.16877543867671763</c:v>
                </c:pt>
                <c:pt idx="10">
                  <c:v>-0.13691706319252972</c:v>
                </c:pt>
                <c:pt idx="11">
                  <c:v>-0.11391373588174813</c:v>
                </c:pt>
                <c:pt idx="12">
                  <c:v>-0.1036381040455655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-5.1499394256647291E-2</c:v>
                </c:pt>
                <c:pt idx="1">
                  <c:v>-5.1499394256647291E-2</c:v>
                </c:pt>
                <c:pt idx="2">
                  <c:v>-5.1499394256647291E-2</c:v>
                </c:pt>
                <c:pt idx="3">
                  <c:v>-5.1499394256647291E-2</c:v>
                </c:pt>
                <c:pt idx="4">
                  <c:v>-5.1499394256647291E-2</c:v>
                </c:pt>
                <c:pt idx="5">
                  <c:v>-5.1499394256647291E-2</c:v>
                </c:pt>
                <c:pt idx="6">
                  <c:v>-5.1499394256647291E-2</c:v>
                </c:pt>
                <c:pt idx="7">
                  <c:v>-5.1499394256647291E-2</c:v>
                </c:pt>
                <c:pt idx="8">
                  <c:v>-5.1499394256647291E-2</c:v>
                </c:pt>
                <c:pt idx="9">
                  <c:v>-5.1499394256647291E-2</c:v>
                </c:pt>
                <c:pt idx="10">
                  <c:v>-5.1499394256647291E-2</c:v>
                </c:pt>
                <c:pt idx="11">
                  <c:v>-5.1499394256647291E-2</c:v>
                </c:pt>
                <c:pt idx="12">
                  <c:v>-5.1499394256647291E-2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-0.34938816208230938</c:v>
                </c:pt>
                <c:pt idx="1">
                  <c:v>-0.32238930093642248</c:v>
                </c:pt>
                <c:pt idx="2">
                  <c:v>-0.28938782424852572</c:v>
                </c:pt>
                <c:pt idx="3">
                  <c:v>3.0449928614242339E-2</c:v>
                </c:pt>
                <c:pt idx="4">
                  <c:v>-2.3748275154294118E-2</c:v>
                </c:pt>
                <c:pt idx="5">
                  <c:v>-1.5054451157647364E-2</c:v>
                </c:pt>
                <c:pt idx="6">
                  <c:v>2.8563537608585765E-3</c:v>
                </c:pt>
                <c:pt idx="7">
                  <c:v>1.8865248543146418E-2</c:v>
                </c:pt>
                <c:pt idx="8">
                  <c:v>2.5381303619379958E-2</c:v>
                </c:pt>
                <c:pt idx="9">
                  <c:v>-0.16034131775331695</c:v>
                </c:pt>
                <c:pt idx="10">
                  <c:v>-0.16190664011213229</c:v>
                </c:pt>
                <c:pt idx="11">
                  <c:v>1.4352536987226383E-2</c:v>
                </c:pt>
                <c:pt idx="12">
                  <c:v>-4.1524247721485441E-2</c:v>
                </c:pt>
                <c:pt idx="13">
                  <c:v>-2.2047500466640946E-2</c:v>
                </c:pt>
                <c:pt idx="14">
                  <c:v>-0.11457218775809475</c:v>
                </c:pt>
                <c:pt idx="15">
                  <c:v>-0.24496311723768538</c:v>
                </c:pt>
                <c:pt idx="16">
                  <c:v>-0.29460441106160962</c:v>
                </c:pt>
                <c:pt idx="17">
                  <c:v>-0.23057652192945333</c:v>
                </c:pt>
                <c:pt idx="18">
                  <c:v>-0.19744221440570442</c:v>
                </c:pt>
                <c:pt idx="19">
                  <c:v>-3.7440451809545583E-2</c:v>
                </c:pt>
                <c:pt idx="20">
                  <c:v>-7.9345319647012302E-2</c:v>
                </c:pt>
                <c:pt idx="21">
                  <c:v>0.20237585185062912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-0.18159898849877509</c:v>
                </c:pt>
                <c:pt idx="4">
                  <c:v>-0.18119240710167306</c:v>
                </c:pt>
                <c:pt idx="5">
                  <c:v>-0.16151341674516151</c:v>
                </c:pt>
                <c:pt idx="6">
                  <c:v>1.5756943784593469E-2</c:v>
                </c:pt>
                <c:pt idx="7">
                  <c:v>-4.3385032592414552E-3</c:v>
                </c:pt>
                <c:pt idx="8">
                  <c:v>2.7390961478273024E-3</c:v>
                </c:pt>
                <c:pt idx="9">
                  <c:v>-6.3730128091825544E-2</c:v>
                </c:pt>
                <c:pt idx="10">
                  <c:v>-6.384735682994136E-2</c:v>
                </c:pt>
                <c:pt idx="11">
                  <c:v>2.0253657035990358E-2</c:v>
                </c:pt>
                <c:pt idx="12">
                  <c:v>-9.9555864486871815E-2</c:v>
                </c:pt>
                <c:pt idx="13">
                  <c:v>-8.9583946948460613E-2</c:v>
                </c:pt>
                <c:pt idx="14">
                  <c:v>-5.5753314392029463E-2</c:v>
                </c:pt>
                <c:pt idx="15">
                  <c:v>-0.15467568911572527</c:v>
                </c:pt>
                <c:pt idx="16">
                  <c:v>-0.17569051692381177</c:v>
                </c:pt>
                <c:pt idx="17">
                  <c:v>-0.17808996777118713</c:v>
                </c:pt>
                <c:pt idx="18">
                  <c:v>-0.21998062994838952</c:v>
                </c:pt>
                <c:pt idx="19">
                  <c:v>-0.17474058827658467</c:v>
                </c:pt>
                <c:pt idx="20">
                  <c:v>-0.16252531465800624</c:v>
                </c:pt>
                <c:pt idx="21">
                  <c:v>-5.1144931571799668E-2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-0.12744750937544902</c:v>
                </c:pt>
                <c:pt idx="10">
                  <c:v>-0.1317126338120953</c:v>
                </c:pt>
                <c:pt idx="11">
                  <c:v>-8.7645150565449859E-2</c:v>
                </c:pt>
                <c:pt idx="12">
                  <c:v>-3.3715742736207699E-2</c:v>
                </c:pt>
                <c:pt idx="13">
                  <c:v>-4.2109988492121997E-2</c:v>
                </c:pt>
                <c:pt idx="14">
                  <c:v>-2.3931244215048664E-2</c:v>
                </c:pt>
                <c:pt idx="15">
                  <c:v>-0.10834514976304799</c:v>
                </c:pt>
                <c:pt idx="16">
                  <c:v>-0.12301027241523366</c:v>
                </c:pt>
                <c:pt idx="17">
                  <c:v>-8.8937585742874248E-2</c:v>
                </c:pt>
                <c:pt idx="18">
                  <c:v>-0.16877543867671763</c:v>
                </c:pt>
                <c:pt idx="19">
                  <c:v>-0.13691706319252972</c:v>
                </c:pt>
                <c:pt idx="20">
                  <c:v>-0.11391373588174813</c:v>
                </c:pt>
                <c:pt idx="21">
                  <c:v>-0.1036381040455655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-0.1032626142324693</c:v>
                </c:pt>
                <c:pt idx="1">
                  <c:v>-0.1032626142324693</c:v>
                </c:pt>
                <c:pt idx="2">
                  <c:v>-0.1032626142324693</c:v>
                </c:pt>
                <c:pt idx="3">
                  <c:v>-0.1032626142324693</c:v>
                </c:pt>
                <c:pt idx="4">
                  <c:v>-0.1032626142324693</c:v>
                </c:pt>
                <c:pt idx="5">
                  <c:v>-0.1032626142324693</c:v>
                </c:pt>
                <c:pt idx="6">
                  <c:v>-0.1032626142324693</c:v>
                </c:pt>
                <c:pt idx="7">
                  <c:v>-0.1032626142324693</c:v>
                </c:pt>
                <c:pt idx="8">
                  <c:v>-0.1032626142324693</c:v>
                </c:pt>
                <c:pt idx="9">
                  <c:v>-0.1032626142324693</c:v>
                </c:pt>
                <c:pt idx="10">
                  <c:v>-0.1032626142324693</c:v>
                </c:pt>
                <c:pt idx="11">
                  <c:v>-0.1032626142324693</c:v>
                </c:pt>
                <c:pt idx="12">
                  <c:v>-0.1032626142324693</c:v>
                </c:pt>
                <c:pt idx="13">
                  <c:v>-0.1032626142324693</c:v>
                </c:pt>
                <c:pt idx="14">
                  <c:v>-0.1032626142324693</c:v>
                </c:pt>
                <c:pt idx="15">
                  <c:v>-0.1032626142324693</c:v>
                </c:pt>
                <c:pt idx="16">
                  <c:v>-0.1032626142324693</c:v>
                </c:pt>
                <c:pt idx="17">
                  <c:v>-0.1032626142324693</c:v>
                </c:pt>
                <c:pt idx="18">
                  <c:v>-0.1032626142324693</c:v>
                </c:pt>
                <c:pt idx="19">
                  <c:v>-0.1032626142324693</c:v>
                </c:pt>
                <c:pt idx="20">
                  <c:v>-0.1032626142324693</c:v>
                </c:pt>
                <c:pt idx="21">
                  <c:v>-0.1032626142324693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-0.38999998569488525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42.919151732377529</c:v>
                </c:pt>
                <c:pt idx="1">
                  <c:v>59.249342218400699</c:v>
                </c:pt>
                <c:pt idx="2">
                  <c:v>89.537532573289894</c:v>
                </c:pt>
                <c:pt idx="3">
                  <c:v>44.010058873002535</c:v>
                </c:pt>
                <c:pt idx="4">
                  <c:v>60.316068003487331</c:v>
                </c:pt>
                <c:pt idx="5">
                  <c:v>47.366209964412811</c:v>
                </c:pt>
                <c:pt idx="6">
                  <c:v>65.219232158988262</c:v>
                </c:pt>
                <c:pt idx="7">
                  <c:v>56.678354661791616</c:v>
                </c:pt>
                <c:pt idx="8">
                  <c:v>50.870728417266207</c:v>
                </c:pt>
                <c:pt idx="9">
                  <c:v>37.081789568345329</c:v>
                </c:pt>
                <c:pt idx="10">
                  <c:v>45.064696832579187</c:v>
                </c:pt>
                <c:pt idx="11">
                  <c:v>36.92910233393178</c:v>
                </c:pt>
                <c:pt idx="12">
                  <c:v>40.001751827104876</c:v>
                </c:pt>
                <c:pt idx="13">
                  <c:v>38.651486387577066</c:v>
                </c:pt>
                <c:pt idx="14">
                  <c:v>46.072972042039574</c:v>
                </c:pt>
                <c:pt idx="15">
                  <c:v>45.916806568230278</c:v>
                </c:pt>
                <c:pt idx="16">
                  <c:v>45.772098230480971</c:v>
                </c:pt>
                <c:pt idx="17">
                  <c:v>64.622452870324537</c:v>
                </c:pt>
                <c:pt idx="18">
                  <c:v>58.400846388996591</c:v>
                </c:pt>
                <c:pt idx="19">
                  <c:v>43.692323964410917</c:v>
                </c:pt>
                <c:pt idx="20">
                  <c:v>71.168632311625956</c:v>
                </c:pt>
                <c:pt idx="21">
                  <c:v>32.49841373087169</c:v>
                </c:pt>
                <c:pt idx="22">
                  <c:v>32.72631909159788</c:v>
                </c:pt>
                <c:pt idx="23">
                  <c:v>34.758119102387823</c:v>
                </c:pt>
                <c:pt idx="24">
                  <c:v>34.759223029625488</c:v>
                </c:pt>
                <c:pt idx="25">
                  <c:v>47.723898234394554</c:v>
                </c:pt>
                <c:pt idx="26">
                  <c:v>37.06392694063927</c:v>
                </c:pt>
                <c:pt idx="27">
                  <c:v>42.973126471810502</c:v>
                </c:pt>
                <c:pt idx="28">
                  <c:v>41.941143808995001</c:v>
                </c:pt>
                <c:pt idx="29">
                  <c:v>33.106569953968474</c:v>
                </c:pt>
                <c:pt idx="30">
                  <c:v>44.019815059445179</c:v>
                </c:pt>
                <c:pt idx="31">
                  <c:v>51.148529656089053</c:v>
                </c:pt>
                <c:pt idx="32">
                  <c:v>43.884263959390864</c:v>
                </c:pt>
                <c:pt idx="33">
                  <c:v>46.809375000000003</c:v>
                </c:pt>
                <c:pt idx="34">
                  <c:v>34.877551020408163</c:v>
                </c:pt>
                <c:pt idx="35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55.452130706127321</c:v>
                </c:pt>
                <c:pt idx="2">
                  <c:v>54.848448360529638</c:v>
                </c:pt>
                <c:pt idx="3">
                  <c:v>54.251338032449453</c:v>
                </c:pt>
                <c:pt idx="4">
                  <c:v>53.660728175295205</c:v>
                </c:pt>
                <c:pt idx="5">
                  <c:v>53.076548021370769</c:v>
                </c:pt>
                <c:pt idx="6">
                  <c:v>52.498727573395961</c:v>
                </c:pt>
                <c:pt idx="7">
                  <c:v>51.927197596119527</c:v>
                </c:pt>
                <c:pt idx="8">
                  <c:v>51.36188960802307</c:v>
                </c:pt>
                <c:pt idx="9">
                  <c:v>50.802735873115708</c:v>
                </c:pt>
                <c:pt idx="10">
                  <c:v>50.249669392817673</c:v>
                </c:pt>
                <c:pt idx="11">
                  <c:v>49.70262389793259</c:v>
                </c:pt>
                <c:pt idx="12">
                  <c:v>49.16153384070688</c:v>
                </c:pt>
                <c:pt idx="13">
                  <c:v>48.626334386975884</c:v>
                </c:pt>
                <c:pt idx="14">
                  <c:v>48.096961408395174</c:v>
                </c:pt>
                <c:pt idx="15">
                  <c:v>47.573351474756784</c:v>
                </c:pt>
                <c:pt idx="16">
                  <c:v>47.055441846388739</c:v>
                </c:pt>
                <c:pt idx="17">
                  <c:v>46.543170466637669</c:v>
                </c:pt>
                <c:pt idx="18">
                  <c:v>46.036475954432916</c:v>
                </c:pt>
                <c:pt idx="19">
                  <c:v>45.535297596931969</c:v>
                </c:pt>
                <c:pt idx="20">
                  <c:v>45.039575342245563</c:v>
                </c:pt>
                <c:pt idx="21">
                  <c:v>44.549249792242335</c:v>
                </c:pt>
                <c:pt idx="22">
                  <c:v>44.06426219543161</c:v>
                </c:pt>
                <c:pt idx="23">
                  <c:v>43.584554439923643</c:v>
                </c:pt>
                <c:pt idx="24">
                  <c:v>43.110069046466649</c:v>
                </c:pt>
                <c:pt idx="25">
                  <c:v>42.640749161559583</c:v>
                </c:pt>
                <c:pt idx="26">
                  <c:v>42.176538550639819</c:v>
                </c:pt>
                <c:pt idx="27">
                  <c:v>41.71738159134501</c:v>
                </c:pt>
                <c:pt idx="28">
                  <c:v>41.26322326684847</c:v>
                </c:pt>
                <c:pt idx="29">
                  <c:v>40.814009159266817</c:v>
                </c:pt>
                <c:pt idx="30">
                  <c:v>40.369685443139709</c:v>
                </c:pt>
                <c:pt idx="31">
                  <c:v>39.930198878980249</c:v>
                </c:pt>
                <c:pt idx="32">
                  <c:v>39.495496806895893</c:v>
                </c:pt>
                <c:pt idx="33">
                  <c:v>39.065527140278554</c:v>
                </c:pt>
                <c:pt idx="34">
                  <c:v>38.640238359563618</c:v>
                </c:pt>
                <c:pt idx="35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94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42.919151732377529</c:v>
                </c:pt>
                <c:pt idx="1">
                  <c:v>59.249342218400699</c:v>
                </c:pt>
                <c:pt idx="2">
                  <c:v>89.537532573289894</c:v>
                </c:pt>
                <c:pt idx="3">
                  <c:v>44.010058873002535</c:v>
                </c:pt>
                <c:pt idx="4">
                  <c:v>60.316068003487331</c:v>
                </c:pt>
                <c:pt idx="5">
                  <c:v>47.366209964412811</c:v>
                </c:pt>
                <c:pt idx="6">
                  <c:v>65.219232158988262</c:v>
                </c:pt>
                <c:pt idx="7">
                  <c:v>56.678354661791616</c:v>
                </c:pt>
                <c:pt idx="8">
                  <c:v>50.870728417266207</c:v>
                </c:pt>
                <c:pt idx="9">
                  <c:v>37.081789568345329</c:v>
                </c:pt>
                <c:pt idx="10">
                  <c:v>45.064696832579187</c:v>
                </c:pt>
                <c:pt idx="11">
                  <c:v>36.92910233393178</c:v>
                </c:pt>
                <c:pt idx="12">
                  <c:v>40.001751827104876</c:v>
                </c:pt>
                <c:pt idx="13">
                  <c:v>38.651486387577066</c:v>
                </c:pt>
                <c:pt idx="14">
                  <c:v>46.072972042039574</c:v>
                </c:pt>
                <c:pt idx="15">
                  <c:v>45.916806568230278</c:v>
                </c:pt>
                <c:pt idx="16">
                  <c:v>45.772098230480971</c:v>
                </c:pt>
                <c:pt idx="17">
                  <c:v>64.622452870324537</c:v>
                </c:pt>
                <c:pt idx="18">
                  <c:v>58.400846388996591</c:v>
                </c:pt>
                <c:pt idx="19">
                  <c:v>43.692323964410917</c:v>
                </c:pt>
                <c:pt idx="20">
                  <c:v>71.168632311625956</c:v>
                </c:pt>
                <c:pt idx="21">
                  <c:v>32.49841373087169</c:v>
                </c:pt>
                <c:pt idx="22">
                  <c:v>32.72631909159788</c:v>
                </c:pt>
                <c:pt idx="23">
                  <c:v>34.758119102387823</c:v>
                </c:pt>
                <c:pt idx="24">
                  <c:v>34.759223029625488</c:v>
                </c:pt>
                <c:pt idx="25">
                  <c:v>47.723898234394554</c:v>
                </c:pt>
                <c:pt idx="26">
                  <c:v>37.06392694063927</c:v>
                </c:pt>
                <c:pt idx="27">
                  <c:v>42.973126471810502</c:v>
                </c:pt>
                <c:pt idx="28">
                  <c:v>41.941143808995001</c:v>
                </c:pt>
                <c:pt idx="29">
                  <c:v>33.106569953968474</c:v>
                </c:pt>
                <c:pt idx="30">
                  <c:v>44.019815059445179</c:v>
                </c:pt>
                <c:pt idx="31">
                  <c:v>51.148529656089053</c:v>
                </c:pt>
                <c:pt idx="32">
                  <c:v>43.884263959390864</c:v>
                </c:pt>
                <c:pt idx="33">
                  <c:v>46.809375000000003</c:v>
                </c:pt>
                <c:pt idx="34">
                  <c:v>34.877551020408163</c:v>
                </c:pt>
                <c:pt idx="35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55.452130706127321</c:v>
                </c:pt>
                <c:pt idx="2">
                  <c:v>54.848448360529638</c:v>
                </c:pt>
                <c:pt idx="3">
                  <c:v>54.251338032449453</c:v>
                </c:pt>
                <c:pt idx="4">
                  <c:v>53.660728175295205</c:v>
                </c:pt>
                <c:pt idx="5">
                  <c:v>53.076548021370769</c:v>
                </c:pt>
                <c:pt idx="6">
                  <c:v>52.498727573395961</c:v>
                </c:pt>
                <c:pt idx="7">
                  <c:v>51.927197596119527</c:v>
                </c:pt>
                <c:pt idx="8">
                  <c:v>51.36188960802307</c:v>
                </c:pt>
                <c:pt idx="9">
                  <c:v>50.802735873115708</c:v>
                </c:pt>
                <c:pt idx="10">
                  <c:v>50.249669392817673</c:v>
                </c:pt>
                <c:pt idx="11">
                  <c:v>49.70262389793259</c:v>
                </c:pt>
                <c:pt idx="12">
                  <c:v>49.16153384070688</c:v>
                </c:pt>
                <c:pt idx="13">
                  <c:v>48.626334386975884</c:v>
                </c:pt>
                <c:pt idx="14">
                  <c:v>48.096961408395174</c:v>
                </c:pt>
                <c:pt idx="15">
                  <c:v>47.573351474756784</c:v>
                </c:pt>
                <c:pt idx="16">
                  <c:v>47.055441846388739</c:v>
                </c:pt>
                <c:pt idx="17">
                  <c:v>46.543170466637669</c:v>
                </c:pt>
                <c:pt idx="18">
                  <c:v>46.036475954432916</c:v>
                </c:pt>
                <c:pt idx="19">
                  <c:v>45.535297596931969</c:v>
                </c:pt>
                <c:pt idx="20">
                  <c:v>45.039575342245563</c:v>
                </c:pt>
                <c:pt idx="21">
                  <c:v>44.549249792242335</c:v>
                </c:pt>
                <c:pt idx="22">
                  <c:v>44.06426219543161</c:v>
                </c:pt>
                <c:pt idx="23">
                  <c:v>43.584554439923643</c:v>
                </c:pt>
                <c:pt idx="24">
                  <c:v>43.110069046466649</c:v>
                </c:pt>
                <c:pt idx="25">
                  <c:v>42.640749161559583</c:v>
                </c:pt>
                <c:pt idx="26">
                  <c:v>42.176538550639819</c:v>
                </c:pt>
                <c:pt idx="27">
                  <c:v>41.71738159134501</c:v>
                </c:pt>
                <c:pt idx="28">
                  <c:v>41.26322326684847</c:v>
                </c:pt>
                <c:pt idx="29">
                  <c:v>40.814009159266817</c:v>
                </c:pt>
                <c:pt idx="30">
                  <c:v>40.369685443139709</c:v>
                </c:pt>
                <c:pt idx="31">
                  <c:v>39.930198878980249</c:v>
                </c:pt>
                <c:pt idx="32">
                  <c:v>39.495496806895893</c:v>
                </c:pt>
                <c:pt idx="33">
                  <c:v>39.065527140278554</c:v>
                </c:pt>
                <c:pt idx="34">
                  <c:v>38.640238359563618</c:v>
                </c:pt>
                <c:pt idx="35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44.750526417688754</c:v>
                </c:pt>
                <c:pt idx="11">
                  <c:v>44.634937050378376</c:v>
                </c:pt>
                <c:pt idx="12">
                  <c:v>44.519646247194615</c:v>
                </c:pt>
                <c:pt idx="13">
                  <c:v>44.404653236954609</c:v>
                </c:pt>
                <c:pt idx="14">
                  <c:v>44.289957250467452</c:v>
                </c:pt>
                <c:pt idx="15">
                  <c:v>44.175557520529047</c:v>
                </c:pt>
                <c:pt idx="16">
                  <c:v>44.061453281916968</c:v>
                </c:pt>
                <c:pt idx="17">
                  <c:v>43.94764377138528</c:v>
                </c:pt>
                <c:pt idx="18">
                  <c:v>43.834128227659562</c:v>
                </c:pt>
                <c:pt idx="19">
                  <c:v>43.720905891431705</c:v>
                </c:pt>
                <c:pt idx="20">
                  <c:v>43.607976005354892</c:v>
                </c:pt>
                <c:pt idx="21">
                  <c:v>43.4953378140385</c:v>
                </c:pt>
                <c:pt idx="22">
                  <c:v>43.382990564043077</c:v>
                </c:pt>
                <c:pt idx="23">
                  <c:v>43.270933503875227</c:v>
                </c:pt>
                <c:pt idx="24">
                  <c:v>43.159165883982716</c:v>
                </c:pt>
                <c:pt idx="25">
                  <c:v>43.047686956749331</c:v>
                </c:pt>
                <c:pt idx="26">
                  <c:v>42.936495976489958</c:v>
                </c:pt>
                <c:pt idx="27">
                  <c:v>42.825592199445559</c:v>
                </c:pt>
                <c:pt idx="28">
                  <c:v>42.714974883778197</c:v>
                </c:pt>
                <c:pt idx="29">
                  <c:v>42.604643289566113</c:v>
                </c:pt>
                <c:pt idx="30">
                  <c:v>42.494596678798679</c:v>
                </c:pt>
                <c:pt idx="31">
                  <c:v>42.384834315371585</c:v>
                </c:pt>
                <c:pt idx="32">
                  <c:v>42.275355465081851</c:v>
                </c:pt>
                <c:pt idx="33">
                  <c:v>42.166159395622913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49.507260590481984</c:v>
                </c:pt>
                <c:pt idx="17">
                  <c:v>48.835056638596747</c:v>
                </c:pt>
                <c:pt idx="18">
                  <c:v>48.171979795493975</c:v>
                </c:pt>
                <c:pt idx="19">
                  <c:v>47.517906134328967</c:v>
                </c:pt>
                <c:pt idx="20">
                  <c:v>46.872713410921691</c:v>
                </c:pt>
                <c:pt idx="21">
                  <c:v>46.236281040909617</c:v>
                </c:pt>
                <c:pt idx="22">
                  <c:v>45.608490077211052</c:v>
                </c:pt>
                <c:pt idx="23">
                  <c:v>44.989223187794146</c:v>
                </c:pt>
                <c:pt idx="24">
                  <c:v>44.378364633748127</c:v>
                </c:pt>
                <c:pt idx="25">
                  <c:v>43.775800247651908</c:v>
                </c:pt>
                <c:pt idx="26">
                  <c:v>43.181417412236719</c:v>
                </c:pt>
                <c:pt idx="27">
                  <c:v>42.595105039338186</c:v>
                </c:pt>
                <c:pt idx="28">
                  <c:v>42.016753549134471</c:v>
                </c:pt>
                <c:pt idx="29">
                  <c:v>41.446254849666026</c:v>
                </c:pt>
                <c:pt idx="30">
                  <c:v>40.883502316633638</c:v>
                </c:pt>
                <c:pt idx="31">
                  <c:v>40.328390773470737</c:v>
                </c:pt>
                <c:pt idx="32">
                  <c:v>39.780816471686201</c:v>
                </c:pt>
                <c:pt idx="33">
                  <c:v>39.240677071474082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94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9.5342041170502934E-2</c:v>
                </c:pt>
                <c:pt idx="1">
                  <c:v>8.995138093113221E-2</c:v>
                </c:pt>
                <c:pt idx="2">
                  <c:v>0.14772562148510573</c:v>
                </c:pt>
                <c:pt idx="3">
                  <c:v>6.7641161427237265E-2</c:v>
                </c:pt>
                <c:pt idx="4">
                  <c:v>9.9453545379390773E-2</c:v>
                </c:pt>
                <c:pt idx="5">
                  <c:v>0.12470271725269332</c:v>
                </c:pt>
                <c:pt idx="6">
                  <c:v>0.18819312465064167</c:v>
                </c:pt>
                <c:pt idx="7">
                  <c:v>0.36404977061028126</c:v>
                </c:pt>
                <c:pt idx="8">
                  <c:v>0.41334855403348009</c:v>
                </c:pt>
                <c:pt idx="9">
                  <c:v>1.0120349078819788</c:v>
                </c:pt>
                <c:pt idx="10">
                  <c:v>1.4841823986674054</c:v>
                </c:pt>
                <c:pt idx="11">
                  <c:v>1.518037383177578</c:v>
                </c:pt>
                <c:pt idx="12">
                  <c:v>2.7097005724350254</c:v>
                </c:pt>
                <c:pt idx="13">
                  <c:v>4.2869596278451505</c:v>
                </c:pt>
                <c:pt idx="14">
                  <c:v>4.3852876480541338</c:v>
                </c:pt>
                <c:pt idx="15">
                  <c:v>5.5291510416666725</c:v>
                </c:pt>
                <c:pt idx="16">
                  <c:v>12.641054707597323</c:v>
                </c:pt>
                <c:pt idx="17">
                  <c:v>31.747438900203672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58.400846388996591</c:v>
                </c:pt>
                <c:pt idx="1">
                  <c:v>43.692323964410917</c:v>
                </c:pt>
                <c:pt idx="2">
                  <c:v>71.168632311625956</c:v>
                </c:pt>
                <c:pt idx="3">
                  <c:v>32.49841373087169</c:v>
                </c:pt>
                <c:pt idx="4">
                  <c:v>32.72631909159788</c:v>
                </c:pt>
                <c:pt idx="5">
                  <c:v>34.758119102387823</c:v>
                </c:pt>
                <c:pt idx="6">
                  <c:v>34.759223029625488</c:v>
                </c:pt>
                <c:pt idx="7">
                  <c:v>47.723898234394554</c:v>
                </c:pt>
                <c:pt idx="8">
                  <c:v>37.06392694063927</c:v>
                </c:pt>
                <c:pt idx="9">
                  <c:v>42.973126471810502</c:v>
                </c:pt>
                <c:pt idx="10">
                  <c:v>41.941143808995001</c:v>
                </c:pt>
                <c:pt idx="11">
                  <c:v>33.106569953968474</c:v>
                </c:pt>
                <c:pt idx="12">
                  <c:v>44.019815059445179</c:v>
                </c:pt>
                <c:pt idx="13">
                  <c:v>51.148529656089053</c:v>
                </c:pt>
                <c:pt idx="14">
                  <c:v>43.884263959390864</c:v>
                </c:pt>
                <c:pt idx="15">
                  <c:v>46.809375000000003</c:v>
                </c:pt>
                <c:pt idx="16">
                  <c:v>34.877551020408163</c:v>
                </c:pt>
                <c:pt idx="17">
                  <c:v>38.530040733197559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46.036475954432916</c:v>
                </c:pt>
                <c:pt idx="1">
                  <c:v>45.535297596931969</c:v>
                </c:pt>
                <c:pt idx="2">
                  <c:v>45.039575342245563</c:v>
                </c:pt>
                <c:pt idx="3">
                  <c:v>44.549249792242335</c:v>
                </c:pt>
                <c:pt idx="4">
                  <c:v>44.06426219543161</c:v>
                </c:pt>
                <c:pt idx="5">
                  <c:v>43.584554439923643</c:v>
                </c:pt>
                <c:pt idx="6">
                  <c:v>43.110069046466649</c:v>
                </c:pt>
                <c:pt idx="7">
                  <c:v>42.640749161559583</c:v>
                </c:pt>
                <c:pt idx="8">
                  <c:v>42.176538550639819</c:v>
                </c:pt>
                <c:pt idx="9">
                  <c:v>41.71738159134501</c:v>
                </c:pt>
                <c:pt idx="10">
                  <c:v>41.26322326684847</c:v>
                </c:pt>
                <c:pt idx="11">
                  <c:v>40.814009159266817</c:v>
                </c:pt>
                <c:pt idx="12">
                  <c:v>40.369685443139709</c:v>
                </c:pt>
                <c:pt idx="13">
                  <c:v>39.930198878980249</c:v>
                </c:pt>
                <c:pt idx="14">
                  <c:v>39.495496806895893</c:v>
                </c:pt>
                <c:pt idx="15">
                  <c:v>39.065527140278554</c:v>
                </c:pt>
                <c:pt idx="16">
                  <c:v>38.640238359563618</c:v>
                </c:pt>
                <c:pt idx="17">
                  <c:v>38.219579506056668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43.834128227659562</c:v>
                </c:pt>
                <c:pt idx="1">
                  <c:v>43.720905891431705</c:v>
                </c:pt>
                <c:pt idx="2">
                  <c:v>43.607976005354892</c:v>
                </c:pt>
                <c:pt idx="3">
                  <c:v>43.4953378140385</c:v>
                </c:pt>
                <c:pt idx="4">
                  <c:v>43.382990564043077</c:v>
                </c:pt>
                <c:pt idx="5">
                  <c:v>43.270933503875227</c:v>
                </c:pt>
                <c:pt idx="6">
                  <c:v>43.159165883982716</c:v>
                </c:pt>
                <c:pt idx="7">
                  <c:v>43.047686956749331</c:v>
                </c:pt>
                <c:pt idx="8">
                  <c:v>42.936495976489958</c:v>
                </c:pt>
                <c:pt idx="9">
                  <c:v>42.825592199445559</c:v>
                </c:pt>
                <c:pt idx="10">
                  <c:v>42.714974883778197</c:v>
                </c:pt>
                <c:pt idx="11">
                  <c:v>42.604643289566113</c:v>
                </c:pt>
                <c:pt idx="12">
                  <c:v>42.494596678798679</c:v>
                </c:pt>
                <c:pt idx="13">
                  <c:v>42.384834315371585</c:v>
                </c:pt>
                <c:pt idx="14">
                  <c:v>42.275355465081851</c:v>
                </c:pt>
                <c:pt idx="15">
                  <c:v>42.166159395622913</c:v>
                </c:pt>
                <c:pt idx="16">
                  <c:v>42.057245376579736</c:v>
                </c:pt>
                <c:pt idx="17">
                  <c:v>41.948612679423938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9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0.81729032321652573</c:v>
                </c:pt>
                <c:pt idx="3">
                  <c:v>0.87435376544141896</c:v>
                </c:pt>
                <c:pt idx="4">
                  <c:v>0.90660061020719629</c:v>
                </c:pt>
                <c:pt idx="5">
                  <c:v>0.95760153500233269</c:v>
                </c:pt>
                <c:pt idx="6">
                  <c:v>0.970673232625337</c:v>
                </c:pt>
                <c:pt idx="7">
                  <c:v>0.97702746669683405</c:v>
                </c:pt>
                <c:pt idx="8">
                  <c:v>0.98435125522634026</c:v>
                </c:pt>
                <c:pt idx="9">
                  <c:v>0.99141870751256733</c:v>
                </c:pt>
                <c:pt idx="10">
                  <c:v>0.99532273867438126</c:v>
                </c:pt>
                <c:pt idx="11">
                  <c:v>0.99655321095702043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0.85947419897647237</c:v>
                </c:pt>
                <c:pt idx="3">
                  <c:v>0.89995772050377121</c:v>
                </c:pt>
                <c:pt idx="4">
                  <c:v>0.91875423406052503</c:v>
                </c:pt>
                <c:pt idx="5">
                  <c:v>0.94179918731553347</c:v>
                </c:pt>
                <c:pt idx="6">
                  <c:v>0.95192255738947995</c:v>
                </c:pt>
                <c:pt idx="7">
                  <c:v>0.95797724184092259</c:v>
                </c:pt>
                <c:pt idx="8">
                  <c:v>0.96499730984607868</c:v>
                </c:pt>
                <c:pt idx="9">
                  <c:v>0.96884848382347444</c:v>
                </c:pt>
                <c:pt idx="10">
                  <c:v>0.97206385463862688</c:v>
                </c:pt>
                <c:pt idx="11">
                  <c:v>0.97370073847766125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0.85121462105141532</c:v>
                </c:pt>
                <c:pt idx="3">
                  <c:v>0.91023733573595489</c:v>
                </c:pt>
                <c:pt idx="4">
                  <c:v>0.93567334740051578</c:v>
                </c:pt>
                <c:pt idx="5">
                  <c:v>0.96491593996840952</c:v>
                </c:pt>
                <c:pt idx="6">
                  <c:v>0.97791322960369997</c:v>
                </c:pt>
                <c:pt idx="7">
                  <c:v>0.98349263112655705</c:v>
                </c:pt>
                <c:pt idx="8">
                  <c:v>0.98954921207949142</c:v>
                </c:pt>
                <c:pt idx="9">
                  <c:v>0.99471605067473912</c:v>
                </c:pt>
                <c:pt idx="10">
                  <c:v>0.99756455714073022</c:v>
                </c:pt>
                <c:pt idx="11">
                  <c:v>0.99856535609270136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54209.01</c:v>
                </c:pt>
                <c:pt idx="1">
                  <c:v>25118.140000000003</c:v>
                </c:pt>
                <c:pt idx="2">
                  <c:v>90259.820000000022</c:v>
                </c:pt>
                <c:pt idx="3">
                  <c:v>45288.23000000001</c:v>
                </c:pt>
                <c:pt idx="4">
                  <c:v>43291.640000000014</c:v>
                </c:pt>
                <c:pt idx="5">
                  <c:v>48896.680000000008</c:v>
                </c:pt>
                <c:pt idx="6">
                  <c:v>214940.7999999999</c:v>
                </c:pt>
                <c:pt idx="7">
                  <c:v>218768.76</c:v>
                </c:pt>
                <c:pt idx="8">
                  <c:v>283943.94000000012</c:v>
                </c:pt>
                <c:pt idx="9">
                  <c:v>269690.23000000004</c:v>
                </c:pt>
                <c:pt idx="10">
                  <c:v>358027.36</c:v>
                </c:pt>
                <c:pt idx="11">
                  <c:v>175880.59</c:v>
                </c:pt>
                <c:pt idx="12">
                  <c:v>234488.36000000004</c:v>
                </c:pt>
                <c:pt idx="13">
                  <c:v>316036.46000000008</c:v>
                </c:pt>
                <c:pt idx="14">
                  <c:v>268020.35000000009</c:v>
                </c:pt>
                <c:pt idx="15">
                  <c:v>302948.39000000007</c:v>
                </c:pt>
                <c:pt idx="16">
                  <c:v>322496.55999999994</c:v>
                </c:pt>
                <c:pt idx="17">
                  <c:v>184407.05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67160.97334734608</c:v>
                </c:pt>
                <c:pt idx="1">
                  <c:v>49721.864671499621</c:v>
                </c:pt>
                <c:pt idx="2">
                  <c:v>80847.56630600708</c:v>
                </c:pt>
                <c:pt idx="3">
                  <c:v>37438.172617964185</c:v>
                </c:pt>
                <c:pt idx="4">
                  <c:v>38944.319719001476</c:v>
                </c:pt>
                <c:pt idx="5">
                  <c:v>246921.67810336311</c:v>
                </c:pt>
                <c:pt idx="6">
                  <c:v>248737</c:v>
                </c:pt>
                <c:pt idx="7">
                  <c:v>343278</c:v>
                </c:pt>
                <c:pt idx="8">
                  <c:v>267861</c:v>
                </c:pt>
                <c:pt idx="9">
                  <c:v>310223</c:v>
                </c:pt>
                <c:pt idx="10">
                  <c:v>302144</c:v>
                </c:pt>
                <c:pt idx="11">
                  <c:v>237341</c:v>
                </c:pt>
                <c:pt idx="12">
                  <c:v>299907</c:v>
                </c:pt>
                <c:pt idx="13">
                  <c:v>307863</c:v>
                </c:pt>
                <c:pt idx="14">
                  <c:v>259356</c:v>
                </c:pt>
                <c:pt idx="15">
                  <c:v>269622</c:v>
                </c:pt>
                <c:pt idx="16">
                  <c:v>203371</c:v>
                </c:pt>
                <c:pt idx="17">
                  <c:v>227019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0.94674261714058228</c:v>
                </c:pt>
                <c:pt idx="1">
                  <c:v>1.1240800473283452</c:v>
                </c:pt>
                <c:pt idx="2">
                  <c:v>1.4965122908510113</c:v>
                </c:pt>
                <c:pt idx="3">
                  <c:v>1.0730138934553193</c:v>
                </c:pt>
                <c:pt idx="4">
                  <c:v>1.805379052399031</c:v>
                </c:pt>
                <c:pt idx="5">
                  <c:v>0.58717013097821769</c:v>
                </c:pt>
                <c:pt idx="6">
                  <c:v>0.90987304411261161</c:v>
                </c:pt>
                <c:pt idx="7">
                  <c:v>1.4823841850180073</c:v>
                </c:pt>
                <c:pt idx="8">
                  <c:v>1.0818535870143946</c:v>
                </c:pt>
                <c:pt idx="9">
                  <c:v>1.2356222173862206</c:v>
                </c:pt>
                <c:pt idx="10">
                  <c:v>1.120204612295552</c:v>
                </c:pt>
                <c:pt idx="11">
                  <c:v>1.496488100250289</c:v>
                </c:pt>
                <c:pt idx="12">
                  <c:v>1.6687366912370403</c:v>
                </c:pt>
                <c:pt idx="13">
                  <c:v>1.5293566761252804</c:v>
                </c:pt>
                <c:pt idx="14">
                  <c:v>1.7829285350907123</c:v>
                </c:pt>
                <c:pt idx="15">
                  <c:v>1.6947634876026236</c:v>
                </c:pt>
                <c:pt idx="16">
                  <c:v>1.5955196545352301</c:v>
                </c:pt>
                <c:pt idx="17">
                  <c:v>2.0521898701812109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837</c:v>
                </c:pt>
                <c:pt idx="1">
                  <c:v>2326</c:v>
                </c:pt>
                <c:pt idx="2">
                  <c:v>1228</c:v>
                </c:pt>
                <c:pt idx="3">
                  <c:v>1189</c:v>
                </c:pt>
                <c:pt idx="4">
                  <c:v>1147</c:v>
                </c:pt>
                <c:pt idx="5">
                  <c:v>1124</c:v>
                </c:pt>
                <c:pt idx="6">
                  <c:v>1107</c:v>
                </c:pt>
                <c:pt idx="7">
                  <c:v>1094</c:v>
                </c:pt>
                <c:pt idx="8">
                  <c:v>1112</c:v>
                </c:pt>
                <c:pt idx="9">
                  <c:v>1112</c:v>
                </c:pt>
                <c:pt idx="10">
                  <c:v>1105</c:v>
                </c:pt>
                <c:pt idx="11">
                  <c:v>1114</c:v>
                </c:pt>
                <c:pt idx="12">
                  <c:v>1107</c:v>
                </c:pt>
                <c:pt idx="13">
                  <c:v>1106</c:v>
                </c:pt>
                <c:pt idx="14">
                  <c:v>1102</c:v>
                </c:pt>
                <c:pt idx="15">
                  <c:v>1108</c:v>
                </c:pt>
                <c:pt idx="16">
                  <c:v>1103</c:v>
                </c:pt>
                <c:pt idx="17">
                  <c:v>1145</c:v>
                </c:pt>
                <c:pt idx="18">
                  <c:v>1150</c:v>
                </c:pt>
                <c:pt idx="19">
                  <c:v>1138</c:v>
                </c:pt>
                <c:pt idx="20">
                  <c:v>1136</c:v>
                </c:pt>
                <c:pt idx="21">
                  <c:v>1152</c:v>
                </c:pt>
                <c:pt idx="22">
                  <c:v>1190</c:v>
                </c:pt>
                <c:pt idx="23">
                  <c:v>7104</c:v>
                </c:pt>
                <c:pt idx="24">
                  <c:v>7156</c:v>
                </c:pt>
                <c:pt idx="25">
                  <c:v>7193</c:v>
                </c:pt>
                <c:pt idx="26">
                  <c:v>7227</c:v>
                </c:pt>
                <c:pt idx="27">
                  <c:v>7219</c:v>
                </c:pt>
                <c:pt idx="28">
                  <c:v>7204</c:v>
                </c:pt>
                <c:pt idx="29">
                  <c:v>7169</c:v>
                </c:pt>
                <c:pt idx="30">
                  <c:v>6813</c:v>
                </c:pt>
                <c:pt idx="31">
                  <c:v>6019</c:v>
                </c:pt>
                <c:pt idx="32">
                  <c:v>5910</c:v>
                </c:pt>
                <c:pt idx="33">
                  <c:v>5760</c:v>
                </c:pt>
                <c:pt idx="34">
                  <c:v>5831</c:v>
                </c:pt>
                <c:pt idx="35">
                  <c:v>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-0.34938816208230938</c:v>
                </c:pt>
                <c:pt idx="1">
                  <c:v>-0.32238930093642248</c:v>
                </c:pt>
                <c:pt idx="2">
                  <c:v>-0.28938782424852572</c:v>
                </c:pt>
                <c:pt idx="3">
                  <c:v>3.0449928614242339E-2</c:v>
                </c:pt>
                <c:pt idx="4">
                  <c:v>-2.3748275154294118E-2</c:v>
                </c:pt>
                <c:pt idx="5">
                  <c:v>-1.5054451157647364E-2</c:v>
                </c:pt>
                <c:pt idx="6">
                  <c:v>2.8563537608585765E-3</c:v>
                </c:pt>
                <c:pt idx="7">
                  <c:v>1.8865248543146418E-2</c:v>
                </c:pt>
                <c:pt idx="8">
                  <c:v>2.5381303619379958E-2</c:v>
                </c:pt>
                <c:pt idx="9">
                  <c:v>-0.16034131775331695</c:v>
                </c:pt>
                <c:pt idx="10">
                  <c:v>-0.16190664011213229</c:v>
                </c:pt>
                <c:pt idx="11">
                  <c:v>1.4352536987226383E-2</c:v>
                </c:pt>
                <c:pt idx="12">
                  <c:v>-4.1524247721485441E-2</c:v>
                </c:pt>
                <c:pt idx="13">
                  <c:v>-2.2047500466640946E-2</c:v>
                </c:pt>
                <c:pt idx="14">
                  <c:v>-0.11457218775809475</c:v>
                </c:pt>
                <c:pt idx="15">
                  <c:v>-0.24496311723768538</c:v>
                </c:pt>
                <c:pt idx="16">
                  <c:v>-0.29460441106160962</c:v>
                </c:pt>
                <c:pt idx="17">
                  <c:v>-0.23057652192945333</c:v>
                </c:pt>
                <c:pt idx="18">
                  <c:v>-0.19744221440570442</c:v>
                </c:pt>
                <c:pt idx="19">
                  <c:v>-3.7440451809545583E-2</c:v>
                </c:pt>
                <c:pt idx="20">
                  <c:v>-7.9345319647012302E-2</c:v>
                </c:pt>
                <c:pt idx="21">
                  <c:v>0.20237585185062912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-0.18159898849877509</c:v>
                </c:pt>
                <c:pt idx="4">
                  <c:v>-0.18119240710167306</c:v>
                </c:pt>
                <c:pt idx="5">
                  <c:v>-0.16151341674516151</c:v>
                </c:pt>
                <c:pt idx="6">
                  <c:v>1.5756943784593469E-2</c:v>
                </c:pt>
                <c:pt idx="7">
                  <c:v>-4.3385032592414552E-3</c:v>
                </c:pt>
                <c:pt idx="8">
                  <c:v>2.7390961478273024E-3</c:v>
                </c:pt>
                <c:pt idx="9">
                  <c:v>-6.3730128091825544E-2</c:v>
                </c:pt>
                <c:pt idx="10">
                  <c:v>-6.384735682994136E-2</c:v>
                </c:pt>
                <c:pt idx="11">
                  <c:v>2.0253657035990358E-2</c:v>
                </c:pt>
                <c:pt idx="12">
                  <c:v>-9.9555864486871815E-2</c:v>
                </c:pt>
                <c:pt idx="13">
                  <c:v>-8.9583946948460613E-2</c:v>
                </c:pt>
                <c:pt idx="14">
                  <c:v>-5.5753314392029463E-2</c:v>
                </c:pt>
                <c:pt idx="15">
                  <c:v>-0.15467568911572527</c:v>
                </c:pt>
                <c:pt idx="16">
                  <c:v>-0.17569051692381177</c:v>
                </c:pt>
                <c:pt idx="17">
                  <c:v>-0.17808996777118713</c:v>
                </c:pt>
                <c:pt idx="18">
                  <c:v>-0.21998062994838952</c:v>
                </c:pt>
                <c:pt idx="19">
                  <c:v>-0.17474058827658467</c:v>
                </c:pt>
                <c:pt idx="20">
                  <c:v>-0.16252531465800624</c:v>
                </c:pt>
                <c:pt idx="21">
                  <c:v>-5.1144931571799668E-2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-0.12744750937544902</c:v>
                </c:pt>
                <c:pt idx="10">
                  <c:v>-0.1317126338120953</c:v>
                </c:pt>
                <c:pt idx="11">
                  <c:v>-8.7645150565449859E-2</c:v>
                </c:pt>
                <c:pt idx="12">
                  <c:v>-3.3715742736207699E-2</c:v>
                </c:pt>
                <c:pt idx="13">
                  <c:v>-4.2109988492121997E-2</c:v>
                </c:pt>
                <c:pt idx="14">
                  <c:v>-2.3931244215048664E-2</c:v>
                </c:pt>
                <c:pt idx="15">
                  <c:v>-0.10834514976304799</c:v>
                </c:pt>
                <c:pt idx="16">
                  <c:v>-0.12301027241523366</c:v>
                </c:pt>
                <c:pt idx="17">
                  <c:v>-8.8937585742874248E-2</c:v>
                </c:pt>
                <c:pt idx="18">
                  <c:v>-0.16877543867671763</c:v>
                </c:pt>
                <c:pt idx="19">
                  <c:v>-0.13691706319252972</c:v>
                </c:pt>
                <c:pt idx="20">
                  <c:v>-0.11391373588174813</c:v>
                </c:pt>
                <c:pt idx="21">
                  <c:v>-0.1036381040455655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-0.1032626142324693</c:v>
                </c:pt>
                <c:pt idx="1">
                  <c:v>-0.1032626142324693</c:v>
                </c:pt>
                <c:pt idx="2">
                  <c:v>-0.1032626142324693</c:v>
                </c:pt>
                <c:pt idx="3">
                  <c:v>-0.1032626142324693</c:v>
                </c:pt>
                <c:pt idx="4">
                  <c:v>-0.1032626142324693</c:v>
                </c:pt>
                <c:pt idx="5">
                  <c:v>-0.1032626142324693</c:v>
                </c:pt>
                <c:pt idx="6">
                  <c:v>-0.1032626142324693</c:v>
                </c:pt>
                <c:pt idx="7">
                  <c:v>-0.1032626142324693</c:v>
                </c:pt>
                <c:pt idx="8">
                  <c:v>-0.1032626142324693</c:v>
                </c:pt>
                <c:pt idx="9">
                  <c:v>-0.1032626142324693</c:v>
                </c:pt>
                <c:pt idx="10">
                  <c:v>-0.1032626142324693</c:v>
                </c:pt>
                <c:pt idx="11">
                  <c:v>-0.1032626142324693</c:v>
                </c:pt>
                <c:pt idx="12">
                  <c:v>-0.1032626142324693</c:v>
                </c:pt>
                <c:pt idx="13">
                  <c:v>-0.1032626142324693</c:v>
                </c:pt>
                <c:pt idx="14">
                  <c:v>-0.1032626142324693</c:v>
                </c:pt>
                <c:pt idx="15">
                  <c:v>-0.1032626142324693</c:v>
                </c:pt>
                <c:pt idx="16">
                  <c:v>-0.1032626142324693</c:v>
                </c:pt>
                <c:pt idx="17">
                  <c:v>-0.1032626142324693</c:v>
                </c:pt>
                <c:pt idx="18">
                  <c:v>-0.1032626142324693</c:v>
                </c:pt>
                <c:pt idx="19">
                  <c:v>-0.1032626142324693</c:v>
                </c:pt>
                <c:pt idx="20">
                  <c:v>-0.1032626142324693</c:v>
                </c:pt>
                <c:pt idx="21">
                  <c:v>-0.1032626142324693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-0.38999998569488525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0.81263400256659879</c:v>
                </c:pt>
                <c:pt idx="3">
                  <c:v>0.8827200385440388</c:v>
                </c:pt>
                <c:pt idx="4">
                  <c:v>0.90487542049442293</c:v>
                </c:pt>
                <c:pt idx="5">
                  <c:v>0.93209421312689777</c:v>
                </c:pt>
                <c:pt idx="6">
                  <c:v>0.95432664747744456</c:v>
                </c:pt>
                <c:pt idx="7">
                  <c:v>0.96118441482885042</c:v>
                </c:pt>
                <c:pt idx="8">
                  <c:v>0.97192471635438127</c:v>
                </c:pt>
                <c:pt idx="9">
                  <c:v>0.9899275329423507</c:v>
                </c:pt>
                <c:pt idx="10">
                  <c:v>0.99279091561247346</c:v>
                </c:pt>
                <c:pt idx="11">
                  <c:v>0.99484576857992224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0.82605677321161752</c:v>
                </c:pt>
                <c:pt idx="3">
                  <c:v>0.88091372375632016</c:v>
                </c:pt>
                <c:pt idx="4">
                  <c:v>0.92283199969090823</c:v>
                </c:pt>
                <c:pt idx="5">
                  <c:v>0.93997108976515797</c:v>
                </c:pt>
                <c:pt idx="6">
                  <c:v>0.95039581877532198</c:v>
                </c:pt>
                <c:pt idx="7">
                  <c:v>0.96444314441314327</c:v>
                </c:pt>
                <c:pt idx="8">
                  <c:v>0.98049001124246304</c:v>
                </c:pt>
                <c:pt idx="9">
                  <c:v>0.98729212962701007</c:v>
                </c:pt>
                <c:pt idx="10">
                  <c:v>0.99147625672133421</c:v>
                </c:pt>
                <c:pt idx="11">
                  <c:v>0.99409276044079065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0.85507681125844959</c:v>
                </c:pt>
                <c:pt idx="3">
                  <c:v>0.90530965634461036</c:v>
                </c:pt>
                <c:pt idx="4">
                  <c:v>0.93149462856642395</c:v>
                </c:pt>
                <c:pt idx="5">
                  <c:v>0.96649362810081441</c:v>
                </c:pt>
                <c:pt idx="6">
                  <c:v>0.98034415521634022</c:v>
                </c:pt>
                <c:pt idx="7">
                  <c:v>0.98350712740919921</c:v>
                </c:pt>
                <c:pt idx="8">
                  <c:v>0.98827328424079586</c:v>
                </c:pt>
                <c:pt idx="9">
                  <c:v>0.99153218690385314</c:v>
                </c:pt>
                <c:pt idx="10">
                  <c:v>0.99782035348443021</c:v>
                </c:pt>
                <c:pt idx="11">
                  <c:v>0.99830703972216595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0.75867204467073435</c:v>
                </c:pt>
                <c:pt idx="3">
                  <c:v>0.81045764592209191</c:v>
                </c:pt>
                <c:pt idx="4">
                  <c:v>0.8572621300487171</c:v>
                </c:pt>
                <c:pt idx="5">
                  <c:v>0.98466651860051424</c:v>
                </c:pt>
                <c:pt idx="6">
                  <c:v>0.99143115248450009</c:v>
                </c:pt>
                <c:pt idx="7">
                  <c:v>0.99252216755220413</c:v>
                </c:pt>
                <c:pt idx="8">
                  <c:v>0.99380762307785675</c:v>
                </c:pt>
                <c:pt idx="9">
                  <c:v>0.99566942167459793</c:v>
                </c:pt>
                <c:pt idx="10">
                  <c:v>0.99794806945441561</c:v>
                </c:pt>
                <c:pt idx="11">
                  <c:v>0.99824055517747556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0.8225391026416583</c:v>
                </c:pt>
                <c:pt idx="3">
                  <c:v>0.88524574736067785</c:v>
                </c:pt>
                <c:pt idx="4">
                  <c:v>0.91618567270283457</c:v>
                </c:pt>
                <c:pt idx="5">
                  <c:v>0.93844338986626585</c:v>
                </c:pt>
                <c:pt idx="6">
                  <c:v>0.95414634495957895</c:v>
                </c:pt>
                <c:pt idx="7">
                  <c:v>0.96461221708344935</c:v>
                </c:pt>
                <c:pt idx="8">
                  <c:v>0.97644923512466342</c:v>
                </c:pt>
                <c:pt idx="9">
                  <c:v>0.9888472365669273</c:v>
                </c:pt>
                <c:pt idx="10">
                  <c:v>0.99237227838733333</c:v>
                </c:pt>
                <c:pt idx="11">
                  <c:v>0.99458592875873786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15.xml><?xml version="1.0" encoding="utf-8"?>
<formControlPr xmlns="http://schemas.microsoft.com/office/spreadsheetml/2009/9/main" objectType="Drop" dropLines="14" dropStyle="combo" dx="18" fmlaLink="$AI$19" fmlaRange="$AH$5:$AH$18" noThreeD="1" sel="2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Q49" sqref="AQ49"/>
    </sheetView>
  </sheetViews>
  <sheetFormatPr defaultRowHeight="11.25" x14ac:dyDescent="0.2"/>
  <cols>
    <col min="1" max="1" width="11.5" customWidth="1"/>
    <col min="3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8" width="10.83203125" bestFit="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9.83203125" bestFit="1" customWidth="1"/>
    <col min="79" max="79" width="9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AAMG - Commercial</v>
      </c>
      <c r="Z1" s="161" t="s">
        <v>466</v>
      </c>
      <c r="AA1" s="34" t="str">
        <f>$C1</f>
        <v>AAMG - Commercial</v>
      </c>
      <c r="AL1" s="208" t="s">
        <v>758</v>
      </c>
      <c r="AN1" s="34"/>
      <c r="AS1" s="208" t="s">
        <v>759</v>
      </c>
      <c r="AV1" s="34" t="str">
        <f>+$C$1</f>
        <v>AAMG - Commercial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I2">
        <v>0</v>
      </c>
      <c r="AJ2">
        <v>0</v>
      </c>
      <c r="AK2">
        <v>0</v>
      </c>
      <c r="AL2">
        <v>0</v>
      </c>
      <c r="AN2" s="34" t="str">
        <f>+$C$1</f>
        <v>AAMG - Commercial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I3">
        <v>0</v>
      </c>
      <c r="AJ3">
        <v>0</v>
      </c>
      <c r="AK3">
        <v>0</v>
      </c>
      <c r="AN3" t="s">
        <v>77</v>
      </c>
      <c r="BL3" s="203" t="str">
        <f>Final!$AI$20</f>
        <v>6 Month Method</v>
      </c>
      <c r="BM3" s="7"/>
      <c r="BN3" s="7"/>
      <c r="BO3" s="7"/>
      <c r="BP3" s="7"/>
      <c r="BQ3" s="204"/>
      <c r="CC3" t="s">
        <v>748</v>
      </c>
      <c r="CE3" s="2">
        <f>Final!$AI$19</f>
        <v>2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I4">
        <v>0</v>
      </c>
      <c r="AJ4">
        <v>0</v>
      </c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I5">
        <v>0</v>
      </c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15475.389999999998</v>
      </c>
      <c r="D8" s="612">
        <v>32036.010000000006</v>
      </c>
      <c r="E8" s="612">
        <v>13250.840000000004</v>
      </c>
      <c r="F8" s="612">
        <v>16187.230000000003</v>
      </c>
      <c r="G8" s="612">
        <v>14349.380000000005</v>
      </c>
      <c r="H8" s="612">
        <v>21217.539999999997</v>
      </c>
      <c r="I8" s="612">
        <v>7550.34</v>
      </c>
      <c r="J8" s="612">
        <v>12392.530000000004</v>
      </c>
      <c r="K8" s="612">
        <v>18493.71000000001</v>
      </c>
      <c r="L8" s="612">
        <v>13295.170000000009</v>
      </c>
      <c r="M8" s="612">
        <v>19324.640000000003</v>
      </c>
      <c r="N8" s="612">
        <v>19279.169999999998</v>
      </c>
      <c r="O8" s="612">
        <v>13841.910000000005</v>
      </c>
      <c r="P8" s="612">
        <v>14502.600000000008</v>
      </c>
      <c r="Q8" s="612">
        <v>27378.510000000006</v>
      </c>
      <c r="R8" s="612">
        <v>17465.510000000006</v>
      </c>
      <c r="S8" s="612">
        <v>13258.350000000008</v>
      </c>
      <c r="T8" s="612">
        <v>28392.590000000007</v>
      </c>
      <c r="U8" s="612">
        <v>14748.770000000013</v>
      </c>
      <c r="V8" s="612">
        <v>4677.2999999999993</v>
      </c>
      <c r="W8" s="612">
        <v>13276.140000000001</v>
      </c>
      <c r="X8" s="612">
        <v>9864.0800000000017</v>
      </c>
      <c r="Y8" s="612">
        <v>7168.6799999999985</v>
      </c>
      <c r="Z8" s="612">
        <v>28758.639999999999</v>
      </c>
      <c r="AA8" s="612">
        <v>50536.759999999973</v>
      </c>
      <c r="AB8" s="612">
        <v>38568.01</v>
      </c>
      <c r="AC8" s="612">
        <v>40550.729999999967</v>
      </c>
      <c r="AD8" s="612">
        <v>43824.74</v>
      </c>
      <c r="AE8" s="612">
        <v>97647.470000000016</v>
      </c>
      <c r="AF8" s="612">
        <v>43579.709999999977</v>
      </c>
      <c r="AG8" s="612">
        <v>25706.909999999993</v>
      </c>
      <c r="AH8" s="612">
        <v>39279.299999999974</v>
      </c>
      <c r="AI8" s="612">
        <v>31889.309999999998</v>
      </c>
      <c r="AJ8" s="612">
        <v>44497.239999999983</v>
      </c>
      <c r="AK8" s="612">
        <v>56183.399999999965</v>
      </c>
      <c r="AL8" s="612">
        <v>39963.089999999982</v>
      </c>
      <c r="AM8" s="436"/>
      <c r="AN8" s="40">
        <f>+AL6</f>
        <v>45352</v>
      </c>
      <c r="AO8" s="6">
        <v>5892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0.18197635214513916</v>
      </c>
      <c r="AX8" s="372">
        <f t="shared" ref="AX8:AX30" si="5">$H281</f>
        <v>0.15788285920435713</v>
      </c>
      <c r="AY8" s="372">
        <f t="shared" ref="AY8:AY30" si="6">$K281</f>
        <v>0.16751457382033497</v>
      </c>
      <c r="AZ8" s="372">
        <f t="shared" ref="AZ8:AZ30" si="7">$N281</f>
        <v>0.24243069793189542</v>
      </c>
      <c r="BA8" s="372">
        <f t="shared" ref="BA8:BA30" si="8">+S281</f>
        <v>0.14629301935399505</v>
      </c>
      <c r="BB8" s="372">
        <f t="shared" ref="BB8:BB30" si="9">$V281</f>
        <v>0.16216244019286249</v>
      </c>
      <c r="BC8" s="373">
        <v>1</v>
      </c>
      <c r="BD8" s="373">
        <v>2</v>
      </c>
      <c r="BE8" s="372">
        <f t="shared" ref="BE8:BE30" si="10">$E349</f>
        <v>9.0278737265129777E-2</v>
      </c>
      <c r="BF8" s="372">
        <f t="shared" ref="BF8:BF30" si="11">$H349</f>
        <v>9.4623457051854376E-2</v>
      </c>
      <c r="BG8" s="372">
        <f t="shared" ref="BG8:BG30" si="12">$K349</f>
        <v>0.14257377519423758</v>
      </c>
      <c r="BH8" s="372">
        <f t="shared" ref="BH8:BH30" si="13">$N349</f>
        <v>0.19275943897415507</v>
      </c>
      <c r="BI8" s="372">
        <f t="shared" ref="BI8:BI30" si="14">$S349</f>
        <v>0.10253284228500278</v>
      </c>
      <c r="BJ8" s="372">
        <f t="shared" ref="BJ8:BJ30" si="15">$V349</f>
        <v>0.14580708598648609</v>
      </c>
      <c r="BK8" s="7"/>
      <c r="BL8" s="41">
        <f t="shared" ref="BL8:BL43" si="16">+AO8</f>
        <v>5892</v>
      </c>
      <c r="BM8" s="41">
        <f>$AL$135</f>
        <v>39963.089999999982</v>
      </c>
      <c r="BN8" s="15">
        <f t="shared" ref="BN8:BN43" si="17">CHOOSE($CE$3,AW8,AX8,AY8,AZ8,BA8,BB8,BC8,BD8,BE8,BF8,BG8,BH8,BI8,BJ8)</f>
        <v>0.15788285920435713</v>
      </c>
      <c r="BO8" s="41">
        <f>IF(BN8=0,0,+BM8/BN8)</f>
        <v>253118.61085739135</v>
      </c>
      <c r="BP8" s="41">
        <f t="shared" ref="BP8:BP43" si="18">+BO8-BM8</f>
        <v>213155.52085739136</v>
      </c>
      <c r="BQ8" s="73">
        <f t="shared" ref="BQ8:BQ43" si="19">IF(BL8=0,0,+BO8/BL8)</f>
        <v>42.959709921485292</v>
      </c>
      <c r="BR8" s="7"/>
      <c r="BS8" s="73">
        <f t="shared" ref="BS8:BS43" si="20">IF(BL8=0,0,+$BM8/AW8/$BL8)</f>
        <v>37.271885896384362</v>
      </c>
      <c r="BT8" s="73">
        <f t="shared" ref="BT8:BT43" si="21">IF(BL8=0,0,+$BM8/AX8/$BL8)</f>
        <v>42.959709921485292</v>
      </c>
      <c r="BU8" s="73">
        <f t="shared" ref="BU8:BU43" si="22">IF(BL8=0,0,+$BM8/AY8/$BL8)</f>
        <v>40.489622355297016</v>
      </c>
      <c r="BV8" s="73">
        <f t="shared" ref="BV8:BV43" si="23">IF(BL8=0,0,+$BM8/AZ8/$BL8)</f>
        <v>27.977487549449215</v>
      </c>
      <c r="BW8" s="73">
        <f t="shared" ref="BW8:BW43" si="24">IF(BL8=0,0,+$BM8/BB8/$BL8)</f>
        <v>41.825972925217613</v>
      </c>
      <c r="BY8" s="41">
        <f>$AL$135</f>
        <v>39963.089999999982</v>
      </c>
      <c r="BZ8" s="41">
        <f>$AL$90</f>
        <v>0</v>
      </c>
      <c r="CA8" s="41">
        <f>+BY8-BZ8</f>
        <v>39963.089999999982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13580.829999999998</v>
      </c>
      <c r="D9" s="612">
        <v>79150.72000000003</v>
      </c>
      <c r="E9" s="612">
        <v>47247.209999999955</v>
      </c>
      <c r="F9" s="612">
        <v>24613.070000000007</v>
      </c>
      <c r="G9" s="612">
        <v>49619.839999999953</v>
      </c>
      <c r="H9" s="612">
        <v>18643.400000000009</v>
      </c>
      <c r="I9" s="612">
        <v>50078.889999999985</v>
      </c>
      <c r="J9" s="612">
        <v>38105.970000000023</v>
      </c>
      <c r="K9" s="612">
        <v>28796.040000000008</v>
      </c>
      <c r="L9" s="612">
        <v>21977.93</v>
      </c>
      <c r="M9" s="612">
        <v>26346.430000000008</v>
      </c>
      <c r="N9" s="612">
        <v>16931.630000000005</v>
      </c>
      <c r="O9" s="612">
        <v>27353.270000000008</v>
      </c>
      <c r="P9" s="612">
        <v>23369.83000000002</v>
      </c>
      <c r="Q9" s="612">
        <v>18037.360000000008</v>
      </c>
      <c r="R9" s="612">
        <v>28266.95</v>
      </c>
      <c r="S9" s="612">
        <v>31641.160000000014</v>
      </c>
      <c r="T9" s="612">
        <v>34438.549999999996</v>
      </c>
      <c r="U9" s="612">
        <v>16201.890000000001</v>
      </c>
      <c r="V9" s="612">
        <v>35095.619999999995</v>
      </c>
      <c r="W9" s="612">
        <v>28479.780000000006</v>
      </c>
      <c r="X9" s="612">
        <v>21033.310000000012</v>
      </c>
      <c r="Y9" s="612">
        <v>16514.900000000005</v>
      </c>
      <c r="Z9" s="612">
        <v>150155.74999999994</v>
      </c>
      <c r="AA9" s="612">
        <v>122657.45000000003</v>
      </c>
      <c r="AB9" s="612">
        <v>195298.10000000024</v>
      </c>
      <c r="AC9" s="612">
        <v>147953.9500000001</v>
      </c>
      <c r="AD9" s="612">
        <v>186806.59000000005</v>
      </c>
      <c r="AE9" s="612">
        <v>78811.779999999984</v>
      </c>
      <c r="AF9" s="612">
        <v>108101.08</v>
      </c>
      <c r="AG9" s="612">
        <v>182843.51000000021</v>
      </c>
      <c r="AH9" s="612">
        <v>145952.35000000009</v>
      </c>
      <c r="AI9" s="612">
        <v>142928.67000000007</v>
      </c>
      <c r="AJ9" s="612">
        <v>169170.09999999998</v>
      </c>
      <c r="AK9" s="612">
        <v>73477.610000000044</v>
      </c>
      <c r="AL9" s="612">
        <v>0</v>
      </c>
      <c r="AM9" s="436"/>
      <c r="AN9" s="40">
        <f t="shared" ref="AN9:AN43" si="25">DATE(YEAR(AN8),MONTH(AN8)-1,1)</f>
        <v>45323</v>
      </c>
      <c r="AO9" s="6">
        <v>5831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0.66255212954696008</v>
      </c>
      <c r="AX9" s="372">
        <f t="shared" si="5"/>
        <v>0.65483901128037991</v>
      </c>
      <c r="AY9" s="372">
        <f t="shared" si="6"/>
        <v>0.66505538445433943</v>
      </c>
      <c r="AZ9" s="372">
        <f t="shared" si="7"/>
        <v>0.75085806932647003</v>
      </c>
      <c r="BA9" s="372">
        <f t="shared" si="8"/>
        <v>0.65747003083700151</v>
      </c>
      <c r="BB9" s="372">
        <f t="shared" si="9"/>
        <v>0.69124962205215446</v>
      </c>
      <c r="BC9" s="373">
        <v>1</v>
      </c>
      <c r="BD9" s="373">
        <v>2</v>
      </c>
      <c r="BE9" s="372">
        <f t="shared" si="10"/>
        <v>0.46861707020038684</v>
      </c>
      <c r="BF9" s="372">
        <f t="shared" si="11"/>
        <v>0.45046083141182758</v>
      </c>
      <c r="BG9" s="372">
        <f t="shared" si="12"/>
        <v>0.60742746663071689</v>
      </c>
      <c r="BH9" s="372">
        <f t="shared" si="13"/>
        <v>0.70587478030608275</v>
      </c>
      <c r="BI9" s="372">
        <f t="shared" si="14"/>
        <v>0.49747860218602102</v>
      </c>
      <c r="BJ9" s="372">
        <f t="shared" si="15"/>
        <v>0.66287603424223851</v>
      </c>
      <c r="BK9" s="7"/>
      <c r="BL9" s="41">
        <f t="shared" si="16"/>
        <v>5831</v>
      </c>
      <c r="BM9" s="41">
        <f>$AK$135</f>
        <v>129661.01000000001</v>
      </c>
      <c r="BN9" s="15">
        <f t="shared" si="17"/>
        <v>0.65483901128037991</v>
      </c>
      <c r="BO9" s="41">
        <f t="shared" ref="BO9:BO13" si="27">IF(BN9=0,0,+BM9/BN9)</f>
        <v>198004.40683348896</v>
      </c>
      <c r="BP9" s="41">
        <f t="shared" si="18"/>
        <v>68343.396833488951</v>
      </c>
      <c r="BQ9" s="73">
        <f t="shared" si="19"/>
        <v>33.957195478217969</v>
      </c>
      <c r="BR9" s="7"/>
      <c r="BS9" s="73">
        <f t="shared" si="20"/>
        <v>33.561881882434989</v>
      </c>
      <c r="BT9" s="73">
        <f t="shared" si="21"/>
        <v>33.957195478217969</v>
      </c>
      <c r="BU9" s="73">
        <f t="shared" si="22"/>
        <v>33.435555643317294</v>
      </c>
      <c r="BV9" s="73">
        <f t="shared" si="23"/>
        <v>29.614779704981107</v>
      </c>
      <c r="BW9" s="73">
        <f t="shared" si="24"/>
        <v>32.168547516591779</v>
      </c>
      <c r="BY9" s="41">
        <f>$AK$135</f>
        <v>129661.01000000001</v>
      </c>
      <c r="BZ9" s="41">
        <f>$AK$90</f>
        <v>0</v>
      </c>
      <c r="CA9" s="41">
        <f t="shared" ref="CA9:CA43" si="28">+BY9-BZ9</f>
        <v>129661.01000000001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0</v>
      </c>
    </row>
    <row r="10" spans="1:94" x14ac:dyDescent="0.2">
      <c r="A10" s="568" t="s">
        <v>980</v>
      </c>
      <c r="B10" s="6"/>
      <c r="C10" s="612">
        <v>2670.2400000000002</v>
      </c>
      <c r="D10" s="612">
        <v>18623.05</v>
      </c>
      <c r="E10" s="612">
        <v>1974.4200000000003</v>
      </c>
      <c r="F10" s="612">
        <v>7279.5999999999995</v>
      </c>
      <c r="G10" s="612">
        <v>1912.9600000000005</v>
      </c>
      <c r="H10" s="612">
        <v>6423.3499999999985</v>
      </c>
      <c r="I10" s="612">
        <v>3991.190000000001</v>
      </c>
      <c r="J10" s="612">
        <v>4001.92</v>
      </c>
      <c r="K10" s="612">
        <v>1637.9400000000005</v>
      </c>
      <c r="L10" s="612">
        <v>3744.98</v>
      </c>
      <c r="M10" s="612">
        <v>1152.74</v>
      </c>
      <c r="N10" s="612">
        <v>1813.0100000000004</v>
      </c>
      <c r="O10" s="612">
        <v>1507.3799999999999</v>
      </c>
      <c r="P10" s="612">
        <v>1490.2400000000002</v>
      </c>
      <c r="Q10" s="612">
        <v>2064.6800000000003</v>
      </c>
      <c r="R10" s="612">
        <v>3319.0199999999995</v>
      </c>
      <c r="S10" s="612">
        <v>3384.7900000000004</v>
      </c>
      <c r="T10" s="612">
        <v>2500.1699999999996</v>
      </c>
      <c r="U10" s="612">
        <v>32377.999999999996</v>
      </c>
      <c r="V10" s="612">
        <v>4192.2</v>
      </c>
      <c r="W10" s="612">
        <v>10862.43</v>
      </c>
      <c r="X10" s="612">
        <v>1200.05</v>
      </c>
      <c r="Y10" s="612">
        <v>7994.1</v>
      </c>
      <c r="Z10" s="612">
        <v>27948.570000000011</v>
      </c>
      <c r="AA10" s="612">
        <v>36975.749999999993</v>
      </c>
      <c r="AB10" s="612">
        <v>60268.399999999965</v>
      </c>
      <c r="AC10" s="612">
        <v>35889.68</v>
      </c>
      <c r="AD10" s="612">
        <v>21064.640000000007</v>
      </c>
      <c r="AE10" s="612">
        <v>66019.100000000006</v>
      </c>
      <c r="AF10" s="612">
        <v>43995.789999999979</v>
      </c>
      <c r="AG10" s="612">
        <v>43359.049999999996</v>
      </c>
      <c r="AH10" s="612">
        <v>68360.76999999996</v>
      </c>
      <c r="AI10" s="612">
        <v>39184.370000000003</v>
      </c>
      <c r="AJ10" s="612">
        <v>24106.75</v>
      </c>
      <c r="AK10" s="612">
        <v>0</v>
      </c>
      <c r="AL10" s="612">
        <v>0</v>
      </c>
      <c r="AM10" s="436"/>
      <c r="AN10" s="40">
        <f t="shared" si="25"/>
        <v>45292</v>
      </c>
      <c r="AO10" s="6">
        <v>5760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0.81263400256659879</v>
      </c>
      <c r="AX10" s="372">
        <f t="shared" si="5"/>
        <v>0.8225391026416583</v>
      </c>
      <c r="AY10" s="372">
        <f t="shared" si="6"/>
        <v>0.81729032321652573</v>
      </c>
      <c r="AZ10" s="372">
        <f t="shared" si="7"/>
        <v>0.85947419897647237</v>
      </c>
      <c r="BA10" s="372">
        <f t="shared" si="8"/>
        <v>0.83478528145898268</v>
      </c>
      <c r="BB10" s="372">
        <f t="shared" si="9"/>
        <v>0.85121462105141532</v>
      </c>
      <c r="BC10" s="373">
        <v>1</v>
      </c>
      <c r="BD10" s="373">
        <v>2</v>
      </c>
      <c r="BE10" s="372">
        <f t="shared" si="10"/>
        <v>0.59084919849526529</v>
      </c>
      <c r="BF10" s="372">
        <f t="shared" si="11"/>
        <v>0.64373893793728265</v>
      </c>
      <c r="BG10" s="372">
        <f t="shared" si="12"/>
        <v>0.75116263161984898</v>
      </c>
      <c r="BH10" s="372">
        <f t="shared" si="13"/>
        <v>0.83826726631905235</v>
      </c>
      <c r="BI10" s="372">
        <f t="shared" si="14"/>
        <v>0.72045860333833933</v>
      </c>
      <c r="BJ10" s="372">
        <f t="shared" si="15"/>
        <v>0.80884925077477676</v>
      </c>
      <c r="BK10" s="7"/>
      <c r="BL10" s="41">
        <f t="shared" si="16"/>
        <v>5760</v>
      </c>
      <c r="BM10" s="41">
        <f>$AJ$135</f>
        <v>237774.08999999997</v>
      </c>
      <c r="BN10" s="15">
        <f t="shared" si="17"/>
        <v>0.8225391026416583</v>
      </c>
      <c r="BO10" s="41">
        <f t="shared" si="27"/>
        <v>289073.2966206313</v>
      </c>
      <c r="BP10" s="41">
        <f t="shared" si="18"/>
        <v>51299.206620631332</v>
      </c>
      <c r="BQ10" s="73">
        <f t="shared" si="19"/>
        <v>50.186336218859601</v>
      </c>
      <c r="BR10" s="7"/>
      <c r="BS10" s="73">
        <f t="shared" si="20"/>
        <v>50.798051555749709</v>
      </c>
      <c r="BT10" s="73">
        <f t="shared" si="21"/>
        <v>50.186336218859601</v>
      </c>
      <c r="BU10" s="73">
        <f t="shared" si="22"/>
        <v>50.50864152639295</v>
      </c>
      <c r="BV10" s="73">
        <f t="shared" si="23"/>
        <v>48.029625563504965</v>
      </c>
      <c r="BW10" s="73">
        <f t="shared" si="24"/>
        <v>48.495670700938192</v>
      </c>
      <c r="BY10" s="41">
        <f>$AJ$135</f>
        <v>237774.08999999997</v>
      </c>
      <c r="BZ10" s="41">
        <f>$AJ$90</f>
        <v>0</v>
      </c>
      <c r="CA10" s="41">
        <f t="shared" si="28"/>
        <v>237774.08999999997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1</v>
      </c>
    </row>
    <row r="11" spans="1:94" x14ac:dyDescent="0.2">
      <c r="A11" s="568" t="s">
        <v>981</v>
      </c>
      <c r="B11" s="6"/>
      <c r="C11" s="612">
        <v>2117.08</v>
      </c>
      <c r="D11" s="612">
        <v>2592.1699999999996</v>
      </c>
      <c r="E11" s="612">
        <v>2381.19</v>
      </c>
      <c r="F11" s="612">
        <v>1695.5700000000002</v>
      </c>
      <c r="G11" s="612">
        <v>1569.3200000000002</v>
      </c>
      <c r="H11" s="612">
        <v>2565.41</v>
      </c>
      <c r="I11" s="612">
        <v>2305.21</v>
      </c>
      <c r="J11" s="612">
        <v>2829.8199999999997</v>
      </c>
      <c r="K11" s="612">
        <v>2470.7200000000003</v>
      </c>
      <c r="L11" s="612">
        <v>480.98</v>
      </c>
      <c r="M11" s="612">
        <v>514.79</v>
      </c>
      <c r="N11" s="612">
        <v>1197.0400000000002</v>
      </c>
      <c r="O11" s="612">
        <v>685.93000000000006</v>
      </c>
      <c r="P11" s="612">
        <v>609.70000000000005</v>
      </c>
      <c r="Q11" s="612">
        <v>2454.77</v>
      </c>
      <c r="R11" s="612">
        <v>821.2</v>
      </c>
      <c r="S11" s="612">
        <v>909.24</v>
      </c>
      <c r="T11" s="612">
        <v>7472.630000000001</v>
      </c>
      <c r="U11" s="612">
        <v>1574.3500000000001</v>
      </c>
      <c r="V11" s="612">
        <v>1271.4000000000001</v>
      </c>
      <c r="W11" s="612">
        <v>821.42000000000007</v>
      </c>
      <c r="X11" s="612">
        <v>2575.6200000000003</v>
      </c>
      <c r="Y11" s="612">
        <v>2652.4999999999995</v>
      </c>
      <c r="Z11" s="612">
        <v>8651.3499999999985</v>
      </c>
      <c r="AA11" s="612">
        <v>11327.89</v>
      </c>
      <c r="AB11" s="612">
        <v>20965.990000000005</v>
      </c>
      <c r="AC11" s="612">
        <v>11507.550000000001</v>
      </c>
      <c r="AD11" s="612">
        <v>15661.640000000003</v>
      </c>
      <c r="AE11" s="612">
        <v>19718.050000000014</v>
      </c>
      <c r="AF11" s="612">
        <v>10959.049999999997</v>
      </c>
      <c r="AG11" s="612">
        <v>16177.320000000002</v>
      </c>
      <c r="AH11" s="612">
        <v>26492.629999999997</v>
      </c>
      <c r="AI11" s="612">
        <v>19436.599999999999</v>
      </c>
      <c r="AJ11" s="612">
        <v>0</v>
      </c>
      <c r="AK11" s="612">
        <v>0</v>
      </c>
      <c r="AL11" s="612">
        <v>0</v>
      </c>
      <c r="AM11" s="436"/>
      <c r="AN11" s="40">
        <f t="shared" si="25"/>
        <v>45261</v>
      </c>
      <c r="AO11" s="6">
        <v>5910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0.8827200385440388</v>
      </c>
      <c r="AX11" s="372">
        <f t="shared" si="5"/>
        <v>0.88524574736067785</v>
      </c>
      <c r="AY11" s="372">
        <f t="shared" si="6"/>
        <v>0.87435376544141896</v>
      </c>
      <c r="AZ11" s="372">
        <f t="shared" si="7"/>
        <v>0.89995772050377121</v>
      </c>
      <c r="BA11" s="372">
        <f t="shared" si="8"/>
        <v>0.8969888445534101</v>
      </c>
      <c r="BB11" s="372">
        <f t="shared" si="9"/>
        <v>0.91023733573595489</v>
      </c>
      <c r="BC11" s="373">
        <v>1</v>
      </c>
      <c r="BD11" s="373">
        <v>2</v>
      </c>
      <c r="BE11" s="372">
        <f t="shared" si="10"/>
        <v>0.69060958492038715</v>
      </c>
      <c r="BF11" s="372">
        <f t="shared" si="11"/>
        <v>0.75033361276581467</v>
      </c>
      <c r="BG11" s="372">
        <f t="shared" si="12"/>
        <v>0.82721319717463626</v>
      </c>
      <c r="BH11" s="372">
        <f t="shared" si="13"/>
        <v>0.89047017356142122</v>
      </c>
      <c r="BI11" s="372">
        <f t="shared" si="14"/>
        <v>0.83935079360087228</v>
      </c>
      <c r="BJ11" s="372">
        <f t="shared" si="15"/>
        <v>0.88515749461295068</v>
      </c>
      <c r="BK11" s="7"/>
      <c r="BL11" s="41">
        <f t="shared" si="16"/>
        <v>5910</v>
      </c>
      <c r="BM11" s="41">
        <f>$AI$135</f>
        <v>233438.95000000007</v>
      </c>
      <c r="BN11" s="15">
        <f t="shared" si="17"/>
        <v>0.88524574736067785</v>
      </c>
      <c r="BO11" s="41">
        <f t="shared" si="27"/>
        <v>263699.60058660351</v>
      </c>
      <c r="BP11" s="41">
        <f t="shared" si="18"/>
        <v>30260.650586603442</v>
      </c>
      <c r="BQ11" s="73">
        <f t="shared" si="19"/>
        <v>44.619221757462526</v>
      </c>
      <c r="BR11" s="7"/>
      <c r="BS11" s="73">
        <f t="shared" si="20"/>
        <v>44.746889825324985</v>
      </c>
      <c r="BT11" s="73">
        <f t="shared" si="21"/>
        <v>44.619221757462526</v>
      </c>
      <c r="BU11" s="73">
        <f t="shared" si="22"/>
        <v>45.175051417998532</v>
      </c>
      <c r="BV11" s="73">
        <f t="shared" si="23"/>
        <v>43.889813278368571</v>
      </c>
      <c r="BW11" s="73">
        <f t="shared" si="24"/>
        <v>43.394150910543118</v>
      </c>
      <c r="BY11" s="41">
        <f>$AI$135</f>
        <v>233438.95000000007</v>
      </c>
      <c r="BZ11" s="41">
        <f>$AI$90</f>
        <v>0</v>
      </c>
      <c r="CA11" s="41">
        <f t="shared" si="28"/>
        <v>233438.95000000007</v>
      </c>
      <c r="CM11" s="32" t="s">
        <v>75</v>
      </c>
      <c r="CN11" s="30"/>
      <c r="CO11" s="30">
        <f t="shared" si="2"/>
        <v>1</v>
      </c>
      <c r="CP11" s="31">
        <f t="shared" si="0"/>
        <v>0</v>
      </c>
    </row>
    <row r="12" spans="1:94" x14ac:dyDescent="0.2">
      <c r="A12" s="568" t="s">
        <v>982</v>
      </c>
      <c r="B12" s="6"/>
      <c r="C12" s="612">
        <v>480.24999999999994</v>
      </c>
      <c r="D12" s="612">
        <v>2216.8399999999997</v>
      </c>
      <c r="E12" s="612">
        <v>451.14</v>
      </c>
      <c r="F12" s="612">
        <v>652.54000000000008</v>
      </c>
      <c r="G12" s="612">
        <v>813.81999999999994</v>
      </c>
      <c r="H12" s="612">
        <v>379.69</v>
      </c>
      <c r="I12" s="612">
        <v>1527.3400000000001</v>
      </c>
      <c r="J12" s="612">
        <v>1021.6100000000001</v>
      </c>
      <c r="K12" s="612">
        <v>312.77</v>
      </c>
      <c r="L12" s="612">
        <v>273.06</v>
      </c>
      <c r="M12" s="612">
        <v>171.02</v>
      </c>
      <c r="N12" s="612">
        <v>1410.6100000000001</v>
      </c>
      <c r="O12" s="612">
        <v>249.52999999999997</v>
      </c>
      <c r="P12" s="612">
        <v>1411.47</v>
      </c>
      <c r="Q12" s="612">
        <v>5.42</v>
      </c>
      <c r="R12" s="612">
        <v>642.04999999999995</v>
      </c>
      <c r="S12" s="612">
        <v>724.38</v>
      </c>
      <c r="T12" s="612">
        <v>627.32999999999993</v>
      </c>
      <c r="U12" s="612">
        <v>298.01000000000005</v>
      </c>
      <c r="V12" s="612">
        <v>1342.6999999999998</v>
      </c>
      <c r="W12" s="612">
        <v>715.12000000000012</v>
      </c>
      <c r="X12" s="612">
        <v>70.8</v>
      </c>
      <c r="Y12" s="612">
        <v>1033.9099999999999</v>
      </c>
      <c r="Z12" s="612">
        <v>3959.5400000000004</v>
      </c>
      <c r="AA12" s="612">
        <v>6053.01</v>
      </c>
      <c r="AB12" s="612">
        <v>8897.4400000000023</v>
      </c>
      <c r="AC12" s="612">
        <v>7390.9799999999987</v>
      </c>
      <c r="AD12" s="612">
        <v>17356.990000000002</v>
      </c>
      <c r="AE12" s="612">
        <v>12334.35</v>
      </c>
      <c r="AF12" s="612">
        <v>7098.0899999999992</v>
      </c>
      <c r="AG12" s="612">
        <v>7196.0399999999991</v>
      </c>
      <c r="AH12" s="612">
        <v>1974.7399999999998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6019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0.90487542049442293</v>
      </c>
      <c r="AX12" s="372">
        <f t="shared" si="5"/>
        <v>0.91618567270283457</v>
      </c>
      <c r="AY12" s="372">
        <f t="shared" si="6"/>
        <v>0.90660061020719629</v>
      </c>
      <c r="AZ12" s="372">
        <f t="shared" si="7"/>
        <v>0.91875423406052503</v>
      </c>
      <c r="BA12" s="372">
        <f t="shared" si="8"/>
        <v>0.92823756481141984</v>
      </c>
      <c r="BB12" s="372">
        <f t="shared" si="9"/>
        <v>0.93567334740051578</v>
      </c>
      <c r="BC12" s="373">
        <v>1</v>
      </c>
      <c r="BD12" s="373">
        <v>2</v>
      </c>
      <c r="BE12" s="372">
        <f t="shared" si="10"/>
        <v>0.75573066561073554</v>
      </c>
      <c r="BF12" s="372">
        <f t="shared" si="11"/>
        <v>0.80346400511579574</v>
      </c>
      <c r="BG12" s="372">
        <f t="shared" si="12"/>
        <v>0.86582106447420215</v>
      </c>
      <c r="BH12" s="372">
        <f t="shared" si="13"/>
        <v>0.91814309582551645</v>
      </c>
      <c r="BI12" s="372">
        <f t="shared" si="14"/>
        <v>0.89180886283736471</v>
      </c>
      <c r="BJ12" s="372">
        <f t="shared" si="15"/>
        <v>0.92121475910400741</v>
      </c>
      <c r="BK12" s="7"/>
      <c r="BL12" s="41">
        <f t="shared" si="16"/>
        <v>6019</v>
      </c>
      <c r="BM12" s="41">
        <f>$AH$135</f>
        <v>282059.79000000004</v>
      </c>
      <c r="BN12" s="15">
        <f t="shared" si="17"/>
        <v>0.91618567270283457</v>
      </c>
      <c r="BO12" s="41">
        <f t="shared" si="27"/>
        <v>307863.1312448894</v>
      </c>
      <c r="BP12" s="41">
        <f t="shared" si="18"/>
        <v>25803.341244889365</v>
      </c>
      <c r="BQ12" s="73">
        <f t="shared" si="19"/>
        <v>51.148551461187807</v>
      </c>
      <c r="BR12" s="7"/>
      <c r="BS12" s="73">
        <f t="shared" si="20"/>
        <v>51.787869320882635</v>
      </c>
      <c r="BT12" s="73">
        <f t="shared" si="21"/>
        <v>51.148551461187807</v>
      </c>
      <c r="BU12" s="73">
        <f t="shared" si="22"/>
        <v>51.689321075499898</v>
      </c>
      <c r="BV12" s="73">
        <f t="shared" si="23"/>
        <v>51.005555447766007</v>
      </c>
      <c r="BW12" s="73">
        <f t="shared" si="24"/>
        <v>50.083258391867787</v>
      </c>
      <c r="BY12" s="41">
        <f>$AH$135</f>
        <v>282059.79000000004</v>
      </c>
      <c r="BZ12" s="41">
        <f>$AH$90</f>
        <v>0</v>
      </c>
      <c r="CA12" s="41">
        <f t="shared" si="28"/>
        <v>282059.79000000004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832.56000000000006</v>
      </c>
      <c r="D13" s="612">
        <v>398.09</v>
      </c>
      <c r="E13" s="612">
        <v>123.60000000000001</v>
      </c>
      <c r="F13" s="612">
        <v>749.11</v>
      </c>
      <c r="G13" s="612">
        <v>110.64</v>
      </c>
      <c r="H13" s="612">
        <v>246.3</v>
      </c>
      <c r="I13" s="612">
        <v>127.15</v>
      </c>
      <c r="J13" s="612">
        <v>492.92</v>
      </c>
      <c r="K13" s="612">
        <v>235.14999999999998</v>
      </c>
      <c r="L13" s="612">
        <v>1072.3799999999999</v>
      </c>
      <c r="M13" s="612">
        <v>121.69</v>
      </c>
      <c r="N13" s="612">
        <v>280.45999999999998</v>
      </c>
      <c r="O13" s="612">
        <v>347.35</v>
      </c>
      <c r="P13" s="612">
        <v>68.349999999999994</v>
      </c>
      <c r="Q13" s="612">
        <v>9.2899999999999991</v>
      </c>
      <c r="R13" s="612">
        <v>167.17</v>
      </c>
      <c r="S13" s="612">
        <v>190.25</v>
      </c>
      <c r="T13" s="612">
        <v>70.789999999999992</v>
      </c>
      <c r="U13" s="612">
        <v>90.25</v>
      </c>
      <c r="V13" s="612">
        <v>1603.96</v>
      </c>
      <c r="W13" s="612">
        <v>25941.449999999997</v>
      </c>
      <c r="X13" s="612">
        <v>1111.45</v>
      </c>
      <c r="Y13" s="612">
        <v>1671.4500000000003</v>
      </c>
      <c r="Z13" s="612">
        <v>9588.6600000000017</v>
      </c>
      <c r="AA13" s="612">
        <v>5034.4499999999989</v>
      </c>
      <c r="AB13" s="612">
        <v>3992.2200000000003</v>
      </c>
      <c r="AC13" s="612">
        <v>5123.9400000000005</v>
      </c>
      <c r="AD13" s="612">
        <v>6375.6799999999985</v>
      </c>
      <c r="AE13" s="612">
        <v>7298.2099999999982</v>
      </c>
      <c r="AF13" s="612">
        <v>8861.9399999999987</v>
      </c>
      <c r="AG13" s="612">
        <v>6162.9800000000005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6813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0.93209421312689777</v>
      </c>
      <c r="AX13" s="372">
        <f t="shared" si="5"/>
        <v>0.93844338986626585</v>
      </c>
      <c r="AY13" s="372">
        <f t="shared" si="6"/>
        <v>0.95760153500233269</v>
      </c>
      <c r="AZ13" s="372">
        <f t="shared" si="7"/>
        <v>0.94179918731553347</v>
      </c>
      <c r="BA13" s="372">
        <f t="shared" si="8"/>
        <v>0.94968200039242701</v>
      </c>
      <c r="BB13" s="372">
        <f t="shared" si="9"/>
        <v>0.96491593996840952</v>
      </c>
      <c r="BC13" s="373">
        <v>1</v>
      </c>
      <c r="BD13" s="373">
        <v>2</v>
      </c>
      <c r="BE13" s="372">
        <f t="shared" si="10"/>
        <v>0.81617762304361219</v>
      </c>
      <c r="BF13" s="372">
        <f t="shared" si="11"/>
        <v>0.84642018324895807</v>
      </c>
      <c r="BG13" s="372">
        <f t="shared" si="12"/>
        <v>0.89258070508429288</v>
      </c>
      <c r="BH13" s="372">
        <f t="shared" si="13"/>
        <v>0.93376183939363788</v>
      </c>
      <c r="BI13" s="372">
        <f t="shared" si="14"/>
        <v>0.92031421800015878</v>
      </c>
      <c r="BJ13" s="372">
        <f t="shared" si="15"/>
        <v>0.94653212535659204</v>
      </c>
      <c r="BK13" s="7"/>
      <c r="BL13" s="41">
        <f t="shared" si="16"/>
        <v>6813</v>
      </c>
      <c r="BM13" s="41">
        <f>$AG$135</f>
        <v>281445.81000000017</v>
      </c>
      <c r="BN13" s="15">
        <f t="shared" si="17"/>
        <v>0.93844338986626585</v>
      </c>
      <c r="BO13" s="41">
        <f t="shared" si="27"/>
        <v>299907.07275385893</v>
      </c>
      <c r="BP13" s="41">
        <f t="shared" si="18"/>
        <v>18461.262753858755</v>
      </c>
      <c r="BQ13" s="73">
        <f t="shared" si="19"/>
        <v>44.019825738126954</v>
      </c>
      <c r="BR13" s="7"/>
      <c r="BS13" s="73">
        <f t="shared" si="20"/>
        <v>44.319677029671766</v>
      </c>
      <c r="BT13" s="73">
        <f t="shared" si="21"/>
        <v>44.019825738126954</v>
      </c>
      <c r="BU13" s="73">
        <f t="shared" si="22"/>
        <v>43.139148149871666</v>
      </c>
      <c r="BV13" s="73">
        <f t="shared" si="23"/>
        <v>43.862975295995788</v>
      </c>
      <c r="BW13" s="73">
        <f t="shared" si="24"/>
        <v>42.812138110561847</v>
      </c>
      <c r="BY13" s="41">
        <f>$AG$135</f>
        <v>281445.81000000017</v>
      </c>
      <c r="BZ13" s="41">
        <f>$AG$90</f>
        <v>0</v>
      </c>
      <c r="CA13" s="41">
        <f t="shared" si="28"/>
        <v>281445.81000000017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102.96</v>
      </c>
      <c r="D14" s="612">
        <v>324.8</v>
      </c>
      <c r="E14" s="612">
        <v>282.07</v>
      </c>
      <c r="F14" s="612">
        <v>593.12</v>
      </c>
      <c r="G14" s="612">
        <v>181.06</v>
      </c>
      <c r="H14" s="612">
        <v>2627.9</v>
      </c>
      <c r="I14" s="612">
        <v>148.46</v>
      </c>
      <c r="J14" s="612">
        <v>226.42</v>
      </c>
      <c r="K14" s="612">
        <v>3400.15</v>
      </c>
      <c r="L14" s="612">
        <v>31.36</v>
      </c>
      <c r="M14" s="612">
        <v>39.200000000000003</v>
      </c>
      <c r="N14" s="612">
        <v>108.08</v>
      </c>
      <c r="O14" s="612">
        <v>142.47</v>
      </c>
      <c r="P14" s="612">
        <v>0</v>
      </c>
      <c r="Q14" s="612">
        <v>228.07999999999998</v>
      </c>
      <c r="R14" s="612">
        <v>22.76</v>
      </c>
      <c r="S14" s="612">
        <v>155</v>
      </c>
      <c r="T14" s="612">
        <v>17.440000000000001</v>
      </c>
      <c r="U14" s="612">
        <v>998.22</v>
      </c>
      <c r="V14" s="612">
        <v>176.43</v>
      </c>
      <c r="W14" s="612">
        <v>141.41999999999999</v>
      </c>
      <c r="X14" s="612">
        <v>27.55</v>
      </c>
      <c r="Y14" s="612">
        <v>686.29000000000008</v>
      </c>
      <c r="Z14" s="612">
        <v>5494.13</v>
      </c>
      <c r="AA14" s="612">
        <v>1971.93</v>
      </c>
      <c r="AB14" s="612">
        <v>3380.0400000000004</v>
      </c>
      <c r="AC14" s="612">
        <v>2572.38</v>
      </c>
      <c r="AD14" s="612">
        <v>8361.7099999999991</v>
      </c>
      <c r="AE14" s="612">
        <v>7199.63</v>
      </c>
      <c r="AF14" s="612">
        <v>3862.5299999999997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7169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0.95432664747744456</v>
      </c>
      <c r="AX14" s="372">
        <f t="shared" si="5"/>
        <v>0.95414634495957895</v>
      </c>
      <c r="AY14" s="372">
        <f t="shared" si="6"/>
        <v>0.970673232625337</v>
      </c>
      <c r="AZ14" s="372">
        <f t="shared" si="7"/>
        <v>0.95192255738947995</v>
      </c>
      <c r="BA14" s="372">
        <f t="shared" si="8"/>
        <v>0.96473553366998388</v>
      </c>
      <c r="BB14" s="372">
        <f t="shared" si="9"/>
        <v>0.97791322960369997</v>
      </c>
      <c r="BC14" s="373">
        <v>1</v>
      </c>
      <c r="BD14" s="373">
        <v>2</v>
      </c>
      <c r="BE14" s="372">
        <f t="shared" si="10"/>
        <v>0.86822612968272272</v>
      </c>
      <c r="BF14" s="372">
        <f t="shared" si="11"/>
        <v>0.88555858459493364</v>
      </c>
      <c r="BG14" s="372">
        <f t="shared" si="12"/>
        <v>0.91755700272063401</v>
      </c>
      <c r="BH14" s="372">
        <f t="shared" si="13"/>
        <v>0.94682951165472973</v>
      </c>
      <c r="BI14" s="372">
        <f t="shared" si="14"/>
        <v>0.94650723258608593</v>
      </c>
      <c r="BJ14" s="372">
        <f t="shared" si="15"/>
        <v>0.96126970321746807</v>
      </c>
      <c r="BK14" s="7"/>
      <c r="BL14" s="41">
        <f t="shared" si="16"/>
        <v>7169</v>
      </c>
      <c r="BM14" s="41">
        <f>$AF$135</f>
        <v>226458.18999999994</v>
      </c>
      <c r="BN14" s="15">
        <f t="shared" si="17"/>
        <v>0.95414634495957895</v>
      </c>
      <c r="BO14" s="41">
        <f t="shared" ref="BO14:BO43" si="29">+BM14/BN14</f>
        <v>237341.1491814639</v>
      </c>
      <c r="BP14" s="41">
        <f t="shared" si="18"/>
        <v>10882.959181463957</v>
      </c>
      <c r="BQ14" s="73">
        <f t="shared" si="19"/>
        <v>33.106590763211592</v>
      </c>
      <c r="BR14" s="7"/>
      <c r="BS14" s="73">
        <f t="shared" si="20"/>
        <v>33.100335880055674</v>
      </c>
      <c r="BT14" s="73">
        <f t="shared" si="21"/>
        <v>33.106590763211592</v>
      </c>
      <c r="BU14" s="73">
        <f t="shared" si="22"/>
        <v>32.542910949913377</v>
      </c>
      <c r="BV14" s="73">
        <f t="shared" si="23"/>
        <v>33.183931114541728</v>
      </c>
      <c r="BW14" s="73">
        <f t="shared" si="24"/>
        <v>32.30197896350392</v>
      </c>
      <c r="BY14" s="41">
        <f>$AF$135</f>
        <v>226458.18999999994</v>
      </c>
      <c r="BZ14" s="41">
        <f>$AF$90</f>
        <v>0</v>
      </c>
      <c r="CA14" s="41">
        <f t="shared" si="28"/>
        <v>226458.18999999994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0</v>
      </c>
      <c r="D15" s="612">
        <v>969.18000000000006</v>
      </c>
      <c r="E15" s="612">
        <v>874.45</v>
      </c>
      <c r="F15" s="612">
        <v>0</v>
      </c>
      <c r="G15" s="612">
        <v>43.2</v>
      </c>
      <c r="H15" s="612">
        <v>625.41000000000008</v>
      </c>
      <c r="I15" s="612">
        <v>123.46</v>
      </c>
      <c r="J15" s="612">
        <v>2529.75</v>
      </c>
      <c r="K15" s="612">
        <v>123.46</v>
      </c>
      <c r="L15" s="612">
        <v>0</v>
      </c>
      <c r="M15" s="612">
        <v>5.44</v>
      </c>
      <c r="N15" s="612">
        <v>0</v>
      </c>
      <c r="O15" s="612">
        <v>0</v>
      </c>
      <c r="P15" s="612">
        <v>653.86</v>
      </c>
      <c r="Q15" s="612">
        <v>174.98000000000002</v>
      </c>
      <c r="R15" s="612">
        <v>0</v>
      </c>
      <c r="S15" s="612">
        <v>0</v>
      </c>
      <c r="T15" s="612">
        <v>0</v>
      </c>
      <c r="U15" s="612">
        <v>112.99</v>
      </c>
      <c r="V15" s="612">
        <v>76.63</v>
      </c>
      <c r="W15" s="612">
        <v>139.71</v>
      </c>
      <c r="X15" s="612">
        <v>187.06</v>
      </c>
      <c r="Y15" s="612">
        <v>11.73</v>
      </c>
      <c r="Z15" s="612">
        <v>4281.8900000000003</v>
      </c>
      <c r="AA15" s="612">
        <v>2014.91</v>
      </c>
      <c r="AB15" s="612">
        <v>4891.0700000000015</v>
      </c>
      <c r="AC15" s="612">
        <v>2072.4100000000003</v>
      </c>
      <c r="AD15" s="612">
        <v>1325.47</v>
      </c>
      <c r="AE15" s="612">
        <v>2423.3599999999997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7204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0.96118441482885042</v>
      </c>
      <c r="AX15" s="372">
        <f t="shared" si="5"/>
        <v>0.96461221708344935</v>
      </c>
      <c r="AY15" s="372">
        <f t="shared" si="6"/>
        <v>0.97702746669683405</v>
      </c>
      <c r="AZ15" s="372">
        <f t="shared" si="7"/>
        <v>0.95797724184092259</v>
      </c>
      <c r="BA15" s="372">
        <f t="shared" si="8"/>
        <v>0.97437371804178197</v>
      </c>
      <c r="BB15" s="372">
        <f t="shared" si="9"/>
        <v>0.98349263112655705</v>
      </c>
      <c r="BC15" s="373">
        <v>1</v>
      </c>
      <c r="BD15" s="373">
        <v>2</v>
      </c>
      <c r="BE15" s="372">
        <f t="shared" si="10"/>
        <v>0.90057265334082337</v>
      </c>
      <c r="BF15" s="372">
        <f t="shared" si="11"/>
        <v>0.91892289411580941</v>
      </c>
      <c r="BG15" s="372">
        <f t="shared" si="12"/>
        <v>0.94127500555732413</v>
      </c>
      <c r="BH15" s="372">
        <f t="shared" si="13"/>
        <v>0.95867337962278498</v>
      </c>
      <c r="BI15" s="372">
        <f t="shared" si="14"/>
        <v>0.96842312234306327</v>
      </c>
      <c r="BJ15" s="372">
        <f t="shared" si="15"/>
        <v>0.97494446370278975</v>
      </c>
      <c r="BK15" s="7"/>
      <c r="BL15" s="41">
        <f t="shared" si="16"/>
        <v>7204</v>
      </c>
      <c r="BM15" s="41">
        <f>$AE$135</f>
        <v>291451.95</v>
      </c>
      <c r="BN15" s="15">
        <f t="shared" si="17"/>
        <v>0.96461221708344935</v>
      </c>
      <c r="BO15" s="41">
        <f t="shared" si="29"/>
        <v>302144.16201488592</v>
      </c>
      <c r="BP15" s="41">
        <f t="shared" si="18"/>
        <v>10692.21201488591</v>
      </c>
      <c r="BQ15" s="73">
        <f t="shared" si="19"/>
        <v>41.941166298568284</v>
      </c>
      <c r="BR15" s="7"/>
      <c r="BS15" s="73">
        <f t="shared" si="20"/>
        <v>42.090738037540291</v>
      </c>
      <c r="BT15" s="73">
        <f t="shared" si="21"/>
        <v>41.941166298568284</v>
      </c>
      <c r="BU15" s="73">
        <f t="shared" si="22"/>
        <v>41.408212961612833</v>
      </c>
      <c r="BV15" s="73">
        <f t="shared" si="23"/>
        <v>42.231651904989299</v>
      </c>
      <c r="BW15" s="73">
        <f t="shared" si="24"/>
        <v>41.136008679582623</v>
      </c>
      <c r="BY15" s="41">
        <f>$AE$135</f>
        <v>291451.95</v>
      </c>
      <c r="BZ15" s="41">
        <f>$AE$90</f>
        <v>0</v>
      </c>
      <c r="CA15" s="41">
        <f t="shared" si="28"/>
        <v>291451.95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416.66</v>
      </c>
      <c r="D16" s="612">
        <v>368.43</v>
      </c>
      <c r="E16" s="612">
        <v>408.9</v>
      </c>
      <c r="F16" s="612">
        <v>348.56</v>
      </c>
      <c r="G16" s="612">
        <v>0</v>
      </c>
      <c r="H16" s="612">
        <v>0</v>
      </c>
      <c r="I16" s="612">
        <v>5303.11</v>
      </c>
      <c r="J16" s="612">
        <v>107.69</v>
      </c>
      <c r="K16" s="612">
        <v>443.65</v>
      </c>
      <c r="L16" s="612">
        <v>32.58</v>
      </c>
      <c r="M16" s="612">
        <v>0</v>
      </c>
      <c r="N16" s="612">
        <v>0</v>
      </c>
      <c r="O16" s="612">
        <v>44.6</v>
      </c>
      <c r="P16" s="612">
        <v>51.790000000000006</v>
      </c>
      <c r="Q16" s="612">
        <v>0</v>
      </c>
      <c r="R16" s="612">
        <v>0</v>
      </c>
      <c r="S16" s="612">
        <v>0</v>
      </c>
      <c r="T16" s="612">
        <v>204.01999999999998</v>
      </c>
      <c r="U16" s="612">
        <v>37.1</v>
      </c>
      <c r="V16" s="612">
        <v>0</v>
      </c>
      <c r="W16" s="612">
        <v>68.349999999999994</v>
      </c>
      <c r="X16" s="612">
        <v>498</v>
      </c>
      <c r="Y16" s="612">
        <v>539.73</v>
      </c>
      <c r="Z16" s="612">
        <v>1664.1200000000001</v>
      </c>
      <c r="AA16" s="612">
        <v>6834.1600000000008</v>
      </c>
      <c r="AB16" s="612">
        <v>1333.4399999999998</v>
      </c>
      <c r="AC16" s="612">
        <v>2912.1800000000003</v>
      </c>
      <c r="AD16" s="612">
        <v>2139.6600000000003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7219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0.97192471635438127</v>
      </c>
      <c r="AX16" s="372">
        <f t="shared" si="5"/>
        <v>0.97644923512466342</v>
      </c>
      <c r="AY16" s="372">
        <f t="shared" si="6"/>
        <v>0.98435125522634026</v>
      </c>
      <c r="AZ16" s="372">
        <f t="shared" si="7"/>
        <v>0.96499730984607868</v>
      </c>
      <c r="BA16" s="372">
        <f t="shared" si="8"/>
        <v>0.98408211297559767</v>
      </c>
      <c r="BB16" s="372">
        <f t="shared" si="9"/>
        <v>0.98954921207949142</v>
      </c>
      <c r="BC16" s="373">
        <v>1</v>
      </c>
      <c r="BD16" s="373">
        <v>2</v>
      </c>
      <c r="BE16" s="372">
        <f t="shared" si="10"/>
        <v>0.92601741567916629</v>
      </c>
      <c r="BF16" s="372">
        <f t="shared" si="11"/>
        <v>0.94622659966924261</v>
      </c>
      <c r="BG16" s="372">
        <f t="shared" si="12"/>
        <v>0.96226595891244426</v>
      </c>
      <c r="BH16" s="372">
        <f t="shared" si="13"/>
        <v>0.96994072119000729</v>
      </c>
      <c r="BI16" s="372">
        <f t="shared" si="14"/>
        <v>0.97623899496749822</v>
      </c>
      <c r="BJ16" s="372">
        <f t="shared" si="15"/>
        <v>0.98185192880093397</v>
      </c>
      <c r="BK16" s="7"/>
      <c r="BL16" s="41">
        <f t="shared" si="16"/>
        <v>7219</v>
      </c>
      <c r="BM16" s="41">
        <f>$AD$135</f>
        <v>302917.12</v>
      </c>
      <c r="BN16" s="15">
        <f t="shared" si="17"/>
        <v>0.97644923512466342</v>
      </c>
      <c r="BO16" s="41">
        <f t="shared" si="29"/>
        <v>310223.11155922664</v>
      </c>
      <c r="BP16" s="41">
        <f t="shared" si="18"/>
        <v>7305.991559226648</v>
      </c>
      <c r="BQ16" s="73">
        <f t="shared" si="19"/>
        <v>42.973141925367315</v>
      </c>
      <c r="BR16" s="7"/>
      <c r="BS16" s="73">
        <f t="shared" si="20"/>
        <v>43.17319115139032</v>
      </c>
      <c r="BT16" s="73">
        <f t="shared" si="21"/>
        <v>42.973141925367315</v>
      </c>
      <c r="BU16" s="73">
        <f t="shared" si="22"/>
        <v>42.628168899200574</v>
      </c>
      <c r="BV16" s="73">
        <f t="shared" si="23"/>
        <v>43.483117658246634</v>
      </c>
      <c r="BW16" s="73">
        <f t="shared" si="24"/>
        <v>42.404249381139159</v>
      </c>
      <c r="BY16" s="41">
        <f>$AD$135</f>
        <v>302917.12</v>
      </c>
      <c r="BZ16" s="41">
        <f>$AD$90</f>
        <v>0</v>
      </c>
      <c r="CA16" s="41">
        <f t="shared" si="28"/>
        <v>302917.12</v>
      </c>
    </row>
    <row r="17" spans="1:79" x14ac:dyDescent="0.2">
      <c r="A17" s="568" t="s">
        <v>987</v>
      </c>
      <c r="B17" s="6"/>
      <c r="C17" s="612">
        <v>0</v>
      </c>
      <c r="D17" s="612">
        <v>271.14</v>
      </c>
      <c r="E17" s="612">
        <v>172.35</v>
      </c>
      <c r="F17" s="612">
        <v>0</v>
      </c>
      <c r="G17" s="612">
        <v>59.08</v>
      </c>
      <c r="H17" s="612">
        <v>100</v>
      </c>
      <c r="I17" s="612">
        <v>303.96000000000004</v>
      </c>
      <c r="J17" s="612">
        <v>0</v>
      </c>
      <c r="K17" s="612">
        <v>68.11</v>
      </c>
      <c r="L17" s="612">
        <v>43.2</v>
      </c>
      <c r="M17" s="612">
        <v>135</v>
      </c>
      <c r="N17" s="612">
        <v>0</v>
      </c>
      <c r="O17" s="612">
        <v>0</v>
      </c>
      <c r="P17" s="612">
        <v>126.5</v>
      </c>
      <c r="Q17" s="612">
        <v>108.08</v>
      </c>
      <c r="R17" s="612">
        <v>0</v>
      </c>
      <c r="S17" s="612">
        <v>205.64</v>
      </c>
      <c r="T17" s="612">
        <v>67.5</v>
      </c>
      <c r="U17" s="612">
        <v>355.83000000000004</v>
      </c>
      <c r="V17" s="612">
        <v>0</v>
      </c>
      <c r="W17" s="612">
        <v>0</v>
      </c>
      <c r="X17" s="612">
        <v>313.77999999999997</v>
      </c>
      <c r="Y17" s="612">
        <v>118.75000000000001</v>
      </c>
      <c r="Z17" s="612">
        <v>2200.88</v>
      </c>
      <c r="AA17" s="612">
        <v>3486.2</v>
      </c>
      <c r="AB17" s="612">
        <v>2324.0299999999997</v>
      </c>
      <c r="AC17" s="612">
        <v>8899.93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7227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0.9899275329423507</v>
      </c>
      <c r="AX17" s="372">
        <f t="shared" si="5"/>
        <v>0.9888472365669273</v>
      </c>
      <c r="AY17" s="372">
        <f t="shared" si="6"/>
        <v>0.99141870751256733</v>
      </c>
      <c r="AZ17" s="372">
        <f t="shared" si="7"/>
        <v>0.96884848382347444</v>
      </c>
      <c r="BA17" s="372">
        <f t="shared" si="8"/>
        <v>0.99365429696728513</v>
      </c>
      <c r="BB17" s="372">
        <f t="shared" si="9"/>
        <v>0.99471605067473912</v>
      </c>
      <c r="BC17" s="373">
        <v>1</v>
      </c>
      <c r="BD17" s="373">
        <v>2</v>
      </c>
      <c r="BE17" s="372">
        <f t="shared" si="10"/>
        <v>0.94863281505917252</v>
      </c>
      <c r="BF17" s="372">
        <f t="shared" si="11"/>
        <v>0.96050747393677949</v>
      </c>
      <c r="BG17" s="372">
        <f t="shared" si="12"/>
        <v>0.97005157492403515</v>
      </c>
      <c r="BH17" s="372">
        <f t="shared" si="13"/>
        <v>0.97639631781168257</v>
      </c>
      <c r="BI17" s="372">
        <f t="shared" si="14"/>
        <v>0.98403274907244254</v>
      </c>
      <c r="BJ17" s="372">
        <f t="shared" si="15"/>
        <v>0.98675935620231481</v>
      </c>
      <c r="BK17" s="7"/>
      <c r="BL17" s="41">
        <f t="shared" si="16"/>
        <v>7227</v>
      </c>
      <c r="BM17" s="41">
        <f>$AC$135</f>
        <v>264873.73000000004</v>
      </c>
      <c r="BN17" s="15">
        <f t="shared" si="17"/>
        <v>0.9888472365669273</v>
      </c>
      <c r="BO17" s="41">
        <f t="shared" si="29"/>
        <v>267861.12172349973</v>
      </c>
      <c r="BP17" s="41">
        <f t="shared" si="18"/>
        <v>2987.3917234996916</v>
      </c>
      <c r="BQ17" s="73">
        <f t="shared" si="19"/>
        <v>37.063943783520095</v>
      </c>
      <c r="BR17" s="7"/>
      <c r="BS17" s="73">
        <f t="shared" si="20"/>
        <v>37.023496333786859</v>
      </c>
      <c r="BT17" s="73">
        <f t="shared" si="21"/>
        <v>37.063943783520095</v>
      </c>
      <c r="BU17" s="73">
        <f t="shared" si="22"/>
        <v>36.967809976635131</v>
      </c>
      <c r="BV17" s="73">
        <f t="shared" si="23"/>
        <v>37.829009384385408</v>
      </c>
      <c r="BW17" s="73">
        <f t="shared" si="24"/>
        <v>36.845266909833065</v>
      </c>
      <c r="BY17" s="41">
        <f>$AC$135</f>
        <v>264873.73000000004</v>
      </c>
      <c r="BZ17" s="41">
        <f>$AC$90</f>
        <v>0</v>
      </c>
      <c r="CA17" s="41">
        <f t="shared" si="28"/>
        <v>264873.73000000004</v>
      </c>
    </row>
    <row r="18" spans="1:79" x14ac:dyDescent="0.2">
      <c r="A18" s="568" t="s">
        <v>988</v>
      </c>
      <c r="B18" s="6"/>
      <c r="C18" s="612">
        <v>247.36</v>
      </c>
      <c r="D18" s="612">
        <v>572.62999999999988</v>
      </c>
      <c r="E18" s="612">
        <v>205.38</v>
      </c>
      <c r="F18" s="612">
        <v>0</v>
      </c>
      <c r="G18" s="612">
        <v>139.06</v>
      </c>
      <c r="H18" s="612">
        <v>34.06</v>
      </c>
      <c r="I18" s="612">
        <v>638.58000000000015</v>
      </c>
      <c r="J18" s="612">
        <v>199.02999999999997</v>
      </c>
      <c r="K18" s="612">
        <v>476.15999999999997</v>
      </c>
      <c r="L18" s="612">
        <v>0</v>
      </c>
      <c r="M18" s="612">
        <v>30.78</v>
      </c>
      <c r="N18" s="612">
        <v>0</v>
      </c>
      <c r="O18" s="612">
        <v>0</v>
      </c>
      <c r="P18" s="612">
        <v>43.2</v>
      </c>
      <c r="Q18" s="612">
        <v>194.39</v>
      </c>
      <c r="R18" s="612">
        <v>153.21</v>
      </c>
      <c r="S18" s="612">
        <v>0</v>
      </c>
      <c r="T18" s="612">
        <v>0</v>
      </c>
      <c r="U18" s="612">
        <v>26.18</v>
      </c>
      <c r="V18" s="612">
        <v>913.66</v>
      </c>
      <c r="W18" s="612">
        <v>119.56</v>
      </c>
      <c r="X18" s="612">
        <v>0</v>
      </c>
      <c r="Y18" s="612">
        <v>433.93</v>
      </c>
      <c r="Z18" s="612">
        <v>1186.0599999999997</v>
      </c>
      <c r="AA18" s="612">
        <v>399.44</v>
      </c>
      <c r="AB18" s="612">
        <v>740.65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7193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0.99279091561247346</v>
      </c>
      <c r="AX18" s="372">
        <f t="shared" si="5"/>
        <v>0.99237227838733333</v>
      </c>
      <c r="AY18" s="372">
        <f t="shared" si="6"/>
        <v>0.99532273867438126</v>
      </c>
      <c r="AZ18" s="372">
        <f t="shared" si="7"/>
        <v>0.97206385463862688</v>
      </c>
      <c r="BA18" s="372">
        <f t="shared" si="8"/>
        <v>0.99617874762764291</v>
      </c>
      <c r="BB18" s="372">
        <f t="shared" si="9"/>
        <v>0.99756455714073022</v>
      </c>
      <c r="BC18" s="373">
        <v>1</v>
      </c>
      <c r="BD18" s="373">
        <v>2</v>
      </c>
      <c r="BE18" s="372">
        <f t="shared" si="10"/>
        <v>0.96682729472072471</v>
      </c>
      <c r="BF18" s="372">
        <f t="shared" si="11"/>
        <v>0.97230085190782889</v>
      </c>
      <c r="BG18" s="372">
        <f t="shared" si="12"/>
        <v>0.97744989307658847</v>
      </c>
      <c r="BH18" s="372">
        <f t="shared" si="13"/>
        <v>0.98210825020393488</v>
      </c>
      <c r="BI18" s="372">
        <f t="shared" si="14"/>
        <v>0.98959116884550369</v>
      </c>
      <c r="BJ18" s="372">
        <f t="shared" si="15"/>
        <v>0.99000724653194661</v>
      </c>
      <c r="BK18" s="7"/>
      <c r="BL18" s="41">
        <f t="shared" si="16"/>
        <v>7193</v>
      </c>
      <c r="BM18" s="41">
        <f>$AB$135</f>
        <v>340659.39000000025</v>
      </c>
      <c r="BN18" s="15">
        <f t="shared" si="17"/>
        <v>0.99237227838733333</v>
      </c>
      <c r="BO18" s="41">
        <f t="shared" si="29"/>
        <v>343277.81762867555</v>
      </c>
      <c r="BP18" s="41">
        <f t="shared" si="18"/>
        <v>2618.4276286753011</v>
      </c>
      <c r="BQ18" s="73">
        <f t="shared" si="19"/>
        <v>47.723872880394211</v>
      </c>
      <c r="BR18" s="7"/>
      <c r="BS18" s="73">
        <f t="shared" si="20"/>
        <v>47.703748814590021</v>
      </c>
      <c r="BT18" s="73">
        <f t="shared" si="21"/>
        <v>47.723872880394211</v>
      </c>
      <c r="BU18" s="73">
        <f t="shared" si="22"/>
        <v>47.582403800862018</v>
      </c>
      <c r="BV18" s="73">
        <f t="shared" si="23"/>
        <v>48.720923258061788</v>
      </c>
      <c r="BW18" s="73">
        <f t="shared" si="24"/>
        <v>47.475472263699352</v>
      </c>
      <c r="BY18" s="41">
        <f>$AB$135</f>
        <v>340659.39000000025</v>
      </c>
      <c r="BZ18" s="41">
        <f>$AB$90</f>
        <v>0</v>
      </c>
      <c r="CA18" s="41">
        <f t="shared" si="28"/>
        <v>340659.39000000025</v>
      </c>
    </row>
    <row r="19" spans="1:79" x14ac:dyDescent="0.2">
      <c r="A19" s="568" t="s">
        <v>989</v>
      </c>
      <c r="B19" s="6"/>
      <c r="C19" s="612">
        <v>0</v>
      </c>
      <c r="D19" s="612">
        <v>287.89</v>
      </c>
      <c r="E19" s="612">
        <v>0</v>
      </c>
      <c r="F19" s="612">
        <v>0</v>
      </c>
      <c r="G19" s="612">
        <v>306.67</v>
      </c>
      <c r="H19" s="612">
        <v>246.92</v>
      </c>
      <c r="I19" s="612">
        <v>0</v>
      </c>
      <c r="J19" s="612">
        <v>0</v>
      </c>
      <c r="K19" s="612">
        <v>43.2</v>
      </c>
      <c r="L19" s="612">
        <v>75.569999999999993</v>
      </c>
      <c r="M19" s="612">
        <v>0</v>
      </c>
      <c r="N19" s="612">
        <v>119.02</v>
      </c>
      <c r="O19" s="612">
        <v>0</v>
      </c>
      <c r="P19" s="612">
        <v>0</v>
      </c>
      <c r="Q19" s="612">
        <v>0</v>
      </c>
      <c r="R19" s="612">
        <v>0</v>
      </c>
      <c r="S19" s="612">
        <v>0</v>
      </c>
      <c r="T19" s="612">
        <v>108.08</v>
      </c>
      <c r="U19" s="612">
        <v>0</v>
      </c>
      <c r="V19" s="612">
        <v>166.64</v>
      </c>
      <c r="W19" s="612">
        <v>114.37</v>
      </c>
      <c r="X19" s="612">
        <v>115.17999999999999</v>
      </c>
      <c r="Y19" s="612">
        <v>0</v>
      </c>
      <c r="Z19" s="612">
        <v>1240.49</v>
      </c>
      <c r="AA19" s="612">
        <v>98.34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7156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0.99484576857992224</v>
      </c>
      <c r="AX19" s="372">
        <f t="shared" si="5"/>
        <v>0.99458592875873786</v>
      </c>
      <c r="AY19" s="372">
        <f t="shared" si="6"/>
        <v>0.99655321095702043</v>
      </c>
      <c r="AZ19" s="372">
        <f t="shared" si="7"/>
        <v>0.97370073847766125</v>
      </c>
      <c r="BA19" s="372">
        <f t="shared" si="8"/>
        <v>0.99824853240113587</v>
      </c>
      <c r="BB19" s="372">
        <f t="shared" si="9"/>
        <v>0.99856535609270136</v>
      </c>
      <c r="BC19" s="373">
        <v>1</v>
      </c>
      <c r="BD19" s="373">
        <v>2</v>
      </c>
      <c r="BE19" s="372">
        <f t="shared" si="10"/>
        <v>0.97718767576051735</v>
      </c>
      <c r="BF19" s="372">
        <f t="shared" si="11"/>
        <v>0.98299489662234674</v>
      </c>
      <c r="BG19" s="372">
        <f t="shared" si="12"/>
        <v>0.98347168601222434</v>
      </c>
      <c r="BH19" s="372">
        <f t="shared" si="13"/>
        <v>0.98663583541525912</v>
      </c>
      <c r="BI19" s="372">
        <f t="shared" si="14"/>
        <v>0.99475841033476586</v>
      </c>
      <c r="BJ19" s="372">
        <f t="shared" si="15"/>
        <v>0.99313877757533742</v>
      </c>
      <c r="BK19" s="7"/>
      <c r="BL19" s="41">
        <f t="shared" si="16"/>
        <v>7156</v>
      </c>
      <c r="BM19" s="41">
        <f>$AA$135</f>
        <v>247390.29</v>
      </c>
      <c r="BN19" s="15">
        <f t="shared" si="17"/>
        <v>0.99458592875873786</v>
      </c>
      <c r="BO19" s="41">
        <f t="shared" si="29"/>
        <v>248736.96967415154</v>
      </c>
      <c r="BP19" s="41">
        <f t="shared" si="18"/>
        <v>1346.6796741515282</v>
      </c>
      <c r="BQ19" s="73">
        <f t="shared" si="19"/>
        <v>34.759218791804294</v>
      </c>
      <c r="BR19" s="7"/>
      <c r="BS19" s="73">
        <f t="shared" si="20"/>
        <v>34.750140169287498</v>
      </c>
      <c r="BT19" s="73">
        <f t="shared" si="21"/>
        <v>34.759218791804294</v>
      </c>
      <c r="BU19" s="73">
        <f t="shared" si="22"/>
        <v>34.690601088701762</v>
      </c>
      <c r="BV19" s="73">
        <f t="shared" si="23"/>
        <v>35.504779383268364</v>
      </c>
      <c r="BW19" s="73">
        <f t="shared" si="24"/>
        <v>34.620698278826993</v>
      </c>
      <c r="BY19" s="41">
        <f>$AA$135</f>
        <v>247390.29</v>
      </c>
      <c r="BZ19" s="41">
        <f>$AA$90</f>
        <v>0</v>
      </c>
      <c r="CA19" s="41">
        <f t="shared" si="28"/>
        <v>247390.29</v>
      </c>
    </row>
    <row r="20" spans="1:79" x14ac:dyDescent="0.2">
      <c r="A20" s="568" t="s">
        <v>990</v>
      </c>
      <c r="B20" s="6"/>
      <c r="C20" s="612">
        <v>0</v>
      </c>
      <c r="D20" s="612">
        <v>-127.91</v>
      </c>
      <c r="E20" s="612">
        <v>196.74</v>
      </c>
      <c r="F20" s="612">
        <v>110.33000000000001</v>
      </c>
      <c r="G20" s="612">
        <v>77.5</v>
      </c>
      <c r="H20" s="612">
        <v>18.93</v>
      </c>
      <c r="I20" s="612">
        <v>0</v>
      </c>
      <c r="J20" s="612">
        <v>0</v>
      </c>
      <c r="K20" s="612">
        <v>67.19</v>
      </c>
      <c r="L20" s="612">
        <v>0</v>
      </c>
      <c r="M20" s="612">
        <v>1954.76</v>
      </c>
      <c r="N20" s="612">
        <v>0</v>
      </c>
      <c r="O20" s="612">
        <v>35.549999999999997</v>
      </c>
      <c r="P20" s="612">
        <v>77.69</v>
      </c>
      <c r="Q20" s="612">
        <v>0</v>
      </c>
      <c r="R20" s="612">
        <v>0</v>
      </c>
      <c r="S20" s="612">
        <v>0</v>
      </c>
      <c r="T20" s="612">
        <v>67.5</v>
      </c>
      <c r="U20" s="612">
        <v>222.89999999999998</v>
      </c>
      <c r="V20" s="612">
        <v>0</v>
      </c>
      <c r="W20" s="612">
        <v>0</v>
      </c>
      <c r="X20" s="612">
        <v>148.26999999999998</v>
      </c>
      <c r="Y20" s="612">
        <v>0</v>
      </c>
      <c r="Z20" s="612">
        <v>905.70999999999992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7104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0.99739672727383755</v>
      </c>
      <c r="AX20" s="372">
        <f t="shared" si="5"/>
        <v>0.99641227084568773</v>
      </c>
      <c r="AY20" s="372">
        <f t="shared" si="6"/>
        <v>0.9977626923464249</v>
      </c>
      <c r="AZ20" s="372">
        <f t="shared" si="7"/>
        <v>0.97924641579634697</v>
      </c>
      <c r="BA20" s="372">
        <f t="shared" si="8"/>
        <v>0.99999999999999967</v>
      </c>
      <c r="BB20" s="372">
        <f t="shared" si="9"/>
        <v>0.99962042376804605</v>
      </c>
      <c r="BC20" s="373">
        <v>1</v>
      </c>
      <c r="BD20" s="373">
        <v>2</v>
      </c>
      <c r="BE20" s="372">
        <f t="shared" si="10"/>
        <v>0.98118853949213147</v>
      </c>
      <c r="BF20" s="372">
        <f t="shared" si="11"/>
        <v>0.98523425368271333</v>
      </c>
      <c r="BG20" s="372">
        <f t="shared" si="12"/>
        <v>0.98802384839141111</v>
      </c>
      <c r="BH20" s="372">
        <f t="shared" si="13"/>
        <v>0.99008882433289158</v>
      </c>
      <c r="BI20" s="372">
        <f t="shared" si="14"/>
        <v>0.9962490384720456</v>
      </c>
      <c r="BJ20" s="372">
        <f t="shared" si="15"/>
        <v>0.9948862546844206</v>
      </c>
      <c r="BK20" s="7"/>
      <c r="BL20" s="41">
        <f t="shared" si="16"/>
        <v>7104</v>
      </c>
      <c r="BM20" s="41">
        <f>$Z$135</f>
        <v>246035.78999999998</v>
      </c>
      <c r="BN20" s="15">
        <f t="shared" si="17"/>
        <v>0.99641227084568773</v>
      </c>
      <c r="BO20" s="41">
        <f t="shared" si="29"/>
        <v>246921.67810336311</v>
      </c>
      <c r="BP20" s="41">
        <f t="shared" si="18"/>
        <v>885.88810336313327</v>
      </c>
      <c r="BQ20" s="73">
        <f t="shared" si="19"/>
        <v>34.758119102387823</v>
      </c>
      <c r="BR20" s="7"/>
      <c r="BS20" s="73">
        <f t="shared" si="20"/>
        <v>34.723811937700944</v>
      </c>
      <c r="BT20" s="73">
        <f t="shared" si="21"/>
        <v>34.758119102387823</v>
      </c>
      <c r="BU20" s="73">
        <f t="shared" si="22"/>
        <v>34.711075740553298</v>
      </c>
      <c r="BV20" s="73">
        <f t="shared" si="23"/>
        <v>35.367417053010499</v>
      </c>
      <c r="BW20" s="73">
        <f t="shared" si="24"/>
        <v>34.646567398638446</v>
      </c>
      <c r="BY20" s="41">
        <f>$Z$135</f>
        <v>246035.78999999998</v>
      </c>
      <c r="BZ20" s="41">
        <f>$Z$90</f>
        <v>0</v>
      </c>
      <c r="CA20" s="41">
        <f t="shared" si="28"/>
        <v>246035.78999999998</v>
      </c>
    </row>
    <row r="21" spans="1:79" x14ac:dyDescent="0.2">
      <c r="A21" s="568" t="s">
        <v>991</v>
      </c>
      <c r="B21" s="6"/>
      <c r="C21" s="612">
        <v>0</v>
      </c>
      <c r="D21" s="612">
        <v>106.93</v>
      </c>
      <c r="E21" s="612">
        <v>24257.3</v>
      </c>
      <c r="F21" s="612">
        <v>0</v>
      </c>
      <c r="G21" s="612">
        <v>0</v>
      </c>
      <c r="H21" s="612">
        <v>0</v>
      </c>
      <c r="I21" s="612">
        <v>0</v>
      </c>
      <c r="J21" s="612">
        <v>0</v>
      </c>
      <c r="K21" s="612">
        <v>0</v>
      </c>
      <c r="L21" s="612">
        <v>207.73999999999998</v>
      </c>
      <c r="M21" s="612">
        <v>0</v>
      </c>
      <c r="N21" s="612">
        <v>0</v>
      </c>
      <c r="O21" s="612">
        <v>0</v>
      </c>
      <c r="P21" s="612">
        <v>0</v>
      </c>
      <c r="Q21" s="612">
        <v>98.94</v>
      </c>
      <c r="R21" s="612">
        <v>0</v>
      </c>
      <c r="S21" s="612">
        <v>0</v>
      </c>
      <c r="T21" s="612">
        <v>0</v>
      </c>
      <c r="U21" s="612">
        <v>0</v>
      </c>
      <c r="V21" s="612">
        <v>102.96</v>
      </c>
      <c r="W21" s="612">
        <v>0</v>
      </c>
      <c r="X21" s="612">
        <v>0</v>
      </c>
      <c r="Y21" s="612">
        <v>0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1190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0.99803559682810128</v>
      </c>
      <c r="AX21" s="372">
        <f t="shared" si="5"/>
        <v>0.9969610531174915</v>
      </c>
      <c r="AY21" s="372">
        <f t="shared" si="6"/>
        <v>0.99814548914170631</v>
      </c>
      <c r="AZ21" s="372">
        <f t="shared" si="7"/>
        <v>0.99105311037178256</v>
      </c>
      <c r="BA21" s="372">
        <f t="shared" si="8"/>
        <v>0.99999999999999978</v>
      </c>
      <c r="BB21" s="372">
        <f t="shared" si="9"/>
        <v>0.99981532614787261</v>
      </c>
      <c r="BC21" s="373">
        <v>1</v>
      </c>
      <c r="BD21" s="373">
        <v>2</v>
      </c>
      <c r="BE21" s="372">
        <f t="shared" si="10"/>
        <v>0.98465062235715495</v>
      </c>
      <c r="BF21" s="372">
        <f t="shared" si="11"/>
        <v>0.98746526894219544</v>
      </c>
      <c r="BG21" s="372">
        <f t="shared" si="12"/>
        <v>0.99022469145536518</v>
      </c>
      <c r="BH21" s="372">
        <f t="shared" si="13"/>
        <v>0.99235402517637394</v>
      </c>
      <c r="BI21" s="372">
        <f t="shared" si="14"/>
        <v>0.99719624928918471</v>
      </c>
      <c r="BJ21" s="372">
        <f t="shared" si="15"/>
        <v>0.9961587563082015</v>
      </c>
      <c r="BK21" s="7"/>
      <c r="BL21" s="41">
        <f t="shared" si="16"/>
        <v>1190</v>
      </c>
      <c r="BM21" s="41">
        <f>$Y$135</f>
        <v>38825.97</v>
      </c>
      <c r="BN21" s="15">
        <f t="shared" si="17"/>
        <v>0.9969610531174915</v>
      </c>
      <c r="BO21" s="41">
        <f t="shared" si="29"/>
        <v>38944.319719001476</v>
      </c>
      <c r="BP21" s="41">
        <f t="shared" si="18"/>
        <v>118.34971900147502</v>
      </c>
      <c r="BQ21" s="73">
        <f t="shared" si="19"/>
        <v>32.72631909159788</v>
      </c>
      <c r="BR21" s="7"/>
      <c r="BS21" s="73">
        <f t="shared" si="20"/>
        <v>32.691084015351052</v>
      </c>
      <c r="BT21" s="73">
        <f t="shared" si="21"/>
        <v>32.72631909159788</v>
      </c>
      <c r="BU21" s="73">
        <f t="shared" si="22"/>
        <v>32.687484841787892</v>
      </c>
      <c r="BV21" s="73">
        <f t="shared" si="23"/>
        <v>32.921409765798408</v>
      </c>
      <c r="BW21" s="73">
        <f t="shared" si="24"/>
        <v>32.632891988087984</v>
      </c>
      <c r="BY21" s="41">
        <f>$Y$135</f>
        <v>38825.97</v>
      </c>
      <c r="BZ21" s="41">
        <f>$Y$90</f>
        <v>0</v>
      </c>
      <c r="CA21" s="41">
        <f t="shared" si="28"/>
        <v>38825.97</v>
      </c>
    </row>
    <row r="22" spans="1:79" x14ac:dyDescent="0.2">
      <c r="A22" s="568" t="s">
        <v>992</v>
      </c>
      <c r="B22" s="6"/>
      <c r="C22" s="612">
        <v>0</v>
      </c>
      <c r="D22" s="612">
        <v>0</v>
      </c>
      <c r="E22" s="612">
        <v>18000.599999999999</v>
      </c>
      <c r="F22" s="612">
        <v>67.5</v>
      </c>
      <c r="G22" s="612">
        <v>0</v>
      </c>
      <c r="H22" s="612">
        <v>0</v>
      </c>
      <c r="I22" s="612">
        <v>0</v>
      </c>
      <c r="J22" s="612">
        <v>0</v>
      </c>
      <c r="K22" s="612">
        <v>0</v>
      </c>
      <c r="L22" s="612">
        <v>0</v>
      </c>
      <c r="M22" s="612">
        <v>0</v>
      </c>
      <c r="N22" s="612">
        <v>0</v>
      </c>
      <c r="O22" s="612">
        <v>0</v>
      </c>
      <c r="P22" s="612">
        <v>0</v>
      </c>
      <c r="Q22" s="612">
        <v>0</v>
      </c>
      <c r="R22" s="612">
        <v>0</v>
      </c>
      <c r="S22" s="612">
        <v>0</v>
      </c>
      <c r="T22" s="612">
        <v>0</v>
      </c>
      <c r="U22" s="612">
        <v>0</v>
      </c>
      <c r="V22" s="612">
        <v>0</v>
      </c>
      <c r="W22" s="612">
        <v>0</v>
      </c>
      <c r="X22" s="612">
        <v>215.1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1152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0.99995466185724757</v>
      </c>
      <c r="AX22" s="372">
        <f t="shared" si="5"/>
        <v>0.99791863190654806</v>
      </c>
      <c r="AY22" s="372">
        <f t="shared" si="6"/>
        <v>0.9986246172595421</v>
      </c>
      <c r="AZ22" s="372">
        <f t="shared" si="7"/>
        <v>0.99881430460821496</v>
      </c>
      <c r="BA22" s="372">
        <f t="shared" si="8"/>
        <v>0.99999999999999989</v>
      </c>
      <c r="BB22" s="372">
        <f t="shared" si="9"/>
        <v>0.99981532614787261</v>
      </c>
      <c r="BC22" s="373">
        <v>1</v>
      </c>
      <c r="BD22" s="373">
        <v>2</v>
      </c>
      <c r="BE22" s="372">
        <f t="shared" si="10"/>
        <v>0.98774058825966804</v>
      </c>
      <c r="BF22" s="372">
        <f t="shared" si="11"/>
        <v>0.98934519208030602</v>
      </c>
      <c r="BG22" s="372">
        <f t="shared" si="12"/>
        <v>0.99215075276979625</v>
      </c>
      <c r="BH22" s="372">
        <f t="shared" si="13"/>
        <v>0.99365285451574969</v>
      </c>
      <c r="BI22" s="372">
        <f t="shared" si="14"/>
        <v>0.99798619421986412</v>
      </c>
      <c r="BJ22" s="372">
        <f t="shared" si="15"/>
        <v>0.99723821796378465</v>
      </c>
      <c r="BK22" s="7"/>
      <c r="BL22" s="41">
        <f t="shared" si="16"/>
        <v>1152</v>
      </c>
      <c r="BM22" s="41">
        <f>$X$135</f>
        <v>37360.250000000007</v>
      </c>
      <c r="BN22" s="15">
        <f t="shared" si="17"/>
        <v>0.99791863190654806</v>
      </c>
      <c r="BO22" s="41">
        <f t="shared" si="29"/>
        <v>37438.172617964185</v>
      </c>
      <c r="BP22" s="41">
        <f t="shared" si="18"/>
        <v>77.922617964177334</v>
      </c>
      <c r="BQ22" s="73">
        <f t="shared" si="19"/>
        <v>32.49841373087169</v>
      </c>
      <c r="BR22" s="7"/>
      <c r="BS22" s="73">
        <f t="shared" si="20"/>
        <v>32.432242987106775</v>
      </c>
      <c r="BT22" s="73">
        <f t="shared" si="21"/>
        <v>32.49841373087169</v>
      </c>
      <c r="BU22" s="73">
        <f t="shared" si="22"/>
        <v>32.475438727358863</v>
      </c>
      <c r="BV22" s="73">
        <f t="shared" si="23"/>
        <v>32.469271234722079</v>
      </c>
      <c r="BW22" s="73">
        <f t="shared" si="24"/>
        <v>32.436762791379678</v>
      </c>
      <c r="BY22" s="41">
        <f>$X$135</f>
        <v>37360.250000000007</v>
      </c>
      <c r="BZ22" s="41">
        <f>$X$90</f>
        <v>0</v>
      </c>
      <c r="CA22" s="41">
        <f t="shared" si="28"/>
        <v>37360.250000000007</v>
      </c>
    </row>
    <row r="23" spans="1:79" x14ac:dyDescent="0.2">
      <c r="A23" s="568" t="s">
        <v>993</v>
      </c>
      <c r="B23" s="6"/>
      <c r="C23" s="612">
        <v>0</v>
      </c>
      <c r="D23" s="612">
        <v>0</v>
      </c>
      <c r="E23" s="612">
        <v>0</v>
      </c>
      <c r="F23" s="612">
        <v>0</v>
      </c>
      <c r="G23" s="612">
        <v>0</v>
      </c>
      <c r="H23" s="612">
        <v>0</v>
      </c>
      <c r="I23" s="612">
        <v>0</v>
      </c>
      <c r="J23" s="612">
        <v>0</v>
      </c>
      <c r="K23" s="612">
        <v>0</v>
      </c>
      <c r="L23" s="612">
        <v>0</v>
      </c>
      <c r="M23" s="612">
        <v>0</v>
      </c>
      <c r="N23" s="612">
        <v>0</v>
      </c>
      <c r="O23" s="612">
        <v>62.23</v>
      </c>
      <c r="P23" s="612">
        <v>0</v>
      </c>
      <c r="Q23" s="612">
        <v>0</v>
      </c>
      <c r="R23" s="612">
        <v>0</v>
      </c>
      <c r="S23" s="612">
        <v>0</v>
      </c>
      <c r="T23" s="612">
        <v>0</v>
      </c>
      <c r="U23" s="612">
        <v>0</v>
      </c>
      <c r="V23" s="612">
        <v>0</v>
      </c>
      <c r="W23" s="612">
        <v>0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1136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0.99996599620022453</v>
      </c>
      <c r="AX23" s="372">
        <f t="shared" si="5"/>
        <v>0.99792428747487705</v>
      </c>
      <c r="AY23" s="372">
        <f t="shared" si="6"/>
        <v>0.99874161029761743</v>
      </c>
      <c r="AZ23" s="372">
        <f t="shared" si="7"/>
        <v>0.99890733314046143</v>
      </c>
      <c r="BA23" s="372">
        <f t="shared" si="8"/>
        <v>0.99999999999999989</v>
      </c>
      <c r="BB23" s="372">
        <f t="shared" si="9"/>
        <v>0.99981532614787261</v>
      </c>
      <c r="BC23" s="373">
        <v>1</v>
      </c>
      <c r="BD23" s="373">
        <v>2</v>
      </c>
      <c r="BE23" s="372">
        <f t="shared" si="10"/>
        <v>0.9904498750129116</v>
      </c>
      <c r="BF23" s="372">
        <f t="shared" si="11"/>
        <v>0.9911178203413199</v>
      </c>
      <c r="BG23" s="372">
        <f t="shared" si="12"/>
        <v>0.99374348792097678</v>
      </c>
      <c r="BH23" s="372">
        <f t="shared" si="13"/>
        <v>0.99473475810828682</v>
      </c>
      <c r="BI23" s="372">
        <f t="shared" si="14"/>
        <v>0.99853618649893894</v>
      </c>
      <c r="BJ23" s="372">
        <f t="shared" si="15"/>
        <v>0.9981662033743548</v>
      </c>
      <c r="BK23" s="7"/>
      <c r="BL23" s="41">
        <f t="shared" si="16"/>
        <v>1136</v>
      </c>
      <c r="BM23" s="41">
        <f>$W$135</f>
        <v>80679.75</v>
      </c>
      <c r="BN23" s="15">
        <f t="shared" si="17"/>
        <v>0.99792428747487705</v>
      </c>
      <c r="BO23" s="41">
        <f t="shared" si="29"/>
        <v>80847.56630600708</v>
      </c>
      <c r="BP23" s="41">
        <f t="shared" si="18"/>
        <v>167.81630600708013</v>
      </c>
      <c r="BQ23" s="73">
        <f t="shared" si="19"/>
        <v>71.168632311625956</v>
      </c>
      <c r="BR23" s="7"/>
      <c r="BS23" s="73">
        <f t="shared" si="20"/>
        <v>71.023321752953123</v>
      </c>
      <c r="BT23" s="73">
        <f t="shared" si="21"/>
        <v>71.168632311625956</v>
      </c>
      <c r="BU23" s="73">
        <f t="shared" si="22"/>
        <v>71.110391274252763</v>
      </c>
      <c r="BV23" s="73">
        <f t="shared" si="23"/>
        <v>71.098593767310177</v>
      </c>
      <c r="BW23" s="73">
        <f t="shared" si="24"/>
        <v>71.034024817135943</v>
      </c>
      <c r="BY23" s="41">
        <f>$W$135</f>
        <v>80679.75</v>
      </c>
      <c r="BZ23" s="41">
        <f>$W$90</f>
        <v>0</v>
      </c>
      <c r="CA23" s="41">
        <f t="shared" si="28"/>
        <v>80679.75</v>
      </c>
    </row>
    <row r="24" spans="1:79" x14ac:dyDescent="0.2">
      <c r="A24" s="568" t="s">
        <v>994</v>
      </c>
      <c r="B24" s="6"/>
      <c r="C24" s="612">
        <v>0</v>
      </c>
      <c r="D24" s="612">
        <v>0</v>
      </c>
      <c r="E24" s="612">
        <v>80.099999999999994</v>
      </c>
      <c r="F24" s="612">
        <v>0</v>
      </c>
      <c r="G24" s="612">
        <v>0</v>
      </c>
      <c r="H24" s="612">
        <v>110.71</v>
      </c>
      <c r="I24" s="612">
        <v>0</v>
      </c>
      <c r="J24" s="612">
        <v>0</v>
      </c>
      <c r="K24" s="612">
        <v>0</v>
      </c>
      <c r="L24" s="612">
        <v>0</v>
      </c>
      <c r="M24" s="612">
        <v>0</v>
      </c>
      <c r="N24" s="612">
        <v>0</v>
      </c>
      <c r="O24" s="612">
        <v>0</v>
      </c>
      <c r="P24" s="612">
        <v>0</v>
      </c>
      <c r="Q24" s="612">
        <v>0</v>
      </c>
      <c r="R24" s="612">
        <v>0</v>
      </c>
      <c r="S24" s="612">
        <v>0</v>
      </c>
      <c r="T24" s="612">
        <v>0</v>
      </c>
      <c r="U24" s="612">
        <v>6.84</v>
      </c>
      <c r="V24" s="612">
        <v>0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1138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1</v>
      </c>
      <c r="AX24" s="372">
        <f t="shared" si="5"/>
        <v>0.99794125437217762</v>
      </c>
      <c r="AY24" s="372">
        <f t="shared" si="6"/>
        <v>0.99875010062222924</v>
      </c>
      <c r="AZ24" s="372">
        <f t="shared" si="7"/>
        <v>0.99905270932005874</v>
      </c>
      <c r="BA24" s="372">
        <f t="shared" si="8"/>
        <v>0.99999999999999989</v>
      </c>
      <c r="BB24" s="372">
        <f t="shared" si="9"/>
        <v>0.99981532614787261</v>
      </c>
      <c r="BC24" s="373">
        <v>1</v>
      </c>
      <c r="BD24" s="373">
        <v>2</v>
      </c>
      <c r="BE24" s="372">
        <f t="shared" si="10"/>
        <v>0.99280954371526875</v>
      </c>
      <c r="BF24" s="372">
        <f t="shared" si="11"/>
        <v>0.99278134418966524</v>
      </c>
      <c r="BG24" s="372">
        <f t="shared" si="12"/>
        <v>0.99502394271736749</v>
      </c>
      <c r="BH24" s="372">
        <f t="shared" si="13"/>
        <v>0.99569496593568996</v>
      </c>
      <c r="BI24" s="372">
        <f t="shared" si="14"/>
        <v>0.99905321097535393</v>
      </c>
      <c r="BJ24" s="372">
        <f t="shared" si="15"/>
        <v>0.99883387242773924</v>
      </c>
      <c r="BK24" s="7"/>
      <c r="BL24" s="41">
        <f t="shared" si="16"/>
        <v>1138</v>
      </c>
      <c r="BM24" s="41">
        <f>$V$135</f>
        <v>49619.499999999993</v>
      </c>
      <c r="BN24" s="15">
        <f t="shared" si="17"/>
        <v>0.99794125437217762</v>
      </c>
      <c r="BO24" s="41">
        <f t="shared" si="29"/>
        <v>49721.864671499621</v>
      </c>
      <c r="BP24" s="41">
        <f t="shared" si="18"/>
        <v>102.36467149962846</v>
      </c>
      <c r="BQ24" s="73">
        <f t="shared" si="19"/>
        <v>43.692323964410917</v>
      </c>
      <c r="BR24" s="7"/>
      <c r="BS24" s="73">
        <f t="shared" si="20"/>
        <v>43.602372583479784</v>
      </c>
      <c r="BT24" s="73">
        <f t="shared" si="21"/>
        <v>43.692323964410917</v>
      </c>
      <c r="BU24" s="73">
        <f t="shared" si="22"/>
        <v>43.656939364827252</v>
      </c>
      <c r="BV24" s="73">
        <f t="shared" si="23"/>
        <v>43.643715868760268</v>
      </c>
      <c r="BW24" s="73">
        <f t="shared" si="24"/>
        <v>43.610426288895475</v>
      </c>
      <c r="BY24" s="41">
        <f>$V$135</f>
        <v>49619.499999999993</v>
      </c>
      <c r="BZ24" s="41">
        <f>$V$90</f>
        <v>0</v>
      </c>
      <c r="CA24" s="41">
        <f t="shared" si="28"/>
        <v>49619.499999999993</v>
      </c>
    </row>
    <row r="25" spans="1:79" x14ac:dyDescent="0.2">
      <c r="A25" s="568" t="s">
        <v>995</v>
      </c>
      <c r="B25" s="6"/>
      <c r="C25" s="612">
        <v>0</v>
      </c>
      <c r="D25" s="612">
        <v>0</v>
      </c>
      <c r="E25" s="612">
        <v>0</v>
      </c>
      <c r="F25" s="612">
        <v>0</v>
      </c>
      <c r="G25" s="612">
        <v>0</v>
      </c>
      <c r="H25" s="612">
        <v>0</v>
      </c>
      <c r="I25" s="612">
        <v>0</v>
      </c>
      <c r="J25" s="612">
        <v>0</v>
      </c>
      <c r="K25" s="612">
        <v>0</v>
      </c>
      <c r="L25" s="612">
        <v>0</v>
      </c>
      <c r="M25" s="612">
        <v>0</v>
      </c>
      <c r="N25" s="612">
        <v>0</v>
      </c>
      <c r="O25" s="612">
        <v>0</v>
      </c>
      <c r="P25" s="612">
        <v>0</v>
      </c>
      <c r="Q25" s="612">
        <v>0</v>
      </c>
      <c r="R25" s="612">
        <v>0</v>
      </c>
      <c r="S25" s="612">
        <v>0</v>
      </c>
      <c r="T25" s="612">
        <v>0</v>
      </c>
      <c r="U25" s="612">
        <v>0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1150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1</v>
      </c>
      <c r="AX25" s="372">
        <f t="shared" si="5"/>
        <v>0.9983674544622958</v>
      </c>
      <c r="AY25" s="372">
        <f t="shared" si="6"/>
        <v>0.99900174462153146</v>
      </c>
      <c r="AZ25" s="372">
        <f t="shared" si="7"/>
        <v>0.9992282064165503</v>
      </c>
      <c r="BA25" s="372">
        <f t="shared" si="8"/>
        <v>0.99999999999999989</v>
      </c>
      <c r="BB25" s="372">
        <f t="shared" si="9"/>
        <v>0.99986149141336789</v>
      </c>
      <c r="BC25" s="373">
        <v>1</v>
      </c>
      <c r="BD25" s="373">
        <v>2</v>
      </c>
      <c r="BE25" s="372">
        <f t="shared" si="10"/>
        <v>0.99489044699339968</v>
      </c>
      <c r="BF25" s="372">
        <f t="shared" si="11"/>
        <v>0.99441367523631286</v>
      </c>
      <c r="BG25" s="372">
        <f t="shared" si="12"/>
        <v>0.99615425191629847</v>
      </c>
      <c r="BH25" s="372">
        <f t="shared" si="13"/>
        <v>0.99661147724992316</v>
      </c>
      <c r="BI25" s="372">
        <f t="shared" si="14"/>
        <v>0.99950733877061748</v>
      </c>
      <c r="BJ25" s="372">
        <f t="shared" si="15"/>
        <v>0.99927035619463966</v>
      </c>
      <c r="BK25" s="7"/>
      <c r="BL25" s="41">
        <f t="shared" si="16"/>
        <v>1150</v>
      </c>
      <c r="BM25" s="41">
        <f>$U$135</f>
        <v>67051.33</v>
      </c>
      <c r="BN25" s="15">
        <f t="shared" si="17"/>
        <v>0.9983674544622958</v>
      </c>
      <c r="BO25" s="41">
        <f t="shared" si="29"/>
        <v>67160.97334734608</v>
      </c>
      <c r="BP25" s="41">
        <f t="shared" si="18"/>
        <v>109.64334734607837</v>
      </c>
      <c r="BQ25" s="73">
        <f t="shared" si="19"/>
        <v>58.400846388996591</v>
      </c>
      <c r="BR25" s="7"/>
      <c r="BS25" s="73">
        <f t="shared" si="20"/>
        <v>58.305504347826087</v>
      </c>
      <c r="BT25" s="73">
        <f t="shared" si="21"/>
        <v>58.400846388996591</v>
      </c>
      <c r="BU25" s="73">
        <f t="shared" si="22"/>
        <v>58.363766291434196</v>
      </c>
      <c r="BV25" s="73">
        <f t="shared" si="23"/>
        <v>58.350538919354882</v>
      </c>
      <c r="BW25" s="73">
        <f t="shared" si="24"/>
        <v>58.313581279550576</v>
      </c>
      <c r="BY25" s="41">
        <f>$U$135</f>
        <v>67051.33</v>
      </c>
      <c r="BZ25" s="41">
        <f>$U$90</f>
        <v>0</v>
      </c>
      <c r="CA25" s="41">
        <f t="shared" si="28"/>
        <v>67051.33</v>
      </c>
    </row>
    <row r="26" spans="1:79" x14ac:dyDescent="0.2">
      <c r="A26" s="568" t="s">
        <v>996</v>
      </c>
      <c r="B26" s="6"/>
      <c r="C26" s="612">
        <v>0</v>
      </c>
      <c r="D26" s="612">
        <v>0</v>
      </c>
      <c r="E26" s="612">
        <v>45.8</v>
      </c>
      <c r="F26" s="612">
        <v>0</v>
      </c>
      <c r="G26" s="612">
        <v>0</v>
      </c>
      <c r="H26" s="612">
        <v>0</v>
      </c>
      <c r="I26" s="612">
        <v>100</v>
      </c>
      <c r="J26" s="612">
        <v>0</v>
      </c>
      <c r="K26" s="612">
        <v>0</v>
      </c>
      <c r="L26" s="612">
        <v>0</v>
      </c>
      <c r="M26" s="612">
        <v>0</v>
      </c>
      <c r="N26" s="612">
        <v>0</v>
      </c>
      <c r="O26" s="612">
        <v>0</v>
      </c>
      <c r="P26" s="612">
        <v>328.23</v>
      </c>
      <c r="Q26" s="612">
        <v>0</v>
      </c>
      <c r="R26" s="612">
        <v>0</v>
      </c>
      <c r="S26" s="612">
        <v>0</v>
      </c>
      <c r="T26" s="612">
        <v>0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1145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1</v>
      </c>
      <c r="AX26" s="372">
        <f t="shared" si="5"/>
        <v>0.99964714717114733</v>
      </c>
      <c r="AY26" s="372">
        <f t="shared" si="6"/>
        <v>0.99975705710704843</v>
      </c>
      <c r="AZ26" s="372">
        <f t="shared" si="7"/>
        <v>0.99975488269829405</v>
      </c>
      <c r="BA26" s="372">
        <f t="shared" si="8"/>
        <v>0.99999999999999989</v>
      </c>
      <c r="BB26" s="372">
        <f t="shared" si="9"/>
        <v>1</v>
      </c>
      <c r="BC26" s="373">
        <v>1</v>
      </c>
      <c r="BD26" s="373">
        <v>2</v>
      </c>
      <c r="BE26" s="372">
        <f t="shared" si="10"/>
        <v>0.99615207230078384</v>
      </c>
      <c r="BF26" s="372">
        <f t="shared" si="11"/>
        <v>0.99566561285681254</v>
      </c>
      <c r="BG26" s="372">
        <f t="shared" si="12"/>
        <v>0.99719517891673271</v>
      </c>
      <c r="BH26" s="372">
        <f t="shared" si="13"/>
        <v>0.997415511973332</v>
      </c>
      <c r="BI26" s="372">
        <f t="shared" si="14"/>
        <v>0.99984852651137424</v>
      </c>
      <c r="BJ26" s="372">
        <f t="shared" si="15"/>
        <v>0.99956449304184569</v>
      </c>
      <c r="BK26" s="7"/>
      <c r="BL26" s="41">
        <f t="shared" si="16"/>
        <v>1145</v>
      </c>
      <c r="BM26" s="41">
        <f>$T$135</f>
        <v>73966.600000000006</v>
      </c>
      <c r="BN26" s="15">
        <f t="shared" si="17"/>
        <v>0.99964714717114733</v>
      </c>
      <c r="BO26" s="41">
        <f t="shared" si="29"/>
        <v>73992.70853652159</v>
      </c>
      <c r="BP26" s="41">
        <f t="shared" si="18"/>
        <v>26.108536521584028</v>
      </c>
      <c r="BQ26" s="73">
        <f t="shared" si="19"/>
        <v>64.622452870324537</v>
      </c>
      <c r="BR26" s="7"/>
      <c r="BS26" s="73">
        <f t="shared" si="20"/>
        <v>64.599650655021833</v>
      </c>
      <c r="BT26" s="73">
        <f t="shared" si="21"/>
        <v>64.622452870324537</v>
      </c>
      <c r="BU26" s="73">
        <f t="shared" si="22"/>
        <v>64.615348494714212</v>
      </c>
      <c r="BV26" s="73">
        <f t="shared" si="23"/>
        <v>64.61548902934112</v>
      </c>
      <c r="BW26" s="73">
        <f t="shared" si="24"/>
        <v>64.599650655021833</v>
      </c>
      <c r="BY26" s="41">
        <f>$T$135</f>
        <v>73966.600000000006</v>
      </c>
      <c r="BZ26" s="41">
        <f>$T$90</f>
        <v>0</v>
      </c>
      <c r="CA26" s="41">
        <f t="shared" si="28"/>
        <v>73966.600000000006</v>
      </c>
    </row>
    <row r="27" spans="1:79" x14ac:dyDescent="0.2">
      <c r="A27" s="568" t="s">
        <v>997</v>
      </c>
      <c r="B27" s="6"/>
      <c r="C27" s="612">
        <v>0</v>
      </c>
      <c r="D27" s="612">
        <v>0</v>
      </c>
      <c r="E27" s="612">
        <v>0</v>
      </c>
      <c r="F27" s="612">
        <v>0</v>
      </c>
      <c r="G27" s="612">
        <v>0</v>
      </c>
      <c r="H27" s="612">
        <v>0</v>
      </c>
      <c r="I27" s="612">
        <v>0</v>
      </c>
      <c r="J27" s="612">
        <v>0</v>
      </c>
      <c r="K27" s="612">
        <v>0</v>
      </c>
      <c r="L27" s="612">
        <v>0</v>
      </c>
      <c r="M27" s="612">
        <v>0</v>
      </c>
      <c r="N27" s="612">
        <v>0</v>
      </c>
      <c r="O27" s="612">
        <v>0</v>
      </c>
      <c r="P27" s="612">
        <v>0</v>
      </c>
      <c r="Q27" s="612">
        <v>0</v>
      </c>
      <c r="R27" s="612">
        <v>0</v>
      </c>
      <c r="S27" s="612">
        <v>0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1103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1</v>
      </c>
      <c r="AX27" s="372">
        <f t="shared" si="5"/>
        <v>0.99964714717114733</v>
      </c>
      <c r="AY27" s="372">
        <f t="shared" si="6"/>
        <v>0.99975705710704843</v>
      </c>
      <c r="AZ27" s="372">
        <f t="shared" si="7"/>
        <v>0.99975488269829405</v>
      </c>
      <c r="BA27" s="372">
        <f t="shared" si="8"/>
        <v>0.99999999999999989</v>
      </c>
      <c r="BB27" s="372">
        <f t="shared" si="9"/>
        <v>1</v>
      </c>
      <c r="BC27" s="373">
        <v>1</v>
      </c>
      <c r="BD27" s="373">
        <v>2</v>
      </c>
      <c r="BE27" s="372">
        <f t="shared" si="10"/>
        <v>0.99725922090448393</v>
      </c>
      <c r="BF27" s="372">
        <f t="shared" si="11"/>
        <v>0.99685024909879139</v>
      </c>
      <c r="BG27" s="372">
        <f t="shared" si="12"/>
        <v>0.9977880542718689</v>
      </c>
      <c r="BH27" s="372">
        <f t="shared" si="13"/>
        <v>0.99796287741940404</v>
      </c>
      <c r="BI27" s="372">
        <f t="shared" si="14"/>
        <v>1</v>
      </c>
      <c r="BJ27" s="372">
        <f t="shared" si="15"/>
        <v>0.99979578176748096</v>
      </c>
      <c r="BK27" s="7"/>
      <c r="BL27" s="41">
        <f t="shared" si="16"/>
        <v>1103</v>
      </c>
      <c r="BM27" s="41">
        <f>$S$135</f>
        <v>50468.810000000019</v>
      </c>
      <c r="BN27" s="15">
        <f t="shared" si="17"/>
        <v>0.99964714717114733</v>
      </c>
      <c r="BO27" s="41">
        <f t="shared" si="29"/>
        <v>50486.62434822051</v>
      </c>
      <c r="BP27" s="41">
        <f t="shared" si="18"/>
        <v>17.814348220490501</v>
      </c>
      <c r="BQ27" s="73">
        <f t="shared" si="19"/>
        <v>45.772098230480971</v>
      </c>
      <c r="BR27" s="7"/>
      <c r="BS27" s="73">
        <f t="shared" si="20"/>
        <v>45.755947416137822</v>
      </c>
      <c r="BT27" s="73">
        <f t="shared" si="21"/>
        <v>45.772098230480971</v>
      </c>
      <c r="BU27" s="73">
        <f t="shared" si="22"/>
        <v>45.767066199602262</v>
      </c>
      <c r="BV27" s="73">
        <f t="shared" si="23"/>
        <v>45.767165740310823</v>
      </c>
      <c r="BW27" s="73">
        <f t="shared" si="24"/>
        <v>45.755947416137822</v>
      </c>
      <c r="BY27" s="41">
        <f>$S$135</f>
        <v>50468.810000000019</v>
      </c>
      <c r="BZ27" s="41">
        <f>$S$90</f>
        <v>0</v>
      </c>
      <c r="CA27" s="41">
        <f t="shared" si="28"/>
        <v>50468.810000000019</v>
      </c>
    </row>
    <row r="28" spans="1:79" x14ac:dyDescent="0.2">
      <c r="A28" s="568" t="s">
        <v>998</v>
      </c>
      <c r="B28" s="6"/>
      <c r="C28" s="612">
        <v>0</v>
      </c>
      <c r="D28" s="612">
        <v>0</v>
      </c>
      <c r="E28" s="612">
        <v>0</v>
      </c>
      <c r="F28" s="612">
        <v>0</v>
      </c>
      <c r="G28" s="612">
        <v>0</v>
      </c>
      <c r="H28" s="612">
        <v>0</v>
      </c>
      <c r="I28" s="612">
        <v>0</v>
      </c>
      <c r="J28" s="612">
        <v>0</v>
      </c>
      <c r="K28" s="612">
        <v>0</v>
      </c>
      <c r="L28" s="612">
        <v>0</v>
      </c>
      <c r="M28" s="612">
        <v>0</v>
      </c>
      <c r="N28" s="612">
        <v>0</v>
      </c>
      <c r="O28" s="612">
        <v>0</v>
      </c>
      <c r="P28" s="612">
        <v>0</v>
      </c>
      <c r="Q28" s="612">
        <v>0</v>
      </c>
      <c r="R28" s="612">
        <v>0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1108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1</v>
      </c>
      <c r="AX28" s="372">
        <f t="shared" si="5"/>
        <v>0.99964714717114733</v>
      </c>
      <c r="AY28" s="372">
        <f t="shared" si="6"/>
        <v>0.99977368483898421</v>
      </c>
      <c r="AZ28" s="372">
        <f t="shared" si="7"/>
        <v>0.99977205400485192</v>
      </c>
      <c r="BA28" s="372">
        <f t="shared" si="8"/>
        <v>0.99999999999999989</v>
      </c>
      <c r="BB28" s="372">
        <f t="shared" si="9"/>
        <v>1</v>
      </c>
      <c r="BC28" s="373">
        <v>1</v>
      </c>
      <c r="BD28" s="373">
        <v>2</v>
      </c>
      <c r="BE28" s="372">
        <f t="shared" si="10"/>
        <v>0.99820491888782659</v>
      </c>
      <c r="BF28" s="372">
        <f t="shared" si="11"/>
        <v>0.99789383657896313</v>
      </c>
      <c r="BG28" s="372">
        <f t="shared" si="12"/>
        <v>0.99831006438465353</v>
      </c>
      <c r="BH28" s="372">
        <f t="shared" si="13"/>
        <v>0.99843131898134363</v>
      </c>
      <c r="BI28" s="372">
        <f t="shared" si="14"/>
        <v>1</v>
      </c>
      <c r="BJ28" s="372">
        <f t="shared" si="15"/>
        <v>0.99994236284179128</v>
      </c>
      <c r="BK28" s="7"/>
      <c r="BL28" s="41">
        <f t="shared" si="16"/>
        <v>1108</v>
      </c>
      <c r="BM28" s="41">
        <f>$R$135</f>
        <v>50857.87</v>
      </c>
      <c r="BN28" s="15">
        <f t="shared" si="17"/>
        <v>0.99964714717114733</v>
      </c>
      <c r="BO28" s="41">
        <f t="shared" si="29"/>
        <v>50875.821677599146</v>
      </c>
      <c r="BP28" s="41">
        <f t="shared" si="18"/>
        <v>17.951677599143295</v>
      </c>
      <c r="BQ28" s="73">
        <f t="shared" si="19"/>
        <v>45.916806568230278</v>
      </c>
      <c r="BR28" s="7"/>
      <c r="BS28" s="73">
        <f t="shared" si="20"/>
        <v>45.900604693140799</v>
      </c>
      <c r="BT28" s="73">
        <f t="shared" si="21"/>
        <v>45.916806568230278</v>
      </c>
      <c r="BU28" s="73">
        <f t="shared" si="22"/>
        <v>45.910995047377341</v>
      </c>
      <c r="BV28" s="73">
        <f t="shared" si="23"/>
        <v>45.911069937666056</v>
      </c>
      <c r="BW28" s="73">
        <f t="shared" si="24"/>
        <v>45.900604693140799</v>
      </c>
      <c r="BY28" s="41">
        <f>$R$135</f>
        <v>50857.87</v>
      </c>
      <c r="BZ28" s="41">
        <f>$R$90</f>
        <v>0</v>
      </c>
      <c r="CA28" s="41">
        <f t="shared" si="28"/>
        <v>50857.87</v>
      </c>
    </row>
    <row r="29" spans="1:79" x14ac:dyDescent="0.2">
      <c r="A29" s="568" t="s">
        <v>999</v>
      </c>
      <c r="B29" s="6"/>
      <c r="C29" s="612">
        <v>0</v>
      </c>
      <c r="D29" s="612">
        <v>24</v>
      </c>
      <c r="E29" s="612">
        <v>0</v>
      </c>
      <c r="F29" s="612">
        <v>31.33</v>
      </c>
      <c r="G29" s="612">
        <v>0</v>
      </c>
      <c r="H29" s="612">
        <v>0</v>
      </c>
      <c r="I29" s="612">
        <v>0</v>
      </c>
      <c r="J29" s="612">
        <v>0</v>
      </c>
      <c r="K29" s="612">
        <v>0</v>
      </c>
      <c r="L29" s="612">
        <v>0</v>
      </c>
      <c r="M29" s="612">
        <v>0</v>
      </c>
      <c r="N29" s="612">
        <v>0</v>
      </c>
      <c r="O29" s="612">
        <v>0</v>
      </c>
      <c r="P29" s="612">
        <v>0</v>
      </c>
      <c r="Q29" s="612">
        <v>0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1102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1</v>
      </c>
      <c r="AX29" s="372">
        <f t="shared" si="5"/>
        <v>0.99964714717114733</v>
      </c>
      <c r="AY29" s="372">
        <f t="shared" si="6"/>
        <v>0.99982356969410202</v>
      </c>
      <c r="AZ29" s="372">
        <f t="shared" si="7"/>
        <v>0.99982356969410202</v>
      </c>
      <c r="BA29" s="372">
        <f t="shared" si="8"/>
        <v>0.99999999999999989</v>
      </c>
      <c r="BB29" s="372">
        <f t="shared" si="9"/>
        <v>1</v>
      </c>
      <c r="BC29" s="373">
        <v>1</v>
      </c>
      <c r="BD29" s="373">
        <v>2</v>
      </c>
      <c r="BE29" s="372">
        <f t="shared" si="10"/>
        <v>0.99882794146124221</v>
      </c>
      <c r="BF29" s="372">
        <f t="shared" si="11"/>
        <v>0.99860740940835935</v>
      </c>
      <c r="BG29" s="372">
        <f t="shared" si="12"/>
        <v>0.99876136539612448</v>
      </c>
      <c r="BH29" s="372">
        <f t="shared" si="13"/>
        <v>0.99885941846391424</v>
      </c>
      <c r="BI29" s="372">
        <f t="shared" si="14"/>
        <v>1</v>
      </c>
      <c r="BJ29" s="372">
        <f t="shared" si="15"/>
        <v>0.99998559039899593</v>
      </c>
      <c r="BK29" s="7"/>
      <c r="BL29" s="41">
        <f t="shared" si="16"/>
        <v>1102</v>
      </c>
      <c r="BM29" s="41">
        <f>$Q$135</f>
        <v>50754.500000000015</v>
      </c>
      <c r="BN29" s="15">
        <f t="shared" si="17"/>
        <v>0.99964714717114733</v>
      </c>
      <c r="BO29" s="41">
        <f t="shared" si="29"/>
        <v>50772.415190327607</v>
      </c>
      <c r="BP29" s="41">
        <f t="shared" si="18"/>
        <v>17.915190327592427</v>
      </c>
      <c r="BQ29" s="73">
        <f t="shared" si="19"/>
        <v>46.072972042039574</v>
      </c>
      <c r="BR29" s="7"/>
      <c r="BS29" s="73">
        <f t="shared" si="20"/>
        <v>46.056715063520883</v>
      </c>
      <c r="BT29" s="73">
        <f t="shared" si="21"/>
        <v>46.072972042039574</v>
      </c>
      <c r="BU29" s="73">
        <f t="shared" si="22"/>
        <v>46.064842297738622</v>
      </c>
      <c r="BV29" s="73">
        <f t="shared" si="23"/>
        <v>46.064842297738622</v>
      </c>
      <c r="BW29" s="73">
        <f t="shared" si="24"/>
        <v>46.056715063520883</v>
      </c>
      <c r="BY29" s="41">
        <f>$Q$135</f>
        <v>50754.500000000015</v>
      </c>
      <c r="BZ29" s="41">
        <f>$Q$90</f>
        <v>0</v>
      </c>
      <c r="CA29" s="41">
        <f t="shared" si="28"/>
        <v>50754.500000000015</v>
      </c>
    </row>
    <row r="30" spans="1:79" x14ac:dyDescent="0.2">
      <c r="A30" s="568" t="s">
        <v>1000</v>
      </c>
      <c r="B30" s="6"/>
      <c r="C30" s="612">
        <v>0</v>
      </c>
      <c r="D30" s="612">
        <v>0</v>
      </c>
      <c r="E30" s="612">
        <v>0</v>
      </c>
      <c r="F30" s="612">
        <v>0</v>
      </c>
      <c r="G30" s="612">
        <v>0</v>
      </c>
      <c r="H30" s="612">
        <v>0</v>
      </c>
      <c r="I30" s="612">
        <v>0</v>
      </c>
      <c r="J30" s="612">
        <v>0</v>
      </c>
      <c r="K30" s="612">
        <v>0</v>
      </c>
      <c r="L30" s="612">
        <v>0</v>
      </c>
      <c r="M30" s="612">
        <v>0</v>
      </c>
      <c r="N30" s="612">
        <v>0</v>
      </c>
      <c r="O30" s="612">
        <v>0</v>
      </c>
      <c r="P30" s="612">
        <v>0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1106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1</v>
      </c>
      <c r="AX30" s="372">
        <f t="shared" si="5"/>
        <v>0.99964714717114733</v>
      </c>
      <c r="AY30" s="372">
        <f t="shared" si="6"/>
        <v>0.99982356969410202</v>
      </c>
      <c r="AZ30" s="372">
        <f t="shared" si="7"/>
        <v>0.99982356969410202</v>
      </c>
      <c r="BA30" s="372">
        <f t="shared" si="8"/>
        <v>0.99999999999999989</v>
      </c>
      <c r="BB30" s="372">
        <f t="shared" si="9"/>
        <v>1</v>
      </c>
      <c r="BC30" s="373">
        <v>1</v>
      </c>
      <c r="BD30" s="373">
        <v>2</v>
      </c>
      <c r="BE30" s="372">
        <f t="shared" si="10"/>
        <v>0.99943340039623185</v>
      </c>
      <c r="BF30" s="372">
        <f t="shared" si="11"/>
        <v>0.99916199588658317</v>
      </c>
      <c r="BG30" s="372">
        <f t="shared" si="12"/>
        <v>0.99918617628528761</v>
      </c>
      <c r="BH30" s="372">
        <f t="shared" si="13"/>
        <v>0.99922841345266433</v>
      </c>
      <c r="BI30" s="372">
        <f t="shared" si="14"/>
        <v>1</v>
      </c>
      <c r="BJ30" s="372">
        <f t="shared" si="15"/>
        <v>1</v>
      </c>
      <c r="BK30" s="7"/>
      <c r="BL30" s="41">
        <f t="shared" si="16"/>
        <v>1106</v>
      </c>
      <c r="BM30" s="41">
        <f>$P$135</f>
        <v>42733.460000000028</v>
      </c>
      <c r="BN30" s="15">
        <f t="shared" si="17"/>
        <v>0.99964714717114733</v>
      </c>
      <c r="BO30" s="41">
        <f t="shared" si="29"/>
        <v>42748.543944660232</v>
      </c>
      <c r="BP30" s="41">
        <f t="shared" si="18"/>
        <v>15.083944660203997</v>
      </c>
      <c r="BQ30" s="73">
        <f t="shared" si="19"/>
        <v>38.651486387577066</v>
      </c>
      <c r="BR30" s="7"/>
      <c r="BS30" s="73">
        <f t="shared" si="20"/>
        <v>38.637848101265845</v>
      </c>
      <c r="BT30" s="73">
        <f t="shared" si="21"/>
        <v>38.651486387577066</v>
      </c>
      <c r="BU30" s="73">
        <f t="shared" si="22"/>
        <v>38.644666191543344</v>
      </c>
      <c r="BV30" s="73">
        <f t="shared" si="23"/>
        <v>38.644666191543344</v>
      </c>
      <c r="BW30" s="73">
        <f t="shared" si="24"/>
        <v>38.637848101265845</v>
      </c>
      <c r="BY30" s="41">
        <f>$P$135</f>
        <v>42733.460000000028</v>
      </c>
      <c r="BZ30" s="41">
        <f>$P$90</f>
        <v>0</v>
      </c>
      <c r="CA30" s="41">
        <f t="shared" si="28"/>
        <v>42733.460000000028</v>
      </c>
    </row>
    <row r="31" spans="1:79" x14ac:dyDescent="0.2">
      <c r="A31" s="568" t="s">
        <v>1001</v>
      </c>
      <c r="B31" s="6"/>
      <c r="C31" s="612">
        <v>0</v>
      </c>
      <c r="D31" s="612">
        <v>0</v>
      </c>
      <c r="E31" s="612">
        <v>0</v>
      </c>
      <c r="F31" s="612">
        <v>0</v>
      </c>
      <c r="G31" s="612">
        <v>0</v>
      </c>
      <c r="H31" s="612">
        <v>0</v>
      </c>
      <c r="I31" s="612">
        <v>0</v>
      </c>
      <c r="J31" s="612">
        <v>0</v>
      </c>
      <c r="K31" s="612">
        <v>0</v>
      </c>
      <c r="L31" s="612">
        <v>0</v>
      </c>
      <c r="M31" s="612">
        <v>0</v>
      </c>
      <c r="N31" s="612">
        <v>0</v>
      </c>
      <c r="O31" s="612">
        <v>0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1107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1</v>
      </c>
      <c r="AX31" s="372">
        <f t="shared" ref="AX31:AX43" si="31">$H304</f>
        <v>0.99973534870428915</v>
      </c>
      <c r="AY31" s="372">
        <f t="shared" ref="AY31:AY43" si="32">$K304</f>
        <v>0.99986767435214452</v>
      </c>
      <c r="AZ31" s="372">
        <f t="shared" ref="AZ31:AZ43" si="33">$N304</f>
        <v>0.99986767435214452</v>
      </c>
      <c r="BA31" s="372">
        <f t="shared" ref="BA31:BA43" si="34">+S304</f>
        <v>0.99999999999999989</v>
      </c>
      <c r="BB31" s="372">
        <f t="shared" ref="BB31:BB43" si="35">$V304</f>
        <v>1</v>
      </c>
      <c r="BC31" s="373">
        <v>1</v>
      </c>
      <c r="BD31" s="373">
        <v>2</v>
      </c>
      <c r="BE31" s="372">
        <f t="shared" ref="BE31:BE42" si="36">$E372</f>
        <v>0.99963530158817382</v>
      </c>
      <c r="BF31" s="372">
        <f t="shared" ref="BF31:BF42" si="37">$H372</f>
        <v>0.99947370829413362</v>
      </c>
      <c r="BG31" s="372">
        <f t="shared" ref="BG31:BG42" si="38">$K372</f>
        <v>0.9994635422079905</v>
      </c>
      <c r="BH31" s="372">
        <f t="shared" ref="BH31:BH42" si="39">$N372</f>
        <v>0.9994635422079905</v>
      </c>
      <c r="BI31" s="372">
        <f t="shared" ref="BI31:BI42" si="40">$S372</f>
        <v>1</v>
      </c>
      <c r="BJ31" s="372">
        <f t="shared" ref="BJ31:BJ42" si="41">$V372</f>
        <v>1</v>
      </c>
      <c r="BK31" s="7"/>
      <c r="BL31" s="41">
        <f t="shared" si="16"/>
        <v>1107</v>
      </c>
      <c r="BM31" s="41">
        <f>$O$135</f>
        <v>44270.220000000016</v>
      </c>
      <c r="BN31" s="15">
        <f t="shared" si="17"/>
        <v>0.99973534870428915</v>
      </c>
      <c r="BO31" s="41">
        <f t="shared" si="29"/>
        <v>44281.939272605101</v>
      </c>
      <c r="BP31" s="41">
        <f t="shared" si="18"/>
        <v>11.71927260508528</v>
      </c>
      <c r="BQ31" s="73">
        <f t="shared" si="19"/>
        <v>40.001751827104876</v>
      </c>
      <c r="BR31" s="7"/>
      <c r="BS31" s="73">
        <f t="shared" si="20"/>
        <v>39.991165311653134</v>
      </c>
      <c r="BT31" s="73">
        <f t="shared" si="21"/>
        <v>40.001751827104876</v>
      </c>
      <c r="BU31" s="73">
        <f t="shared" si="22"/>
        <v>39.996457868852552</v>
      </c>
      <c r="BV31" s="73">
        <f t="shared" si="23"/>
        <v>39.996457868852552</v>
      </c>
      <c r="BW31" s="73">
        <f t="shared" si="24"/>
        <v>39.991165311653134</v>
      </c>
      <c r="BY31" s="41">
        <f>$O$135</f>
        <v>44270.220000000016</v>
      </c>
      <c r="BZ31" s="41">
        <f>$O$90</f>
        <v>0</v>
      </c>
      <c r="CA31" s="41">
        <f t="shared" si="28"/>
        <v>44270.220000000016</v>
      </c>
    </row>
    <row r="32" spans="1:79" x14ac:dyDescent="0.2">
      <c r="A32" s="568" t="s">
        <v>1043</v>
      </c>
      <c r="B32" s="6"/>
      <c r="C32" s="612">
        <v>0</v>
      </c>
      <c r="D32" s="612">
        <v>0</v>
      </c>
      <c r="E32" s="612">
        <v>0</v>
      </c>
      <c r="F32" s="612">
        <v>0</v>
      </c>
      <c r="G32" s="612">
        <v>0</v>
      </c>
      <c r="H32" s="612">
        <v>0</v>
      </c>
      <c r="I32" s="612">
        <v>0</v>
      </c>
      <c r="J32" s="612">
        <v>98.46</v>
      </c>
      <c r="K32" s="612">
        <v>0</v>
      </c>
      <c r="L32" s="612">
        <v>0</v>
      </c>
      <c r="M32" s="612">
        <v>0</v>
      </c>
      <c r="N32" s="612">
        <v>0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1114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1</v>
      </c>
      <c r="AX32" s="372">
        <f t="shared" si="31"/>
        <v>1</v>
      </c>
      <c r="AY32" s="372">
        <f t="shared" si="32"/>
        <v>1</v>
      </c>
      <c r="AZ32" s="372">
        <f t="shared" si="33"/>
        <v>1</v>
      </c>
      <c r="BA32" s="372">
        <f t="shared" si="34"/>
        <v>1</v>
      </c>
      <c r="BB32" s="372">
        <f t="shared" si="35"/>
        <v>1</v>
      </c>
      <c r="BC32" s="373">
        <v>1</v>
      </c>
      <c r="BD32" s="373">
        <v>2</v>
      </c>
      <c r="BE32" s="372">
        <f t="shared" si="36"/>
        <v>0.99979354828983313</v>
      </c>
      <c r="BF32" s="372">
        <f t="shared" si="37"/>
        <v>0.99975142698752173</v>
      </c>
      <c r="BG32" s="372">
        <f t="shared" si="38"/>
        <v>0.9996718146415311</v>
      </c>
      <c r="BH32" s="372">
        <f t="shared" si="39"/>
        <v>0.9996718146415311</v>
      </c>
      <c r="BI32" s="372">
        <f t="shared" si="40"/>
        <v>1</v>
      </c>
      <c r="BJ32" s="372">
        <f t="shared" si="41"/>
        <v>1</v>
      </c>
      <c r="BK32" s="7"/>
      <c r="BL32" s="41">
        <f t="shared" si="16"/>
        <v>1114</v>
      </c>
      <c r="BM32" s="41">
        <f>$N$135</f>
        <v>41139.020000000004</v>
      </c>
      <c r="BN32" s="15">
        <f t="shared" si="17"/>
        <v>1</v>
      </c>
      <c r="BO32" s="41">
        <f t="shared" si="29"/>
        <v>41139.020000000004</v>
      </c>
      <c r="BP32" s="41">
        <f t="shared" si="18"/>
        <v>0</v>
      </c>
      <c r="BQ32" s="73">
        <f t="shared" si="19"/>
        <v>36.92910233393178</v>
      </c>
      <c r="BR32" s="7"/>
      <c r="BS32" s="73">
        <f t="shared" si="20"/>
        <v>36.92910233393178</v>
      </c>
      <c r="BT32" s="73">
        <f t="shared" si="21"/>
        <v>36.92910233393178</v>
      </c>
      <c r="BU32" s="73">
        <f t="shared" si="22"/>
        <v>36.92910233393178</v>
      </c>
      <c r="BV32" s="73">
        <f t="shared" si="23"/>
        <v>36.92910233393178</v>
      </c>
      <c r="BW32" s="73">
        <f t="shared" si="24"/>
        <v>36.92910233393178</v>
      </c>
      <c r="BY32" s="41">
        <f>$N$135</f>
        <v>41139.020000000004</v>
      </c>
      <c r="BZ32" s="41">
        <f>$N$90</f>
        <v>0</v>
      </c>
      <c r="CA32" s="41">
        <f t="shared" si="28"/>
        <v>41139.020000000004</v>
      </c>
    </row>
    <row r="33" spans="1:79" x14ac:dyDescent="0.2">
      <c r="A33" s="568" t="s">
        <v>1044</v>
      </c>
      <c r="B33" s="6"/>
      <c r="C33" s="612">
        <v>0</v>
      </c>
      <c r="D33" s="612">
        <v>0</v>
      </c>
      <c r="E33" s="612">
        <v>0</v>
      </c>
      <c r="F33" s="612">
        <v>0</v>
      </c>
      <c r="G33" s="612">
        <v>0</v>
      </c>
      <c r="H33" s="612">
        <v>0</v>
      </c>
      <c r="I33" s="612">
        <v>0</v>
      </c>
      <c r="J33" s="612">
        <v>0</v>
      </c>
      <c r="K33" s="612">
        <v>0</v>
      </c>
      <c r="L33" s="612">
        <v>0</v>
      </c>
      <c r="M33" s="612">
        <v>0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1105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1</v>
      </c>
      <c r="AX33" s="372">
        <f t="shared" si="31"/>
        <v>1</v>
      </c>
      <c r="AY33" s="372">
        <f t="shared" si="32"/>
        <v>1</v>
      </c>
      <c r="AZ33" s="372">
        <f t="shared" si="33"/>
        <v>1</v>
      </c>
      <c r="BA33" s="372">
        <f t="shared" si="34"/>
        <v>1</v>
      </c>
      <c r="BB33" s="372">
        <f t="shared" si="35"/>
        <v>1</v>
      </c>
      <c r="BC33" s="373">
        <v>1</v>
      </c>
      <c r="BD33" s="373">
        <v>2</v>
      </c>
      <c r="BE33" s="372">
        <f t="shared" si="36"/>
        <v>0.99990881292517775</v>
      </c>
      <c r="BF33" s="372">
        <f t="shared" si="37"/>
        <v>0.99984401703276693</v>
      </c>
      <c r="BG33" s="372">
        <f t="shared" si="38"/>
        <v>0.99981498944211311</v>
      </c>
      <c r="BH33" s="372">
        <f t="shared" si="39"/>
        <v>0.99981498944211311</v>
      </c>
      <c r="BI33" s="372">
        <f t="shared" si="40"/>
        <v>1</v>
      </c>
      <c r="BJ33" s="372">
        <f t="shared" si="41"/>
        <v>1</v>
      </c>
      <c r="BK33" s="7"/>
      <c r="BL33" s="41">
        <f t="shared" si="16"/>
        <v>1105</v>
      </c>
      <c r="BM33" s="41">
        <f>$M$135</f>
        <v>49796.490000000005</v>
      </c>
      <c r="BN33" s="15">
        <f t="shared" si="17"/>
        <v>1</v>
      </c>
      <c r="BO33" s="41">
        <f t="shared" si="29"/>
        <v>49796.490000000005</v>
      </c>
      <c r="BP33" s="41">
        <f t="shared" si="18"/>
        <v>0</v>
      </c>
      <c r="BQ33" s="73">
        <f t="shared" si="19"/>
        <v>45.064696832579187</v>
      </c>
      <c r="BR33" s="7"/>
      <c r="BS33" s="73">
        <f t="shared" si="20"/>
        <v>45.064696832579187</v>
      </c>
      <c r="BT33" s="73">
        <f t="shared" si="21"/>
        <v>45.064696832579187</v>
      </c>
      <c r="BU33" s="73">
        <f t="shared" si="22"/>
        <v>45.064696832579187</v>
      </c>
      <c r="BV33" s="73">
        <f t="shared" si="23"/>
        <v>45.064696832579187</v>
      </c>
      <c r="BW33" s="73">
        <f t="shared" si="24"/>
        <v>45.064696832579187</v>
      </c>
      <c r="BY33" s="41">
        <f>$M$135</f>
        <v>49796.490000000005</v>
      </c>
      <c r="BZ33" s="41">
        <f>$M$90</f>
        <v>0</v>
      </c>
      <c r="CA33" s="41">
        <f t="shared" si="28"/>
        <v>49796.490000000005</v>
      </c>
    </row>
    <row r="34" spans="1:79" x14ac:dyDescent="0.2">
      <c r="A34" s="568" t="s">
        <v>1045</v>
      </c>
      <c r="B34" s="6"/>
      <c r="C34" s="612">
        <v>0</v>
      </c>
      <c r="D34" s="612">
        <v>0</v>
      </c>
      <c r="E34" s="612">
        <v>0</v>
      </c>
      <c r="F34" s="612">
        <v>0</v>
      </c>
      <c r="G34" s="612">
        <v>0</v>
      </c>
      <c r="H34" s="612">
        <v>0</v>
      </c>
      <c r="I34" s="612">
        <v>0</v>
      </c>
      <c r="J34" s="612">
        <v>0</v>
      </c>
      <c r="K34" s="612">
        <v>0</v>
      </c>
      <c r="L34" s="612">
        <v>0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1112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1</v>
      </c>
      <c r="AX34" s="372">
        <f t="shared" si="31"/>
        <v>1</v>
      </c>
      <c r="AY34" s="372">
        <f t="shared" si="32"/>
        <v>1</v>
      </c>
      <c r="AZ34" s="372">
        <f t="shared" si="33"/>
        <v>1</v>
      </c>
      <c r="BA34" s="372">
        <f t="shared" si="34"/>
        <v>1</v>
      </c>
      <c r="BB34" s="372">
        <f t="shared" si="35"/>
        <v>1</v>
      </c>
      <c r="BC34" s="373">
        <v>1</v>
      </c>
      <c r="BD34" s="373">
        <v>2</v>
      </c>
      <c r="BE34" s="372">
        <f t="shared" si="36"/>
        <v>0.99996157347443837</v>
      </c>
      <c r="BF34" s="372">
        <f t="shared" si="37"/>
        <v>0.99992315064028625</v>
      </c>
      <c r="BG34" s="372">
        <f t="shared" si="38"/>
        <v>0.99988443317521014</v>
      </c>
      <c r="BH34" s="372">
        <f t="shared" si="39"/>
        <v>0.99988443317521014</v>
      </c>
      <c r="BI34" s="372">
        <f t="shared" si="40"/>
        <v>1</v>
      </c>
      <c r="BJ34" s="372">
        <f t="shared" si="41"/>
        <v>1</v>
      </c>
      <c r="BK34" s="7"/>
      <c r="BL34" s="41">
        <f t="shared" si="16"/>
        <v>1112</v>
      </c>
      <c r="BM34" s="41">
        <f>$L$135</f>
        <v>41234.950000000004</v>
      </c>
      <c r="BN34" s="15">
        <f t="shared" si="17"/>
        <v>1</v>
      </c>
      <c r="BO34" s="41">
        <f t="shared" si="29"/>
        <v>41234.950000000004</v>
      </c>
      <c r="BP34" s="41">
        <f t="shared" si="18"/>
        <v>0</v>
      </c>
      <c r="BQ34" s="73">
        <f t="shared" si="19"/>
        <v>37.081789568345329</v>
      </c>
      <c r="BR34" s="7"/>
      <c r="BS34" s="73">
        <f t="shared" si="20"/>
        <v>37.081789568345329</v>
      </c>
      <c r="BT34" s="73">
        <f t="shared" si="21"/>
        <v>37.081789568345329</v>
      </c>
      <c r="BU34" s="73">
        <f t="shared" si="22"/>
        <v>37.081789568345329</v>
      </c>
      <c r="BV34" s="73">
        <f t="shared" si="23"/>
        <v>37.081789568345329</v>
      </c>
      <c r="BW34" s="73">
        <f t="shared" si="24"/>
        <v>37.081789568345329</v>
      </c>
      <c r="BY34" s="41">
        <f>$L$135</f>
        <v>41234.950000000004</v>
      </c>
      <c r="BZ34" s="41">
        <f>$L$90</f>
        <v>0</v>
      </c>
      <c r="CA34" s="41">
        <f t="shared" si="28"/>
        <v>41234.950000000004</v>
      </c>
    </row>
    <row r="35" spans="1:79" x14ac:dyDescent="0.2">
      <c r="A35" s="568" t="s">
        <v>1046</v>
      </c>
      <c r="B35" s="6"/>
      <c r="C35" s="612">
        <v>0</v>
      </c>
      <c r="D35" s="612">
        <v>0</v>
      </c>
      <c r="E35" s="612">
        <v>0</v>
      </c>
      <c r="F35" s="612">
        <v>0</v>
      </c>
      <c r="G35" s="612">
        <v>0</v>
      </c>
      <c r="H35" s="612">
        <v>0</v>
      </c>
      <c r="I35" s="612">
        <v>0</v>
      </c>
      <c r="J35" s="612">
        <v>0</v>
      </c>
      <c r="K35" s="612">
        <v>0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1112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1</v>
      </c>
      <c r="AX35" s="372">
        <f t="shared" si="31"/>
        <v>1</v>
      </c>
      <c r="AY35" s="372">
        <f t="shared" si="32"/>
        <v>1</v>
      </c>
      <c r="AZ35" s="372">
        <f t="shared" si="33"/>
        <v>1</v>
      </c>
      <c r="BA35" s="372">
        <f t="shared" si="34"/>
        <v>1</v>
      </c>
      <c r="BB35" s="372">
        <f t="shared" si="35"/>
        <v>1</v>
      </c>
      <c r="BC35" s="373">
        <v>1</v>
      </c>
      <c r="BD35" s="373">
        <v>2</v>
      </c>
      <c r="BE35" s="372">
        <f t="shared" si="36"/>
        <v>1</v>
      </c>
      <c r="BF35" s="372">
        <f t="shared" si="37"/>
        <v>0.99998078710637572</v>
      </c>
      <c r="BG35" s="372">
        <f t="shared" si="38"/>
        <v>0.99995226395652859</v>
      </c>
      <c r="BH35" s="372">
        <f t="shared" si="39"/>
        <v>0.99995226395652859</v>
      </c>
      <c r="BI35" s="372">
        <f t="shared" si="40"/>
        <v>1</v>
      </c>
      <c r="BJ35" s="372">
        <f t="shared" si="41"/>
        <v>1</v>
      </c>
      <c r="BK35" s="7"/>
      <c r="BL35" s="41">
        <f t="shared" si="16"/>
        <v>1112</v>
      </c>
      <c r="BM35" s="41">
        <f>$K$135</f>
        <v>56568.250000000022</v>
      </c>
      <c r="BN35" s="15">
        <f t="shared" si="17"/>
        <v>1</v>
      </c>
      <c r="BO35" s="41">
        <f t="shared" si="29"/>
        <v>56568.250000000022</v>
      </c>
      <c r="BP35" s="41">
        <f t="shared" si="18"/>
        <v>0</v>
      </c>
      <c r="BQ35" s="73">
        <f t="shared" si="19"/>
        <v>50.870728417266207</v>
      </c>
      <c r="BR35" s="7"/>
      <c r="BS35" s="73">
        <f t="shared" si="20"/>
        <v>50.870728417266207</v>
      </c>
      <c r="BT35" s="73">
        <f t="shared" si="21"/>
        <v>50.870728417266207</v>
      </c>
      <c r="BU35" s="73">
        <f t="shared" si="22"/>
        <v>50.870728417266207</v>
      </c>
      <c r="BV35" s="73">
        <f t="shared" si="23"/>
        <v>50.870728417266207</v>
      </c>
      <c r="BW35" s="73">
        <f t="shared" si="24"/>
        <v>50.870728417266207</v>
      </c>
      <c r="BY35" s="41">
        <f>$K$135</f>
        <v>56568.250000000022</v>
      </c>
      <c r="BZ35" s="41">
        <f>$K$90</f>
        <v>0</v>
      </c>
      <c r="CA35" s="41">
        <f t="shared" si="28"/>
        <v>56568.250000000022</v>
      </c>
    </row>
    <row r="36" spans="1:79" x14ac:dyDescent="0.2">
      <c r="A36" s="568" t="s">
        <v>1047</v>
      </c>
      <c r="B36" s="6"/>
      <c r="C36" s="612">
        <v>0</v>
      </c>
      <c r="D36" s="612">
        <v>0</v>
      </c>
      <c r="E36" s="612">
        <v>0</v>
      </c>
      <c r="F36" s="612">
        <v>0</v>
      </c>
      <c r="G36" s="612">
        <v>0</v>
      </c>
      <c r="H36" s="612">
        <v>0</v>
      </c>
      <c r="I36" s="612">
        <v>0</v>
      </c>
      <c r="J36" s="612">
        <v>0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1094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1</v>
      </c>
      <c r="AX36" s="372">
        <f t="shared" si="31"/>
        <v>1</v>
      </c>
      <c r="AY36" s="372">
        <f t="shared" si="32"/>
        <v>1</v>
      </c>
      <c r="AZ36" s="372">
        <f t="shared" si="33"/>
        <v>1</v>
      </c>
      <c r="BA36" s="372">
        <f t="shared" si="34"/>
        <v>1</v>
      </c>
      <c r="BB36" s="372">
        <f t="shared" si="35"/>
        <v>1</v>
      </c>
      <c r="BC36" s="373">
        <v>1</v>
      </c>
      <c r="BD36" s="373">
        <v>2</v>
      </c>
      <c r="BE36" s="372">
        <f t="shared" si="36"/>
        <v>1</v>
      </c>
      <c r="BF36" s="372">
        <f t="shared" si="37"/>
        <v>1</v>
      </c>
      <c r="BG36" s="372">
        <f t="shared" si="38"/>
        <v>1</v>
      </c>
      <c r="BH36" s="372">
        <f t="shared" si="39"/>
        <v>1</v>
      </c>
      <c r="BI36" s="372">
        <f t="shared" si="40"/>
        <v>1</v>
      </c>
      <c r="BJ36" s="372">
        <f t="shared" si="41"/>
        <v>1</v>
      </c>
      <c r="BK36" s="7"/>
      <c r="BL36" s="41">
        <f t="shared" si="16"/>
        <v>1094</v>
      </c>
      <c r="BM36" s="41">
        <f>$J$135</f>
        <v>62006.120000000024</v>
      </c>
      <c r="BN36" s="15">
        <f t="shared" si="17"/>
        <v>1</v>
      </c>
      <c r="BO36" s="41">
        <f t="shared" si="29"/>
        <v>62006.120000000024</v>
      </c>
      <c r="BP36" s="41">
        <f t="shared" si="18"/>
        <v>0</v>
      </c>
      <c r="BQ36" s="73">
        <f t="shared" si="19"/>
        <v>56.678354661791616</v>
      </c>
      <c r="BR36" s="7"/>
      <c r="BS36" s="73">
        <f t="shared" si="20"/>
        <v>56.678354661791616</v>
      </c>
      <c r="BT36" s="73">
        <f t="shared" si="21"/>
        <v>56.678354661791616</v>
      </c>
      <c r="BU36" s="73">
        <f t="shared" si="22"/>
        <v>56.678354661791616</v>
      </c>
      <c r="BV36" s="73">
        <f t="shared" si="23"/>
        <v>56.678354661791616</v>
      </c>
      <c r="BW36" s="73">
        <f t="shared" si="24"/>
        <v>56.678354661791616</v>
      </c>
      <c r="BY36" s="41">
        <f>$J$135</f>
        <v>62006.120000000024</v>
      </c>
      <c r="BZ36" s="41">
        <f>$J$90</f>
        <v>0</v>
      </c>
      <c r="CA36" s="41">
        <f t="shared" si="28"/>
        <v>62006.120000000024</v>
      </c>
    </row>
    <row r="37" spans="1:79" x14ac:dyDescent="0.2">
      <c r="A37" s="568" t="s">
        <v>1048</v>
      </c>
      <c r="B37" s="6"/>
      <c r="C37" s="612">
        <v>0</v>
      </c>
      <c r="D37" s="612">
        <v>0</v>
      </c>
      <c r="E37" s="612">
        <v>0</v>
      </c>
      <c r="F37" s="612">
        <v>0</v>
      </c>
      <c r="G37" s="612">
        <v>0</v>
      </c>
      <c r="H37" s="612">
        <v>0</v>
      </c>
      <c r="I37" s="612">
        <v>0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1107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1</v>
      </c>
      <c r="AX37" s="372">
        <f t="shared" si="31"/>
        <v>1</v>
      </c>
      <c r="AY37" s="372">
        <f t="shared" si="32"/>
        <v>1</v>
      </c>
      <c r="AZ37" s="372">
        <f t="shared" si="33"/>
        <v>1</v>
      </c>
      <c r="BA37" s="372">
        <f t="shared" si="34"/>
        <v>1</v>
      </c>
      <c r="BB37" s="372">
        <f t="shared" si="35"/>
        <v>1</v>
      </c>
      <c r="BC37" s="373">
        <v>1</v>
      </c>
      <c r="BD37" s="373">
        <v>2</v>
      </c>
      <c r="BE37" s="372">
        <f t="shared" si="36"/>
        <v>1</v>
      </c>
      <c r="BF37" s="372">
        <f t="shared" si="37"/>
        <v>1</v>
      </c>
      <c r="BG37" s="372">
        <f t="shared" si="38"/>
        <v>1</v>
      </c>
      <c r="BH37" s="372">
        <f t="shared" si="39"/>
        <v>1</v>
      </c>
      <c r="BI37" s="372">
        <f t="shared" si="40"/>
        <v>1</v>
      </c>
      <c r="BJ37" s="372">
        <f t="shared" si="41"/>
        <v>1</v>
      </c>
      <c r="BK37" s="7"/>
      <c r="BL37" s="41">
        <f t="shared" si="16"/>
        <v>1107</v>
      </c>
      <c r="BM37" s="41">
        <f>$I$135</f>
        <v>72197.69</v>
      </c>
      <c r="BN37" s="15">
        <f t="shared" si="17"/>
        <v>1</v>
      </c>
      <c r="BO37" s="41">
        <f t="shared" si="29"/>
        <v>72197.69</v>
      </c>
      <c r="BP37" s="41">
        <f t="shared" si="18"/>
        <v>0</v>
      </c>
      <c r="BQ37" s="73">
        <f t="shared" si="19"/>
        <v>65.219232158988262</v>
      </c>
      <c r="BR37" s="7"/>
      <c r="BS37" s="73">
        <f t="shared" si="20"/>
        <v>65.219232158988262</v>
      </c>
      <c r="BT37" s="73">
        <f t="shared" si="21"/>
        <v>65.219232158988262</v>
      </c>
      <c r="BU37" s="73">
        <f t="shared" si="22"/>
        <v>65.219232158988262</v>
      </c>
      <c r="BV37" s="73">
        <f t="shared" si="23"/>
        <v>65.219232158988262</v>
      </c>
      <c r="BW37" s="73">
        <f t="shared" si="24"/>
        <v>65.219232158988262</v>
      </c>
      <c r="BY37" s="41">
        <f>$I$135</f>
        <v>72197.69</v>
      </c>
      <c r="BZ37" s="41">
        <f>$I$90</f>
        <v>0</v>
      </c>
      <c r="CA37" s="41">
        <f t="shared" si="28"/>
        <v>72197.69</v>
      </c>
    </row>
    <row r="38" spans="1:79" x14ac:dyDescent="0.2">
      <c r="A38" s="568" t="s">
        <v>1049</v>
      </c>
      <c r="B38" s="6"/>
      <c r="C38" s="612">
        <v>0</v>
      </c>
      <c r="D38" s="612">
        <v>0</v>
      </c>
      <c r="E38" s="612">
        <v>0</v>
      </c>
      <c r="F38" s="612">
        <v>0</v>
      </c>
      <c r="G38" s="612">
        <v>0</v>
      </c>
      <c r="H38" s="612">
        <v>0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1124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1</v>
      </c>
      <c r="AX38" s="372">
        <f t="shared" si="31"/>
        <v>1</v>
      </c>
      <c r="AY38" s="372">
        <f t="shared" si="32"/>
        <v>1</v>
      </c>
      <c r="AZ38" s="372">
        <f t="shared" si="33"/>
        <v>1</v>
      </c>
      <c r="BA38" s="372">
        <f t="shared" si="34"/>
        <v>1</v>
      </c>
      <c r="BB38" s="372">
        <f t="shared" si="35"/>
        <v>1</v>
      </c>
      <c r="BC38" s="373">
        <v>1</v>
      </c>
      <c r="BD38" s="373">
        <v>2</v>
      </c>
      <c r="BE38" s="372">
        <f t="shared" si="36"/>
        <v>1</v>
      </c>
      <c r="BF38" s="372">
        <f t="shared" si="37"/>
        <v>1</v>
      </c>
      <c r="BG38" s="372">
        <f t="shared" si="38"/>
        <v>1</v>
      </c>
      <c r="BH38" s="372">
        <f t="shared" si="39"/>
        <v>1</v>
      </c>
      <c r="BI38" s="372">
        <f t="shared" si="40"/>
        <v>1</v>
      </c>
      <c r="BJ38" s="372">
        <f t="shared" si="41"/>
        <v>1</v>
      </c>
      <c r="BK38" s="7"/>
      <c r="BL38" s="41">
        <f t="shared" si="16"/>
        <v>1124</v>
      </c>
      <c r="BM38" s="41">
        <f>$H$135</f>
        <v>53239.62</v>
      </c>
      <c r="BN38" s="15">
        <f t="shared" si="17"/>
        <v>1</v>
      </c>
      <c r="BO38" s="41">
        <f t="shared" si="29"/>
        <v>53239.62</v>
      </c>
      <c r="BP38" s="41">
        <f t="shared" si="18"/>
        <v>0</v>
      </c>
      <c r="BQ38" s="73">
        <f t="shared" si="19"/>
        <v>47.366209964412811</v>
      </c>
      <c r="BR38" s="7"/>
      <c r="BS38" s="73">
        <f t="shared" si="20"/>
        <v>47.366209964412811</v>
      </c>
      <c r="BT38" s="73">
        <f t="shared" si="21"/>
        <v>47.366209964412811</v>
      </c>
      <c r="BU38" s="73">
        <f t="shared" si="22"/>
        <v>47.366209964412811</v>
      </c>
      <c r="BV38" s="73">
        <f t="shared" si="23"/>
        <v>47.366209964412811</v>
      </c>
      <c r="BW38" s="73">
        <f t="shared" si="24"/>
        <v>47.366209964412811</v>
      </c>
      <c r="BY38" s="41">
        <f>$H$135</f>
        <v>53239.62</v>
      </c>
      <c r="BZ38" s="41">
        <f>$H$90</f>
        <v>0</v>
      </c>
      <c r="CA38" s="41">
        <f t="shared" si="28"/>
        <v>53239.62</v>
      </c>
    </row>
    <row r="39" spans="1:79" x14ac:dyDescent="0.2">
      <c r="A39" s="568" t="s">
        <v>1050</v>
      </c>
      <c r="B39" s="6"/>
      <c r="C39" s="612">
        <v>0</v>
      </c>
      <c r="D39" s="612">
        <v>0</v>
      </c>
      <c r="E39" s="612">
        <v>0</v>
      </c>
      <c r="F39" s="612">
        <v>0</v>
      </c>
      <c r="G39" s="612">
        <v>0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1147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1</v>
      </c>
      <c r="AX39" s="372">
        <f t="shared" si="31"/>
        <v>1</v>
      </c>
      <c r="AY39" s="372">
        <f t="shared" si="32"/>
        <v>1</v>
      </c>
      <c r="AZ39" s="372">
        <f t="shared" si="33"/>
        <v>1</v>
      </c>
      <c r="BA39" s="372">
        <f t="shared" si="34"/>
        <v>1</v>
      </c>
      <c r="BB39" s="372">
        <f t="shared" si="35"/>
        <v>1</v>
      </c>
      <c r="BC39" s="373">
        <v>1</v>
      </c>
      <c r="BD39" s="373">
        <v>2</v>
      </c>
      <c r="BE39" s="372">
        <f t="shared" si="36"/>
        <v>1</v>
      </c>
      <c r="BF39" s="372">
        <f t="shared" si="37"/>
        <v>1</v>
      </c>
      <c r="BG39" s="372">
        <f t="shared" si="38"/>
        <v>1</v>
      </c>
      <c r="BH39" s="372">
        <f t="shared" si="39"/>
        <v>1</v>
      </c>
      <c r="BI39" s="372">
        <f t="shared" si="40"/>
        <v>1</v>
      </c>
      <c r="BJ39" s="372">
        <f t="shared" si="41"/>
        <v>1</v>
      </c>
      <c r="BK39" s="7"/>
      <c r="BL39" s="41">
        <f t="shared" si="16"/>
        <v>1147</v>
      </c>
      <c r="BM39" s="41">
        <f>$G$135</f>
        <v>69182.52999999997</v>
      </c>
      <c r="BN39" s="15">
        <f t="shared" si="17"/>
        <v>1</v>
      </c>
      <c r="BO39" s="41">
        <f t="shared" si="29"/>
        <v>69182.52999999997</v>
      </c>
      <c r="BP39" s="41">
        <f t="shared" si="18"/>
        <v>0</v>
      </c>
      <c r="BQ39" s="73">
        <f t="shared" si="19"/>
        <v>60.316068003487331</v>
      </c>
      <c r="BR39" s="7"/>
      <c r="BS39" s="73">
        <f t="shared" si="20"/>
        <v>60.316068003487331</v>
      </c>
      <c r="BT39" s="73">
        <f t="shared" si="21"/>
        <v>60.316068003487331</v>
      </c>
      <c r="BU39" s="73">
        <f t="shared" si="22"/>
        <v>60.316068003487331</v>
      </c>
      <c r="BV39" s="73">
        <f t="shared" si="23"/>
        <v>60.316068003487331</v>
      </c>
      <c r="BW39" s="73">
        <f t="shared" si="24"/>
        <v>60.316068003487331</v>
      </c>
      <c r="BY39" s="41">
        <f>$G$135</f>
        <v>69182.52999999997</v>
      </c>
      <c r="BZ39" s="41">
        <f>$G$90</f>
        <v>0</v>
      </c>
      <c r="CA39" s="41">
        <f t="shared" si="28"/>
        <v>69182.52999999997</v>
      </c>
    </row>
    <row r="40" spans="1:79" x14ac:dyDescent="0.2">
      <c r="A40" s="568" t="s">
        <v>1051</v>
      </c>
      <c r="B40" s="6"/>
      <c r="C40" s="612">
        <v>0</v>
      </c>
      <c r="D40" s="612">
        <v>0</v>
      </c>
      <c r="E40" s="612">
        <v>0</v>
      </c>
      <c r="F40" s="612">
        <v>0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1189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1</v>
      </c>
      <c r="AX40" s="372">
        <f t="shared" si="31"/>
        <v>1</v>
      </c>
      <c r="AY40" s="372">
        <f t="shared" si="32"/>
        <v>1</v>
      </c>
      <c r="AZ40" s="372">
        <f t="shared" si="33"/>
        <v>1</v>
      </c>
      <c r="BA40" s="372">
        <f t="shared" si="34"/>
        <v>1</v>
      </c>
      <c r="BB40" s="372">
        <f t="shared" si="35"/>
        <v>1</v>
      </c>
      <c r="BC40" s="373">
        <v>1</v>
      </c>
      <c r="BD40" s="373">
        <v>2</v>
      </c>
      <c r="BE40" s="372">
        <f t="shared" si="36"/>
        <v>1</v>
      </c>
      <c r="BF40" s="372">
        <f t="shared" si="37"/>
        <v>1</v>
      </c>
      <c r="BG40" s="372">
        <f t="shared" si="38"/>
        <v>1</v>
      </c>
      <c r="BH40" s="372">
        <f t="shared" si="39"/>
        <v>1</v>
      </c>
      <c r="BI40" s="372">
        <f t="shared" si="40"/>
        <v>1</v>
      </c>
      <c r="BJ40" s="372">
        <f t="shared" si="41"/>
        <v>1</v>
      </c>
      <c r="BK40" s="7"/>
      <c r="BL40" s="41">
        <f t="shared" si="16"/>
        <v>1189</v>
      </c>
      <c r="BM40" s="41">
        <f>$F$135</f>
        <v>52327.960000000014</v>
      </c>
      <c r="BN40" s="15">
        <f t="shared" si="17"/>
        <v>1</v>
      </c>
      <c r="BO40" s="41">
        <f t="shared" si="29"/>
        <v>52327.960000000014</v>
      </c>
      <c r="BP40" s="41">
        <f t="shared" si="18"/>
        <v>0</v>
      </c>
      <c r="BQ40" s="73">
        <f t="shared" si="19"/>
        <v>44.010058873002535</v>
      </c>
      <c r="BR40" s="7"/>
      <c r="BS40" s="73">
        <f t="shared" si="20"/>
        <v>44.010058873002535</v>
      </c>
      <c r="BT40" s="73">
        <f t="shared" si="21"/>
        <v>44.010058873002535</v>
      </c>
      <c r="BU40" s="73">
        <f t="shared" si="22"/>
        <v>44.010058873002535</v>
      </c>
      <c r="BV40" s="73">
        <f t="shared" si="23"/>
        <v>44.010058873002535</v>
      </c>
      <c r="BW40" s="73">
        <f t="shared" si="24"/>
        <v>44.010058873002535</v>
      </c>
      <c r="BY40" s="41">
        <f>$F$135</f>
        <v>52327.960000000014</v>
      </c>
      <c r="BZ40" s="41">
        <f>$F$90</f>
        <v>0</v>
      </c>
      <c r="CA40" s="41">
        <f t="shared" si="28"/>
        <v>52327.960000000014</v>
      </c>
    </row>
    <row r="41" spans="1:79" x14ac:dyDescent="0.2">
      <c r="A41" s="568" t="s">
        <v>1052</v>
      </c>
      <c r="B41" s="6"/>
      <c r="C41" s="612">
        <v>0</v>
      </c>
      <c r="D41" s="612">
        <v>0</v>
      </c>
      <c r="E41" s="612">
        <v>0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1228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1</v>
      </c>
      <c r="AX41" s="372">
        <f t="shared" si="31"/>
        <v>1</v>
      </c>
      <c r="AY41" s="372">
        <f t="shared" si="32"/>
        <v>1</v>
      </c>
      <c r="AZ41" s="372">
        <f t="shared" si="33"/>
        <v>1</v>
      </c>
      <c r="BA41" s="372">
        <f t="shared" si="34"/>
        <v>1</v>
      </c>
      <c r="BB41" s="372">
        <f t="shared" si="35"/>
        <v>1</v>
      </c>
      <c r="BC41" s="373">
        <v>1</v>
      </c>
      <c r="BD41" s="373">
        <v>2</v>
      </c>
      <c r="BE41" s="372">
        <f t="shared" si="36"/>
        <v>1</v>
      </c>
      <c r="BF41" s="372">
        <f t="shared" si="37"/>
        <v>1</v>
      </c>
      <c r="BG41" s="372">
        <f t="shared" si="38"/>
        <v>1</v>
      </c>
      <c r="BH41" s="372">
        <f t="shared" si="39"/>
        <v>1</v>
      </c>
      <c r="BI41" s="372">
        <f t="shared" si="40"/>
        <v>1</v>
      </c>
      <c r="BJ41" s="372">
        <f t="shared" si="41"/>
        <v>1</v>
      </c>
      <c r="BK41" s="7"/>
      <c r="BL41" s="41">
        <f t="shared" si="16"/>
        <v>1228</v>
      </c>
      <c r="BM41" s="41">
        <f>$E$135</f>
        <v>109952.08999999998</v>
      </c>
      <c r="BN41" s="15">
        <f t="shared" si="17"/>
        <v>1</v>
      </c>
      <c r="BO41" s="41">
        <f t="shared" si="29"/>
        <v>109952.08999999998</v>
      </c>
      <c r="BP41" s="41">
        <f t="shared" si="18"/>
        <v>0</v>
      </c>
      <c r="BQ41" s="73">
        <f t="shared" si="19"/>
        <v>89.537532573289894</v>
      </c>
      <c r="BR41" s="7"/>
      <c r="BS41" s="73">
        <f t="shared" si="20"/>
        <v>89.537532573289894</v>
      </c>
      <c r="BT41" s="73">
        <f t="shared" si="21"/>
        <v>89.537532573289894</v>
      </c>
      <c r="BU41" s="73">
        <f t="shared" si="22"/>
        <v>89.537532573289894</v>
      </c>
      <c r="BV41" s="73">
        <f t="shared" si="23"/>
        <v>89.537532573289894</v>
      </c>
      <c r="BW41" s="73">
        <f t="shared" si="24"/>
        <v>89.537532573289894</v>
      </c>
      <c r="BY41" s="41">
        <f>$E$135</f>
        <v>109952.08999999998</v>
      </c>
      <c r="BZ41" s="41">
        <f>$E$90</f>
        <v>0</v>
      </c>
      <c r="CA41" s="41">
        <f t="shared" si="28"/>
        <v>109952.08999999998</v>
      </c>
    </row>
    <row r="42" spans="1:79" x14ac:dyDescent="0.2">
      <c r="A42" s="568" t="s">
        <v>1053</v>
      </c>
      <c r="B42" s="6"/>
      <c r="C42" s="612">
        <v>0</v>
      </c>
      <c r="D42" s="612">
        <v>0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2326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1</v>
      </c>
      <c r="AX42" s="372">
        <f t="shared" si="31"/>
        <v>1</v>
      </c>
      <c r="AY42" s="372">
        <f t="shared" si="32"/>
        <v>1</v>
      </c>
      <c r="AZ42" s="372">
        <f t="shared" si="33"/>
        <v>1</v>
      </c>
      <c r="BA42" s="372">
        <f t="shared" si="34"/>
        <v>1</v>
      </c>
      <c r="BB42" s="372">
        <f t="shared" si="35"/>
        <v>1</v>
      </c>
      <c r="BC42" s="373">
        <v>1</v>
      </c>
      <c r="BD42" s="373">
        <v>2</v>
      </c>
      <c r="BE42" s="372">
        <f t="shared" si="36"/>
        <v>1</v>
      </c>
      <c r="BF42" s="372">
        <f t="shared" si="37"/>
        <v>1</v>
      </c>
      <c r="BG42" s="372">
        <f t="shared" si="38"/>
        <v>1</v>
      </c>
      <c r="BH42" s="372">
        <f t="shared" si="39"/>
        <v>1</v>
      </c>
      <c r="BI42" s="372">
        <f t="shared" si="40"/>
        <v>1</v>
      </c>
      <c r="BJ42" s="372">
        <f t="shared" si="41"/>
        <v>1</v>
      </c>
      <c r="BK42" s="7"/>
      <c r="BL42" s="41">
        <f t="shared" si="16"/>
        <v>2326</v>
      </c>
      <c r="BM42" s="41">
        <f>$D$135</f>
        <v>137813.97000000003</v>
      </c>
      <c r="BN42" s="15">
        <f t="shared" si="17"/>
        <v>1</v>
      </c>
      <c r="BO42" s="41">
        <f t="shared" si="29"/>
        <v>137813.97000000003</v>
      </c>
      <c r="BP42" s="41">
        <f t="shared" si="18"/>
        <v>0</v>
      </c>
      <c r="BQ42" s="73">
        <f t="shared" si="19"/>
        <v>59.249342218400699</v>
      </c>
      <c r="BR42" s="7"/>
      <c r="BS42" s="73">
        <f t="shared" si="20"/>
        <v>59.249342218400699</v>
      </c>
      <c r="BT42" s="73">
        <f t="shared" si="21"/>
        <v>59.249342218400699</v>
      </c>
      <c r="BU42" s="73">
        <f t="shared" si="22"/>
        <v>59.249342218400699</v>
      </c>
      <c r="BV42" s="73">
        <f t="shared" si="23"/>
        <v>59.249342218400699</v>
      </c>
      <c r="BW42" s="73">
        <f t="shared" si="24"/>
        <v>59.249342218400699</v>
      </c>
      <c r="BY42" s="41">
        <f>$D$135</f>
        <v>137813.97000000003</v>
      </c>
      <c r="BZ42" s="41">
        <f>$D$90</f>
        <v>0</v>
      </c>
      <c r="CA42" s="41">
        <f t="shared" si="28"/>
        <v>137813.97000000003</v>
      </c>
    </row>
    <row r="43" spans="1:79" x14ac:dyDescent="0.2">
      <c r="A43" s="568" t="s">
        <v>1054</v>
      </c>
      <c r="B43" s="6"/>
      <c r="C43" s="612">
        <v>0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837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837</v>
      </c>
      <c r="BM43" s="41">
        <f>$C$135</f>
        <v>35923.329999999994</v>
      </c>
      <c r="BN43" s="15">
        <f t="shared" si="17"/>
        <v>1</v>
      </c>
      <c r="BO43" s="41">
        <f t="shared" si="29"/>
        <v>35923.329999999994</v>
      </c>
      <c r="BP43" s="41">
        <f t="shared" si="18"/>
        <v>0</v>
      </c>
      <c r="BQ43" s="73">
        <f t="shared" si="19"/>
        <v>42.919151732377529</v>
      </c>
      <c r="BR43" s="7"/>
      <c r="BS43" s="73">
        <f t="shared" si="20"/>
        <v>42.919151732377529</v>
      </c>
      <c r="BT43" s="73">
        <f t="shared" si="21"/>
        <v>42.919151732377529</v>
      </c>
      <c r="BU43" s="73">
        <f t="shared" si="22"/>
        <v>42.919151732377529</v>
      </c>
      <c r="BV43" s="73">
        <f t="shared" si="23"/>
        <v>42.919151732377529</v>
      </c>
      <c r="BW43" s="73">
        <f t="shared" si="24"/>
        <v>42.919151732377529</v>
      </c>
      <c r="BY43" s="41">
        <f>$C$135</f>
        <v>35923.329999999994</v>
      </c>
      <c r="BZ43" s="41">
        <f>$C$90</f>
        <v>0</v>
      </c>
      <c r="CA43" s="41">
        <f t="shared" si="28"/>
        <v>35923.329999999994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35923.329999999994</v>
      </c>
      <c r="D45" s="41">
        <f t="shared" si="43"/>
        <v>137813.97000000003</v>
      </c>
      <c r="E45" s="41">
        <f t="shared" si="43"/>
        <v>109952.08999999998</v>
      </c>
      <c r="F45" s="41">
        <f t="shared" si="43"/>
        <v>52327.960000000014</v>
      </c>
      <c r="G45" s="41">
        <f t="shared" si="43"/>
        <v>69182.52999999997</v>
      </c>
      <c r="H45" s="41">
        <f t="shared" si="43"/>
        <v>53239.62</v>
      </c>
      <c r="I45" s="41">
        <f t="shared" si="43"/>
        <v>72197.69</v>
      </c>
      <c r="J45" s="41">
        <f t="shared" si="43"/>
        <v>62006.120000000024</v>
      </c>
      <c r="K45" s="41">
        <f t="shared" si="43"/>
        <v>56568.250000000022</v>
      </c>
      <c r="L45" s="41">
        <f t="shared" si="43"/>
        <v>41234.950000000004</v>
      </c>
      <c r="M45" s="41">
        <f t="shared" si="43"/>
        <v>49796.490000000005</v>
      </c>
      <c r="N45" s="41">
        <f t="shared" si="43"/>
        <v>41139.020000000004</v>
      </c>
      <c r="O45" s="41">
        <f t="shared" si="43"/>
        <v>44270.220000000016</v>
      </c>
      <c r="P45" s="41">
        <f t="shared" si="43"/>
        <v>42733.460000000028</v>
      </c>
      <c r="Q45" s="41">
        <f t="shared" si="43"/>
        <v>50754.500000000015</v>
      </c>
      <c r="R45" s="41">
        <f t="shared" si="43"/>
        <v>50857.87</v>
      </c>
      <c r="S45" s="41">
        <f t="shared" si="43"/>
        <v>50468.810000000019</v>
      </c>
      <c r="T45" s="41">
        <f t="shared" si="43"/>
        <v>73966.600000000006</v>
      </c>
      <c r="U45" s="41">
        <f t="shared" si="43"/>
        <v>67051.33</v>
      </c>
      <c r="V45" s="41">
        <f t="shared" si="43"/>
        <v>49619.499999999993</v>
      </c>
      <c r="W45" s="41">
        <f t="shared" si="43"/>
        <v>80679.75</v>
      </c>
      <c r="X45" s="41">
        <f t="shared" si="43"/>
        <v>37360.250000000007</v>
      </c>
      <c r="Y45" s="41">
        <f t="shared" si="43"/>
        <v>38825.97</v>
      </c>
      <c r="Z45" s="41">
        <f t="shared" si="43"/>
        <v>246035.78999999998</v>
      </c>
      <c r="AA45" s="41">
        <f t="shared" si="43"/>
        <v>247390.29</v>
      </c>
      <c r="AB45" s="41">
        <f t="shared" si="43"/>
        <v>340659.39000000025</v>
      </c>
      <c r="AC45" s="41">
        <f t="shared" si="43"/>
        <v>264873.73000000004</v>
      </c>
      <c r="AD45" s="41">
        <f t="shared" si="43"/>
        <v>302917.12</v>
      </c>
      <c r="AE45" s="41">
        <f t="shared" si="43"/>
        <v>291451.95</v>
      </c>
      <c r="AF45" s="41">
        <f t="shared" si="43"/>
        <v>226458.18999999994</v>
      </c>
      <c r="AG45" s="41">
        <f t="shared" si="43"/>
        <v>281445.81000000017</v>
      </c>
      <c r="AH45" s="41">
        <f t="shared" si="43"/>
        <v>282059.79000000004</v>
      </c>
      <c r="AI45" s="41">
        <f t="shared" si="43"/>
        <v>233438.95000000007</v>
      </c>
      <c r="AJ45" s="41">
        <f t="shared" si="43"/>
        <v>237774.08999999997</v>
      </c>
      <c r="AK45" s="41">
        <f t="shared" si="43"/>
        <v>129661.01000000001</v>
      </c>
      <c r="AL45" s="41">
        <f>SUM(AL8:AL43)</f>
        <v>39963.089999999982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AAMG - Commercial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AAMG - Commercial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AAMG - Commercial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AAMG - Commercial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AAMG - Commercial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AAMG - Commercial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15475.389999999998</v>
      </c>
      <c r="D98" s="176">
        <f t="shared" si="47"/>
        <v>32036.010000000006</v>
      </c>
      <c r="E98" s="176">
        <f t="shared" si="47"/>
        <v>13250.840000000004</v>
      </c>
      <c r="F98" s="176">
        <f t="shared" si="47"/>
        <v>16187.230000000003</v>
      </c>
      <c r="G98" s="176">
        <f t="shared" si="47"/>
        <v>14349.380000000005</v>
      </c>
      <c r="H98" s="176">
        <f t="shared" si="47"/>
        <v>21217.539999999997</v>
      </c>
      <c r="I98" s="176">
        <f t="shared" si="47"/>
        <v>7550.34</v>
      </c>
      <c r="J98" s="176">
        <f t="shared" si="47"/>
        <v>12392.530000000004</v>
      </c>
      <c r="K98" s="176">
        <f t="shared" si="47"/>
        <v>18493.71000000001</v>
      </c>
      <c r="L98" s="176">
        <f t="shared" si="47"/>
        <v>13295.170000000009</v>
      </c>
      <c r="M98" s="176">
        <f t="shared" si="47"/>
        <v>19324.640000000003</v>
      </c>
      <c r="N98" s="176">
        <f t="shared" si="47"/>
        <v>19279.169999999998</v>
      </c>
      <c r="O98" s="176">
        <f t="shared" si="47"/>
        <v>13841.910000000005</v>
      </c>
      <c r="P98" s="176">
        <f t="shared" si="47"/>
        <v>14502.600000000008</v>
      </c>
      <c r="Q98" s="176">
        <f t="shared" si="47"/>
        <v>27378.510000000006</v>
      </c>
      <c r="R98" s="176">
        <f t="shared" si="47"/>
        <v>17465.510000000006</v>
      </c>
      <c r="S98" s="176">
        <f t="shared" si="47"/>
        <v>13258.350000000008</v>
      </c>
      <c r="T98" s="176">
        <f t="shared" si="47"/>
        <v>28392.590000000007</v>
      </c>
      <c r="U98" s="176">
        <f t="shared" si="47"/>
        <v>14748.770000000013</v>
      </c>
      <c r="V98" s="176">
        <f t="shared" si="47"/>
        <v>4677.2999999999993</v>
      </c>
      <c r="W98" s="176">
        <f t="shared" si="47"/>
        <v>13276.140000000001</v>
      </c>
      <c r="X98" s="176">
        <f t="shared" si="47"/>
        <v>9864.0800000000017</v>
      </c>
      <c r="Y98" s="176">
        <f t="shared" si="47"/>
        <v>7168.6799999999985</v>
      </c>
      <c r="Z98" s="176">
        <f t="shared" si="47"/>
        <v>28758.639999999999</v>
      </c>
      <c r="AA98" s="176">
        <f t="shared" si="47"/>
        <v>50536.759999999973</v>
      </c>
      <c r="AB98" s="176">
        <f t="shared" si="47"/>
        <v>38568.01</v>
      </c>
      <c r="AC98" s="176">
        <f t="shared" si="47"/>
        <v>40550.729999999967</v>
      </c>
      <c r="AD98" s="176">
        <f t="shared" si="47"/>
        <v>43824.74</v>
      </c>
      <c r="AE98" s="176">
        <f t="shared" si="47"/>
        <v>97647.470000000016</v>
      </c>
      <c r="AF98" s="176">
        <f t="shared" si="47"/>
        <v>43579.709999999977</v>
      </c>
      <c r="AG98" s="176">
        <f t="shared" si="47"/>
        <v>25706.909999999993</v>
      </c>
      <c r="AH98" s="176">
        <f t="shared" si="47"/>
        <v>39279.299999999974</v>
      </c>
      <c r="AI98" s="176">
        <f t="shared" si="47"/>
        <v>31889.309999999998</v>
      </c>
      <c r="AJ98" s="176">
        <f t="shared" si="47"/>
        <v>44497.239999999983</v>
      </c>
      <c r="AK98" s="176">
        <f t="shared" si="47"/>
        <v>56183.399999999965</v>
      </c>
      <c r="AL98" s="176">
        <f t="shared" si="47"/>
        <v>39963.089999999982</v>
      </c>
    </row>
    <row r="99" spans="1:38" x14ac:dyDescent="0.2">
      <c r="A99" s="252" t="s">
        <v>979</v>
      </c>
      <c r="B99" s="6"/>
      <c r="C99" s="176">
        <f t="shared" ref="C99:AL99" si="48">+C9+C54</f>
        <v>13580.829999999998</v>
      </c>
      <c r="D99" s="176">
        <f t="shared" si="48"/>
        <v>79150.72000000003</v>
      </c>
      <c r="E99" s="176">
        <f t="shared" si="48"/>
        <v>47247.209999999955</v>
      </c>
      <c r="F99" s="176">
        <f t="shared" si="48"/>
        <v>24613.070000000007</v>
      </c>
      <c r="G99" s="176">
        <f t="shared" si="48"/>
        <v>49619.839999999953</v>
      </c>
      <c r="H99" s="176">
        <f t="shared" si="48"/>
        <v>18643.400000000009</v>
      </c>
      <c r="I99" s="176">
        <f t="shared" si="48"/>
        <v>50078.889999999985</v>
      </c>
      <c r="J99" s="176">
        <f t="shared" si="48"/>
        <v>38105.970000000023</v>
      </c>
      <c r="K99" s="176">
        <f t="shared" si="48"/>
        <v>28796.040000000008</v>
      </c>
      <c r="L99" s="176">
        <f t="shared" si="48"/>
        <v>21977.93</v>
      </c>
      <c r="M99" s="176">
        <f t="shared" si="48"/>
        <v>26346.430000000008</v>
      </c>
      <c r="N99" s="176">
        <f t="shared" si="48"/>
        <v>16931.630000000005</v>
      </c>
      <c r="O99" s="176">
        <f t="shared" si="48"/>
        <v>27353.270000000008</v>
      </c>
      <c r="P99" s="176">
        <f t="shared" si="48"/>
        <v>23369.83000000002</v>
      </c>
      <c r="Q99" s="176">
        <f t="shared" si="48"/>
        <v>18037.360000000008</v>
      </c>
      <c r="R99" s="176">
        <f t="shared" si="48"/>
        <v>28266.95</v>
      </c>
      <c r="S99" s="176">
        <f t="shared" si="48"/>
        <v>31641.160000000014</v>
      </c>
      <c r="T99" s="176">
        <f t="shared" si="48"/>
        <v>34438.549999999996</v>
      </c>
      <c r="U99" s="176">
        <f t="shared" si="48"/>
        <v>16201.890000000001</v>
      </c>
      <c r="V99" s="176">
        <f t="shared" si="48"/>
        <v>35095.619999999995</v>
      </c>
      <c r="W99" s="176">
        <f t="shared" si="48"/>
        <v>28479.780000000006</v>
      </c>
      <c r="X99" s="176">
        <f t="shared" si="48"/>
        <v>21033.310000000012</v>
      </c>
      <c r="Y99" s="176">
        <f t="shared" si="48"/>
        <v>16514.900000000005</v>
      </c>
      <c r="Z99" s="176">
        <f t="shared" si="48"/>
        <v>150155.74999999994</v>
      </c>
      <c r="AA99" s="176">
        <f t="shared" si="48"/>
        <v>122657.45000000003</v>
      </c>
      <c r="AB99" s="176">
        <f t="shared" si="48"/>
        <v>195298.10000000024</v>
      </c>
      <c r="AC99" s="176">
        <f t="shared" si="48"/>
        <v>147953.9500000001</v>
      </c>
      <c r="AD99" s="176">
        <f t="shared" si="48"/>
        <v>186806.59000000005</v>
      </c>
      <c r="AE99" s="176">
        <f t="shared" si="48"/>
        <v>78811.779999999984</v>
      </c>
      <c r="AF99" s="176">
        <f t="shared" si="48"/>
        <v>108101.08</v>
      </c>
      <c r="AG99" s="176">
        <f t="shared" si="48"/>
        <v>182843.51000000021</v>
      </c>
      <c r="AH99" s="176">
        <f t="shared" si="48"/>
        <v>145952.35000000009</v>
      </c>
      <c r="AI99" s="176">
        <f t="shared" si="48"/>
        <v>142928.67000000007</v>
      </c>
      <c r="AJ99" s="176">
        <f t="shared" si="48"/>
        <v>169170.09999999998</v>
      </c>
      <c r="AK99" s="176">
        <f t="shared" si="48"/>
        <v>73477.610000000044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2670.2400000000002</v>
      </c>
      <c r="D100" s="176">
        <f t="shared" si="49"/>
        <v>18623.05</v>
      </c>
      <c r="E100" s="176">
        <f t="shared" si="49"/>
        <v>1974.4200000000003</v>
      </c>
      <c r="F100" s="176">
        <f t="shared" si="49"/>
        <v>7279.5999999999995</v>
      </c>
      <c r="G100" s="176">
        <f t="shared" si="49"/>
        <v>1912.9600000000005</v>
      </c>
      <c r="H100" s="176">
        <f t="shared" si="49"/>
        <v>6423.3499999999985</v>
      </c>
      <c r="I100" s="176">
        <f t="shared" si="49"/>
        <v>3991.190000000001</v>
      </c>
      <c r="J100" s="176">
        <f t="shared" si="49"/>
        <v>4001.92</v>
      </c>
      <c r="K100" s="176">
        <f t="shared" si="49"/>
        <v>1637.9400000000005</v>
      </c>
      <c r="L100" s="176">
        <f t="shared" si="49"/>
        <v>3744.98</v>
      </c>
      <c r="M100" s="176">
        <f t="shared" si="49"/>
        <v>1152.74</v>
      </c>
      <c r="N100" s="176">
        <f t="shared" si="49"/>
        <v>1813.0100000000004</v>
      </c>
      <c r="O100" s="176">
        <f t="shared" si="49"/>
        <v>1507.3799999999999</v>
      </c>
      <c r="P100" s="176">
        <f t="shared" si="49"/>
        <v>1490.2400000000002</v>
      </c>
      <c r="Q100" s="176">
        <f t="shared" si="49"/>
        <v>2064.6800000000003</v>
      </c>
      <c r="R100" s="176">
        <f t="shared" si="49"/>
        <v>3319.0199999999995</v>
      </c>
      <c r="S100" s="176">
        <f t="shared" si="49"/>
        <v>3384.7900000000004</v>
      </c>
      <c r="T100" s="176">
        <f t="shared" si="49"/>
        <v>2500.1699999999996</v>
      </c>
      <c r="U100" s="176">
        <f t="shared" si="49"/>
        <v>32377.999999999996</v>
      </c>
      <c r="V100" s="176">
        <f t="shared" si="49"/>
        <v>4192.2</v>
      </c>
      <c r="W100" s="176">
        <f t="shared" si="49"/>
        <v>10862.43</v>
      </c>
      <c r="X100" s="176">
        <f t="shared" si="49"/>
        <v>1200.05</v>
      </c>
      <c r="Y100" s="176">
        <f t="shared" si="49"/>
        <v>7994.1</v>
      </c>
      <c r="Z100" s="176">
        <f t="shared" si="49"/>
        <v>27948.570000000011</v>
      </c>
      <c r="AA100" s="176">
        <f t="shared" si="49"/>
        <v>36975.749999999993</v>
      </c>
      <c r="AB100" s="176">
        <f t="shared" si="49"/>
        <v>60268.399999999965</v>
      </c>
      <c r="AC100" s="176">
        <f t="shared" si="49"/>
        <v>35889.68</v>
      </c>
      <c r="AD100" s="176">
        <f t="shared" si="49"/>
        <v>21064.640000000007</v>
      </c>
      <c r="AE100" s="176">
        <f t="shared" si="49"/>
        <v>66019.100000000006</v>
      </c>
      <c r="AF100" s="176">
        <f t="shared" si="49"/>
        <v>43995.789999999979</v>
      </c>
      <c r="AG100" s="176">
        <f t="shared" si="49"/>
        <v>43359.049999999996</v>
      </c>
      <c r="AH100" s="176">
        <f t="shared" si="49"/>
        <v>68360.76999999996</v>
      </c>
      <c r="AI100" s="176">
        <f t="shared" si="49"/>
        <v>39184.370000000003</v>
      </c>
      <c r="AJ100" s="176">
        <f t="shared" si="49"/>
        <v>24106.75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2117.08</v>
      </c>
      <c r="D101" s="176">
        <f t="shared" si="50"/>
        <v>2592.1699999999996</v>
      </c>
      <c r="E101" s="176">
        <f t="shared" si="50"/>
        <v>2381.19</v>
      </c>
      <c r="F101" s="176">
        <f t="shared" si="50"/>
        <v>1695.5700000000002</v>
      </c>
      <c r="G101" s="176">
        <f t="shared" si="50"/>
        <v>1569.3200000000002</v>
      </c>
      <c r="H101" s="176">
        <f t="shared" si="50"/>
        <v>2565.41</v>
      </c>
      <c r="I101" s="176">
        <f t="shared" si="50"/>
        <v>2305.21</v>
      </c>
      <c r="J101" s="176">
        <f t="shared" si="50"/>
        <v>2829.8199999999997</v>
      </c>
      <c r="K101" s="176">
        <f t="shared" si="50"/>
        <v>2470.7200000000003</v>
      </c>
      <c r="L101" s="176">
        <f t="shared" si="50"/>
        <v>480.98</v>
      </c>
      <c r="M101" s="176">
        <f t="shared" si="50"/>
        <v>514.79</v>
      </c>
      <c r="N101" s="176">
        <f t="shared" si="50"/>
        <v>1197.0400000000002</v>
      </c>
      <c r="O101" s="176">
        <f t="shared" si="50"/>
        <v>685.93000000000006</v>
      </c>
      <c r="P101" s="176">
        <f t="shared" si="50"/>
        <v>609.70000000000005</v>
      </c>
      <c r="Q101" s="176">
        <f t="shared" si="50"/>
        <v>2454.77</v>
      </c>
      <c r="R101" s="176">
        <f t="shared" si="50"/>
        <v>821.2</v>
      </c>
      <c r="S101" s="176">
        <f t="shared" si="50"/>
        <v>909.24</v>
      </c>
      <c r="T101" s="176">
        <f t="shared" si="50"/>
        <v>7472.630000000001</v>
      </c>
      <c r="U101" s="176">
        <f t="shared" si="50"/>
        <v>1574.3500000000001</v>
      </c>
      <c r="V101" s="176">
        <f t="shared" si="50"/>
        <v>1271.4000000000001</v>
      </c>
      <c r="W101" s="176">
        <f t="shared" si="50"/>
        <v>821.42000000000007</v>
      </c>
      <c r="X101" s="176">
        <f t="shared" si="50"/>
        <v>2575.6200000000003</v>
      </c>
      <c r="Y101" s="176">
        <f t="shared" si="50"/>
        <v>2652.4999999999995</v>
      </c>
      <c r="Z101" s="176">
        <f t="shared" si="50"/>
        <v>8651.3499999999985</v>
      </c>
      <c r="AA101" s="176">
        <f t="shared" si="50"/>
        <v>11327.89</v>
      </c>
      <c r="AB101" s="176">
        <f t="shared" si="50"/>
        <v>20965.990000000005</v>
      </c>
      <c r="AC101" s="176">
        <f t="shared" si="50"/>
        <v>11507.550000000001</v>
      </c>
      <c r="AD101" s="176">
        <f t="shared" si="50"/>
        <v>15661.640000000003</v>
      </c>
      <c r="AE101" s="176">
        <f t="shared" si="50"/>
        <v>19718.050000000014</v>
      </c>
      <c r="AF101" s="176">
        <f t="shared" si="50"/>
        <v>10959.049999999997</v>
      </c>
      <c r="AG101" s="176">
        <f t="shared" si="50"/>
        <v>16177.320000000002</v>
      </c>
      <c r="AH101" s="176">
        <f t="shared" si="50"/>
        <v>26492.629999999997</v>
      </c>
      <c r="AI101" s="176">
        <f t="shared" si="50"/>
        <v>19436.599999999999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480.24999999999994</v>
      </c>
      <c r="D102" s="176">
        <f t="shared" si="51"/>
        <v>2216.8399999999997</v>
      </c>
      <c r="E102" s="176">
        <f t="shared" si="51"/>
        <v>451.14</v>
      </c>
      <c r="F102" s="176">
        <f t="shared" si="51"/>
        <v>652.54000000000008</v>
      </c>
      <c r="G102" s="176">
        <f t="shared" si="51"/>
        <v>813.81999999999994</v>
      </c>
      <c r="H102" s="176">
        <f t="shared" si="51"/>
        <v>379.69</v>
      </c>
      <c r="I102" s="176">
        <f t="shared" si="51"/>
        <v>1527.3400000000001</v>
      </c>
      <c r="J102" s="176">
        <f t="shared" si="51"/>
        <v>1021.6100000000001</v>
      </c>
      <c r="K102" s="176">
        <f t="shared" si="51"/>
        <v>312.77</v>
      </c>
      <c r="L102" s="176">
        <f t="shared" si="51"/>
        <v>273.06</v>
      </c>
      <c r="M102" s="176">
        <f t="shared" si="51"/>
        <v>171.02</v>
      </c>
      <c r="N102" s="176">
        <f t="shared" si="51"/>
        <v>1410.6100000000001</v>
      </c>
      <c r="O102" s="176">
        <f t="shared" si="51"/>
        <v>249.52999999999997</v>
      </c>
      <c r="P102" s="176">
        <f t="shared" si="51"/>
        <v>1411.47</v>
      </c>
      <c r="Q102" s="176">
        <f t="shared" si="51"/>
        <v>5.42</v>
      </c>
      <c r="R102" s="176">
        <f t="shared" si="51"/>
        <v>642.04999999999995</v>
      </c>
      <c r="S102" s="176">
        <f t="shared" si="51"/>
        <v>724.38</v>
      </c>
      <c r="T102" s="176">
        <f t="shared" si="51"/>
        <v>627.32999999999993</v>
      </c>
      <c r="U102" s="176">
        <f t="shared" si="51"/>
        <v>298.01000000000005</v>
      </c>
      <c r="V102" s="176">
        <f t="shared" si="51"/>
        <v>1342.6999999999998</v>
      </c>
      <c r="W102" s="176">
        <f t="shared" si="51"/>
        <v>715.12000000000012</v>
      </c>
      <c r="X102" s="176">
        <f t="shared" si="51"/>
        <v>70.8</v>
      </c>
      <c r="Y102" s="176">
        <f t="shared" si="51"/>
        <v>1033.9099999999999</v>
      </c>
      <c r="Z102" s="176">
        <f t="shared" si="51"/>
        <v>3959.5400000000004</v>
      </c>
      <c r="AA102" s="176">
        <f t="shared" si="51"/>
        <v>6053.01</v>
      </c>
      <c r="AB102" s="176">
        <f t="shared" si="51"/>
        <v>8897.4400000000023</v>
      </c>
      <c r="AC102" s="176">
        <f t="shared" si="51"/>
        <v>7390.9799999999987</v>
      </c>
      <c r="AD102" s="176">
        <f t="shared" si="51"/>
        <v>17356.990000000002</v>
      </c>
      <c r="AE102" s="176">
        <f t="shared" si="51"/>
        <v>12334.35</v>
      </c>
      <c r="AF102" s="176">
        <f t="shared" si="51"/>
        <v>7098.0899999999992</v>
      </c>
      <c r="AG102" s="176">
        <f t="shared" si="51"/>
        <v>7196.0399999999991</v>
      </c>
      <c r="AH102" s="176">
        <f t="shared" si="51"/>
        <v>1974.7399999999998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832.56000000000006</v>
      </c>
      <c r="D103" s="176">
        <f t="shared" si="52"/>
        <v>398.09</v>
      </c>
      <c r="E103" s="176">
        <f t="shared" si="52"/>
        <v>123.60000000000001</v>
      </c>
      <c r="F103" s="176">
        <f t="shared" si="52"/>
        <v>749.11</v>
      </c>
      <c r="G103" s="176">
        <f t="shared" si="52"/>
        <v>110.64</v>
      </c>
      <c r="H103" s="176">
        <f t="shared" si="52"/>
        <v>246.3</v>
      </c>
      <c r="I103" s="176">
        <f t="shared" si="52"/>
        <v>127.15</v>
      </c>
      <c r="J103" s="176">
        <f t="shared" si="52"/>
        <v>492.92</v>
      </c>
      <c r="K103" s="176">
        <f t="shared" si="52"/>
        <v>235.14999999999998</v>
      </c>
      <c r="L103" s="176">
        <f t="shared" si="52"/>
        <v>1072.3799999999999</v>
      </c>
      <c r="M103" s="176">
        <f t="shared" si="52"/>
        <v>121.69</v>
      </c>
      <c r="N103" s="176">
        <f t="shared" si="52"/>
        <v>280.45999999999998</v>
      </c>
      <c r="O103" s="176">
        <f t="shared" si="52"/>
        <v>347.35</v>
      </c>
      <c r="P103" s="176">
        <f t="shared" si="52"/>
        <v>68.349999999999994</v>
      </c>
      <c r="Q103" s="176">
        <f t="shared" si="52"/>
        <v>9.2899999999999991</v>
      </c>
      <c r="R103" s="176">
        <f t="shared" si="52"/>
        <v>167.17</v>
      </c>
      <c r="S103" s="176">
        <f t="shared" si="52"/>
        <v>190.25</v>
      </c>
      <c r="T103" s="176">
        <f t="shared" si="52"/>
        <v>70.789999999999992</v>
      </c>
      <c r="U103" s="176">
        <f t="shared" si="52"/>
        <v>90.25</v>
      </c>
      <c r="V103" s="176">
        <f t="shared" si="52"/>
        <v>1603.96</v>
      </c>
      <c r="W103" s="176">
        <f t="shared" si="52"/>
        <v>25941.449999999997</v>
      </c>
      <c r="X103" s="176">
        <f t="shared" si="52"/>
        <v>1111.45</v>
      </c>
      <c r="Y103" s="176">
        <f t="shared" si="52"/>
        <v>1671.4500000000003</v>
      </c>
      <c r="Z103" s="176">
        <f t="shared" si="52"/>
        <v>9588.6600000000017</v>
      </c>
      <c r="AA103" s="176">
        <f t="shared" si="52"/>
        <v>5034.4499999999989</v>
      </c>
      <c r="AB103" s="176">
        <f t="shared" si="52"/>
        <v>3992.2200000000003</v>
      </c>
      <c r="AC103" s="176">
        <f t="shared" si="52"/>
        <v>5123.9400000000005</v>
      </c>
      <c r="AD103" s="176">
        <f t="shared" si="52"/>
        <v>6375.6799999999985</v>
      </c>
      <c r="AE103" s="176">
        <f t="shared" si="52"/>
        <v>7298.2099999999982</v>
      </c>
      <c r="AF103" s="176">
        <f t="shared" si="52"/>
        <v>8861.9399999999987</v>
      </c>
      <c r="AG103" s="176">
        <f t="shared" si="52"/>
        <v>6162.9800000000005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102.96</v>
      </c>
      <c r="D104" s="176">
        <f t="shared" si="53"/>
        <v>324.8</v>
      </c>
      <c r="E104" s="176">
        <f t="shared" si="53"/>
        <v>282.07</v>
      </c>
      <c r="F104" s="176">
        <f t="shared" si="53"/>
        <v>593.12</v>
      </c>
      <c r="G104" s="176">
        <f t="shared" si="53"/>
        <v>181.06</v>
      </c>
      <c r="H104" s="176">
        <f t="shared" si="53"/>
        <v>2627.9</v>
      </c>
      <c r="I104" s="176">
        <f t="shared" si="53"/>
        <v>148.46</v>
      </c>
      <c r="J104" s="176">
        <f t="shared" si="53"/>
        <v>226.42</v>
      </c>
      <c r="K104" s="176">
        <f t="shared" si="53"/>
        <v>3400.15</v>
      </c>
      <c r="L104" s="176">
        <f t="shared" si="53"/>
        <v>31.36</v>
      </c>
      <c r="M104" s="176">
        <f t="shared" si="53"/>
        <v>39.200000000000003</v>
      </c>
      <c r="N104" s="176">
        <f t="shared" si="53"/>
        <v>108.08</v>
      </c>
      <c r="O104" s="176">
        <f t="shared" si="53"/>
        <v>142.47</v>
      </c>
      <c r="P104" s="176">
        <f t="shared" si="53"/>
        <v>0</v>
      </c>
      <c r="Q104" s="176">
        <f t="shared" si="53"/>
        <v>228.07999999999998</v>
      </c>
      <c r="R104" s="176">
        <f t="shared" si="53"/>
        <v>22.76</v>
      </c>
      <c r="S104" s="176">
        <f t="shared" si="53"/>
        <v>155</v>
      </c>
      <c r="T104" s="176">
        <f t="shared" si="53"/>
        <v>17.440000000000001</v>
      </c>
      <c r="U104" s="176">
        <f t="shared" si="53"/>
        <v>998.22</v>
      </c>
      <c r="V104" s="176">
        <f t="shared" si="53"/>
        <v>176.43</v>
      </c>
      <c r="W104" s="176">
        <f t="shared" si="53"/>
        <v>141.41999999999999</v>
      </c>
      <c r="X104" s="176">
        <f t="shared" si="53"/>
        <v>27.55</v>
      </c>
      <c r="Y104" s="176">
        <f t="shared" si="53"/>
        <v>686.29000000000008</v>
      </c>
      <c r="Z104" s="176">
        <f t="shared" si="53"/>
        <v>5494.13</v>
      </c>
      <c r="AA104" s="176">
        <f t="shared" si="53"/>
        <v>1971.93</v>
      </c>
      <c r="AB104" s="176">
        <f t="shared" si="53"/>
        <v>3380.0400000000004</v>
      </c>
      <c r="AC104" s="176">
        <f t="shared" si="53"/>
        <v>2572.38</v>
      </c>
      <c r="AD104" s="176">
        <f t="shared" si="53"/>
        <v>8361.7099999999991</v>
      </c>
      <c r="AE104" s="176">
        <f t="shared" si="53"/>
        <v>7199.63</v>
      </c>
      <c r="AF104" s="176">
        <f t="shared" si="53"/>
        <v>3862.5299999999997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0</v>
      </c>
      <c r="D105" s="176">
        <f t="shared" si="54"/>
        <v>969.18000000000006</v>
      </c>
      <c r="E105" s="176">
        <f t="shared" si="54"/>
        <v>874.45</v>
      </c>
      <c r="F105" s="176">
        <f t="shared" si="54"/>
        <v>0</v>
      </c>
      <c r="G105" s="176">
        <f t="shared" si="54"/>
        <v>43.2</v>
      </c>
      <c r="H105" s="176">
        <f t="shared" si="54"/>
        <v>625.41000000000008</v>
      </c>
      <c r="I105" s="176">
        <f t="shared" si="54"/>
        <v>123.46</v>
      </c>
      <c r="J105" s="176">
        <f t="shared" si="54"/>
        <v>2529.75</v>
      </c>
      <c r="K105" s="176">
        <f t="shared" si="54"/>
        <v>123.46</v>
      </c>
      <c r="L105" s="176">
        <f t="shared" si="54"/>
        <v>0</v>
      </c>
      <c r="M105" s="176">
        <f t="shared" si="54"/>
        <v>5.44</v>
      </c>
      <c r="N105" s="176">
        <f t="shared" si="54"/>
        <v>0</v>
      </c>
      <c r="O105" s="176">
        <f t="shared" si="54"/>
        <v>0</v>
      </c>
      <c r="P105" s="176">
        <f t="shared" si="54"/>
        <v>653.86</v>
      </c>
      <c r="Q105" s="176">
        <f t="shared" si="54"/>
        <v>174.98000000000002</v>
      </c>
      <c r="R105" s="176">
        <f t="shared" si="54"/>
        <v>0</v>
      </c>
      <c r="S105" s="176">
        <f t="shared" si="54"/>
        <v>0</v>
      </c>
      <c r="T105" s="176">
        <f t="shared" si="54"/>
        <v>0</v>
      </c>
      <c r="U105" s="176">
        <f t="shared" si="54"/>
        <v>112.99</v>
      </c>
      <c r="V105" s="176">
        <f t="shared" si="54"/>
        <v>76.63</v>
      </c>
      <c r="W105" s="176">
        <f t="shared" si="54"/>
        <v>139.71</v>
      </c>
      <c r="X105" s="176">
        <f t="shared" si="54"/>
        <v>187.06</v>
      </c>
      <c r="Y105" s="176">
        <f t="shared" si="54"/>
        <v>11.73</v>
      </c>
      <c r="Z105" s="176">
        <f t="shared" si="54"/>
        <v>4281.8900000000003</v>
      </c>
      <c r="AA105" s="176">
        <f t="shared" si="54"/>
        <v>2014.91</v>
      </c>
      <c r="AB105" s="176">
        <f t="shared" si="54"/>
        <v>4891.0700000000015</v>
      </c>
      <c r="AC105" s="176">
        <f t="shared" si="54"/>
        <v>2072.4100000000003</v>
      </c>
      <c r="AD105" s="176">
        <f t="shared" si="54"/>
        <v>1325.47</v>
      </c>
      <c r="AE105" s="176">
        <f t="shared" si="54"/>
        <v>2423.3599999999997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416.66</v>
      </c>
      <c r="D106" s="176">
        <f t="shared" si="55"/>
        <v>368.43</v>
      </c>
      <c r="E106" s="176">
        <f t="shared" si="55"/>
        <v>408.9</v>
      </c>
      <c r="F106" s="176">
        <f t="shared" si="55"/>
        <v>348.56</v>
      </c>
      <c r="G106" s="176">
        <f t="shared" si="55"/>
        <v>0</v>
      </c>
      <c r="H106" s="176">
        <f t="shared" si="55"/>
        <v>0</v>
      </c>
      <c r="I106" s="176">
        <f t="shared" si="55"/>
        <v>5303.11</v>
      </c>
      <c r="J106" s="176">
        <f t="shared" si="55"/>
        <v>107.69</v>
      </c>
      <c r="K106" s="176">
        <f t="shared" si="55"/>
        <v>443.65</v>
      </c>
      <c r="L106" s="176">
        <f t="shared" si="55"/>
        <v>32.58</v>
      </c>
      <c r="M106" s="176">
        <f t="shared" si="55"/>
        <v>0</v>
      </c>
      <c r="N106" s="176">
        <f t="shared" si="55"/>
        <v>0</v>
      </c>
      <c r="O106" s="176">
        <f t="shared" si="55"/>
        <v>44.6</v>
      </c>
      <c r="P106" s="176">
        <f t="shared" si="55"/>
        <v>51.790000000000006</v>
      </c>
      <c r="Q106" s="176">
        <f t="shared" si="55"/>
        <v>0</v>
      </c>
      <c r="R106" s="176">
        <f t="shared" si="55"/>
        <v>0</v>
      </c>
      <c r="S106" s="176">
        <f t="shared" si="55"/>
        <v>0</v>
      </c>
      <c r="T106" s="176">
        <f t="shared" si="55"/>
        <v>204.01999999999998</v>
      </c>
      <c r="U106" s="176">
        <f t="shared" si="55"/>
        <v>37.1</v>
      </c>
      <c r="V106" s="176">
        <f t="shared" si="55"/>
        <v>0</v>
      </c>
      <c r="W106" s="176">
        <f t="shared" si="55"/>
        <v>68.349999999999994</v>
      </c>
      <c r="X106" s="176">
        <f t="shared" si="55"/>
        <v>498</v>
      </c>
      <c r="Y106" s="176">
        <f t="shared" si="55"/>
        <v>539.73</v>
      </c>
      <c r="Z106" s="176">
        <f t="shared" si="55"/>
        <v>1664.1200000000001</v>
      </c>
      <c r="AA106" s="176">
        <f t="shared" si="55"/>
        <v>6834.1600000000008</v>
      </c>
      <c r="AB106" s="176">
        <f t="shared" si="55"/>
        <v>1333.4399999999998</v>
      </c>
      <c r="AC106" s="176">
        <f t="shared" si="55"/>
        <v>2912.1800000000003</v>
      </c>
      <c r="AD106" s="176">
        <f t="shared" si="55"/>
        <v>2139.6600000000003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0</v>
      </c>
      <c r="D107" s="176">
        <f t="shared" si="56"/>
        <v>271.14</v>
      </c>
      <c r="E107" s="176">
        <f t="shared" si="56"/>
        <v>172.35</v>
      </c>
      <c r="F107" s="176">
        <f t="shared" si="56"/>
        <v>0</v>
      </c>
      <c r="G107" s="176">
        <f t="shared" si="56"/>
        <v>59.08</v>
      </c>
      <c r="H107" s="176">
        <f t="shared" si="56"/>
        <v>100</v>
      </c>
      <c r="I107" s="176">
        <f t="shared" si="56"/>
        <v>303.96000000000004</v>
      </c>
      <c r="J107" s="176">
        <f t="shared" si="56"/>
        <v>0</v>
      </c>
      <c r="K107" s="176">
        <f t="shared" si="56"/>
        <v>68.11</v>
      </c>
      <c r="L107" s="176">
        <f t="shared" si="56"/>
        <v>43.2</v>
      </c>
      <c r="M107" s="176">
        <f t="shared" si="56"/>
        <v>135</v>
      </c>
      <c r="N107" s="176">
        <f t="shared" si="56"/>
        <v>0</v>
      </c>
      <c r="O107" s="176">
        <f t="shared" si="56"/>
        <v>0</v>
      </c>
      <c r="P107" s="176">
        <f t="shared" si="56"/>
        <v>126.5</v>
      </c>
      <c r="Q107" s="176">
        <f t="shared" si="56"/>
        <v>108.08</v>
      </c>
      <c r="R107" s="176">
        <f t="shared" si="56"/>
        <v>0</v>
      </c>
      <c r="S107" s="176">
        <f t="shared" si="56"/>
        <v>205.64</v>
      </c>
      <c r="T107" s="176">
        <f t="shared" si="56"/>
        <v>67.5</v>
      </c>
      <c r="U107" s="176">
        <f t="shared" si="56"/>
        <v>355.83000000000004</v>
      </c>
      <c r="V107" s="176">
        <f t="shared" si="56"/>
        <v>0</v>
      </c>
      <c r="W107" s="176">
        <f t="shared" si="56"/>
        <v>0</v>
      </c>
      <c r="X107" s="176">
        <f t="shared" si="56"/>
        <v>313.77999999999997</v>
      </c>
      <c r="Y107" s="176">
        <f t="shared" si="56"/>
        <v>118.75000000000001</v>
      </c>
      <c r="Z107" s="176">
        <f t="shared" si="56"/>
        <v>2200.88</v>
      </c>
      <c r="AA107" s="176">
        <f t="shared" si="56"/>
        <v>3486.2</v>
      </c>
      <c r="AB107" s="176">
        <f t="shared" si="56"/>
        <v>2324.0299999999997</v>
      </c>
      <c r="AC107" s="176">
        <f t="shared" si="56"/>
        <v>8899.93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247.36</v>
      </c>
      <c r="D108" s="176">
        <f t="shared" si="57"/>
        <v>572.62999999999988</v>
      </c>
      <c r="E108" s="176">
        <f t="shared" si="57"/>
        <v>205.38</v>
      </c>
      <c r="F108" s="176">
        <f t="shared" si="57"/>
        <v>0</v>
      </c>
      <c r="G108" s="176">
        <f t="shared" si="57"/>
        <v>139.06</v>
      </c>
      <c r="H108" s="176">
        <f t="shared" si="57"/>
        <v>34.06</v>
      </c>
      <c r="I108" s="176">
        <f t="shared" si="57"/>
        <v>638.58000000000015</v>
      </c>
      <c r="J108" s="176">
        <f t="shared" si="57"/>
        <v>199.02999999999997</v>
      </c>
      <c r="K108" s="176">
        <f t="shared" si="57"/>
        <v>476.15999999999997</v>
      </c>
      <c r="L108" s="176">
        <f t="shared" si="57"/>
        <v>0</v>
      </c>
      <c r="M108" s="176">
        <f t="shared" si="57"/>
        <v>30.78</v>
      </c>
      <c r="N108" s="176">
        <f t="shared" si="57"/>
        <v>0</v>
      </c>
      <c r="O108" s="176">
        <f t="shared" si="57"/>
        <v>0</v>
      </c>
      <c r="P108" s="176">
        <f t="shared" si="57"/>
        <v>43.2</v>
      </c>
      <c r="Q108" s="176">
        <f t="shared" si="57"/>
        <v>194.39</v>
      </c>
      <c r="R108" s="176">
        <f t="shared" si="57"/>
        <v>153.21</v>
      </c>
      <c r="S108" s="176">
        <f t="shared" si="57"/>
        <v>0</v>
      </c>
      <c r="T108" s="176">
        <f t="shared" si="57"/>
        <v>0</v>
      </c>
      <c r="U108" s="176">
        <f t="shared" si="57"/>
        <v>26.18</v>
      </c>
      <c r="V108" s="176">
        <f t="shared" si="57"/>
        <v>913.66</v>
      </c>
      <c r="W108" s="176">
        <f t="shared" si="57"/>
        <v>119.56</v>
      </c>
      <c r="X108" s="176">
        <f t="shared" si="57"/>
        <v>0</v>
      </c>
      <c r="Y108" s="176">
        <f t="shared" si="57"/>
        <v>433.93</v>
      </c>
      <c r="Z108" s="176">
        <f t="shared" si="57"/>
        <v>1186.0599999999997</v>
      </c>
      <c r="AA108" s="176">
        <f t="shared" si="57"/>
        <v>399.44</v>
      </c>
      <c r="AB108" s="176">
        <f t="shared" si="57"/>
        <v>740.65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0</v>
      </c>
      <c r="D109" s="176">
        <f t="shared" si="58"/>
        <v>287.89</v>
      </c>
      <c r="E109" s="176">
        <f t="shared" si="58"/>
        <v>0</v>
      </c>
      <c r="F109" s="176">
        <f t="shared" si="58"/>
        <v>0</v>
      </c>
      <c r="G109" s="176">
        <f t="shared" si="58"/>
        <v>306.67</v>
      </c>
      <c r="H109" s="176">
        <f t="shared" si="58"/>
        <v>246.92</v>
      </c>
      <c r="I109" s="176">
        <f t="shared" si="58"/>
        <v>0</v>
      </c>
      <c r="J109" s="176">
        <f t="shared" si="58"/>
        <v>0</v>
      </c>
      <c r="K109" s="176">
        <f t="shared" si="58"/>
        <v>43.2</v>
      </c>
      <c r="L109" s="176">
        <f t="shared" si="58"/>
        <v>75.569999999999993</v>
      </c>
      <c r="M109" s="176">
        <f t="shared" si="58"/>
        <v>0</v>
      </c>
      <c r="N109" s="176">
        <f t="shared" si="58"/>
        <v>119.02</v>
      </c>
      <c r="O109" s="176">
        <f t="shared" si="58"/>
        <v>0</v>
      </c>
      <c r="P109" s="176">
        <f t="shared" si="58"/>
        <v>0</v>
      </c>
      <c r="Q109" s="176">
        <f t="shared" si="58"/>
        <v>0</v>
      </c>
      <c r="R109" s="176">
        <f t="shared" si="58"/>
        <v>0</v>
      </c>
      <c r="S109" s="176">
        <f t="shared" si="58"/>
        <v>0</v>
      </c>
      <c r="T109" s="176">
        <f t="shared" si="58"/>
        <v>108.08</v>
      </c>
      <c r="U109" s="176">
        <f t="shared" si="58"/>
        <v>0</v>
      </c>
      <c r="V109" s="176">
        <f t="shared" si="58"/>
        <v>166.64</v>
      </c>
      <c r="W109" s="176">
        <f t="shared" si="58"/>
        <v>114.37</v>
      </c>
      <c r="X109" s="176">
        <f t="shared" si="58"/>
        <v>115.17999999999999</v>
      </c>
      <c r="Y109" s="176">
        <f t="shared" si="58"/>
        <v>0</v>
      </c>
      <c r="Z109" s="176">
        <f t="shared" si="58"/>
        <v>1240.49</v>
      </c>
      <c r="AA109" s="176">
        <f t="shared" si="58"/>
        <v>98.34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0</v>
      </c>
      <c r="D110" s="176">
        <f t="shared" si="59"/>
        <v>-127.91</v>
      </c>
      <c r="E110" s="176">
        <f t="shared" si="59"/>
        <v>196.74</v>
      </c>
      <c r="F110" s="176">
        <f t="shared" si="59"/>
        <v>110.33000000000001</v>
      </c>
      <c r="G110" s="176">
        <f t="shared" si="59"/>
        <v>77.5</v>
      </c>
      <c r="H110" s="176">
        <f t="shared" si="59"/>
        <v>18.93</v>
      </c>
      <c r="I110" s="176">
        <f t="shared" si="59"/>
        <v>0</v>
      </c>
      <c r="J110" s="176">
        <f t="shared" si="59"/>
        <v>0</v>
      </c>
      <c r="K110" s="176">
        <f t="shared" si="59"/>
        <v>67.19</v>
      </c>
      <c r="L110" s="176">
        <f t="shared" si="59"/>
        <v>0</v>
      </c>
      <c r="M110" s="176">
        <f t="shared" si="59"/>
        <v>1954.76</v>
      </c>
      <c r="N110" s="176">
        <f t="shared" si="59"/>
        <v>0</v>
      </c>
      <c r="O110" s="176">
        <f t="shared" si="59"/>
        <v>35.549999999999997</v>
      </c>
      <c r="P110" s="176">
        <f t="shared" si="59"/>
        <v>77.69</v>
      </c>
      <c r="Q110" s="176">
        <f t="shared" si="59"/>
        <v>0</v>
      </c>
      <c r="R110" s="176">
        <f t="shared" si="59"/>
        <v>0</v>
      </c>
      <c r="S110" s="176">
        <f t="shared" si="59"/>
        <v>0</v>
      </c>
      <c r="T110" s="176">
        <f t="shared" si="59"/>
        <v>67.5</v>
      </c>
      <c r="U110" s="176">
        <f t="shared" si="59"/>
        <v>222.89999999999998</v>
      </c>
      <c r="V110" s="176">
        <f t="shared" si="59"/>
        <v>0</v>
      </c>
      <c r="W110" s="176">
        <f t="shared" si="59"/>
        <v>0</v>
      </c>
      <c r="X110" s="176">
        <f t="shared" si="59"/>
        <v>148.26999999999998</v>
      </c>
      <c r="Y110" s="176">
        <f t="shared" si="59"/>
        <v>0</v>
      </c>
      <c r="Z110" s="176">
        <f t="shared" si="59"/>
        <v>905.70999999999992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0</v>
      </c>
      <c r="D111" s="176">
        <f t="shared" si="60"/>
        <v>106.93</v>
      </c>
      <c r="E111" s="176">
        <f t="shared" si="60"/>
        <v>24257.3</v>
      </c>
      <c r="F111" s="176">
        <f t="shared" si="60"/>
        <v>0</v>
      </c>
      <c r="G111" s="176">
        <f t="shared" si="60"/>
        <v>0</v>
      </c>
      <c r="H111" s="176">
        <f t="shared" si="60"/>
        <v>0</v>
      </c>
      <c r="I111" s="176">
        <f t="shared" si="60"/>
        <v>0</v>
      </c>
      <c r="J111" s="176">
        <f t="shared" si="60"/>
        <v>0</v>
      </c>
      <c r="K111" s="176">
        <f t="shared" si="60"/>
        <v>0</v>
      </c>
      <c r="L111" s="176">
        <f t="shared" si="60"/>
        <v>207.73999999999998</v>
      </c>
      <c r="M111" s="176">
        <f t="shared" si="60"/>
        <v>0</v>
      </c>
      <c r="N111" s="176">
        <f t="shared" si="60"/>
        <v>0</v>
      </c>
      <c r="O111" s="176">
        <f t="shared" si="60"/>
        <v>0</v>
      </c>
      <c r="P111" s="176">
        <f t="shared" si="60"/>
        <v>0</v>
      </c>
      <c r="Q111" s="176">
        <f t="shared" si="60"/>
        <v>98.94</v>
      </c>
      <c r="R111" s="176">
        <f t="shared" si="60"/>
        <v>0</v>
      </c>
      <c r="S111" s="176">
        <f t="shared" si="60"/>
        <v>0</v>
      </c>
      <c r="T111" s="176">
        <f t="shared" si="60"/>
        <v>0</v>
      </c>
      <c r="U111" s="176">
        <f t="shared" si="60"/>
        <v>0</v>
      </c>
      <c r="V111" s="176">
        <f t="shared" si="60"/>
        <v>102.96</v>
      </c>
      <c r="W111" s="176">
        <f t="shared" si="60"/>
        <v>0</v>
      </c>
      <c r="X111" s="176">
        <f t="shared" si="60"/>
        <v>0</v>
      </c>
      <c r="Y111" s="176">
        <f t="shared" si="60"/>
        <v>0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0</v>
      </c>
      <c r="D112" s="176">
        <f t="shared" si="61"/>
        <v>0</v>
      </c>
      <c r="E112" s="176">
        <f t="shared" si="61"/>
        <v>18000.599999999999</v>
      </c>
      <c r="F112" s="176">
        <f t="shared" si="61"/>
        <v>67.5</v>
      </c>
      <c r="G112" s="176">
        <f t="shared" si="61"/>
        <v>0</v>
      </c>
      <c r="H112" s="176">
        <f t="shared" si="61"/>
        <v>0</v>
      </c>
      <c r="I112" s="176">
        <f t="shared" si="61"/>
        <v>0</v>
      </c>
      <c r="J112" s="176">
        <f t="shared" si="61"/>
        <v>0</v>
      </c>
      <c r="K112" s="176">
        <f t="shared" si="61"/>
        <v>0</v>
      </c>
      <c r="L112" s="176">
        <f t="shared" si="61"/>
        <v>0</v>
      </c>
      <c r="M112" s="176">
        <f t="shared" si="61"/>
        <v>0</v>
      </c>
      <c r="N112" s="176">
        <f t="shared" si="61"/>
        <v>0</v>
      </c>
      <c r="O112" s="176">
        <f t="shared" si="61"/>
        <v>0</v>
      </c>
      <c r="P112" s="176">
        <f t="shared" si="61"/>
        <v>0</v>
      </c>
      <c r="Q112" s="176">
        <f t="shared" si="61"/>
        <v>0</v>
      </c>
      <c r="R112" s="176">
        <f t="shared" si="61"/>
        <v>0</v>
      </c>
      <c r="S112" s="176">
        <f t="shared" si="61"/>
        <v>0</v>
      </c>
      <c r="T112" s="176">
        <f t="shared" si="61"/>
        <v>0</v>
      </c>
      <c r="U112" s="176">
        <f t="shared" si="61"/>
        <v>0</v>
      </c>
      <c r="V112" s="176">
        <f t="shared" si="61"/>
        <v>0</v>
      </c>
      <c r="W112" s="176">
        <f t="shared" si="61"/>
        <v>0</v>
      </c>
      <c r="X112" s="176">
        <f t="shared" si="61"/>
        <v>215.1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0</v>
      </c>
      <c r="D113" s="176">
        <f t="shared" si="62"/>
        <v>0</v>
      </c>
      <c r="E113" s="176">
        <f t="shared" si="62"/>
        <v>0</v>
      </c>
      <c r="F113" s="176">
        <f t="shared" si="62"/>
        <v>0</v>
      </c>
      <c r="G113" s="176">
        <f t="shared" si="62"/>
        <v>0</v>
      </c>
      <c r="H113" s="176">
        <f t="shared" si="62"/>
        <v>0</v>
      </c>
      <c r="I113" s="176">
        <f t="shared" si="62"/>
        <v>0</v>
      </c>
      <c r="J113" s="176">
        <f t="shared" si="62"/>
        <v>0</v>
      </c>
      <c r="K113" s="176">
        <f t="shared" si="62"/>
        <v>0</v>
      </c>
      <c r="L113" s="176">
        <f t="shared" si="62"/>
        <v>0</v>
      </c>
      <c r="M113" s="176">
        <f t="shared" si="62"/>
        <v>0</v>
      </c>
      <c r="N113" s="176">
        <f t="shared" si="62"/>
        <v>0</v>
      </c>
      <c r="O113" s="176">
        <f t="shared" si="62"/>
        <v>62.23</v>
      </c>
      <c r="P113" s="176">
        <f t="shared" si="62"/>
        <v>0</v>
      </c>
      <c r="Q113" s="176">
        <f t="shared" si="62"/>
        <v>0</v>
      </c>
      <c r="R113" s="176">
        <f t="shared" si="62"/>
        <v>0</v>
      </c>
      <c r="S113" s="176">
        <f t="shared" si="62"/>
        <v>0</v>
      </c>
      <c r="T113" s="176">
        <f t="shared" si="62"/>
        <v>0</v>
      </c>
      <c r="U113" s="176">
        <f t="shared" si="62"/>
        <v>0</v>
      </c>
      <c r="V113" s="176">
        <f t="shared" si="62"/>
        <v>0</v>
      </c>
      <c r="W113" s="176">
        <f t="shared" si="62"/>
        <v>0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0</v>
      </c>
      <c r="D114" s="176">
        <f t="shared" si="63"/>
        <v>0</v>
      </c>
      <c r="E114" s="176">
        <f t="shared" si="63"/>
        <v>80.099999999999994</v>
      </c>
      <c r="F114" s="176">
        <f t="shared" si="63"/>
        <v>0</v>
      </c>
      <c r="G114" s="176">
        <f t="shared" si="63"/>
        <v>0</v>
      </c>
      <c r="H114" s="176">
        <f t="shared" si="63"/>
        <v>110.71</v>
      </c>
      <c r="I114" s="176">
        <f t="shared" si="63"/>
        <v>0</v>
      </c>
      <c r="J114" s="176">
        <f t="shared" si="63"/>
        <v>0</v>
      </c>
      <c r="K114" s="176">
        <f t="shared" si="63"/>
        <v>0</v>
      </c>
      <c r="L114" s="176">
        <f t="shared" si="63"/>
        <v>0</v>
      </c>
      <c r="M114" s="176">
        <f t="shared" si="63"/>
        <v>0</v>
      </c>
      <c r="N114" s="176">
        <f t="shared" si="63"/>
        <v>0</v>
      </c>
      <c r="O114" s="176">
        <f t="shared" si="63"/>
        <v>0</v>
      </c>
      <c r="P114" s="176">
        <f t="shared" si="63"/>
        <v>0</v>
      </c>
      <c r="Q114" s="176">
        <f t="shared" si="63"/>
        <v>0</v>
      </c>
      <c r="R114" s="176">
        <f t="shared" si="63"/>
        <v>0</v>
      </c>
      <c r="S114" s="176">
        <f t="shared" si="63"/>
        <v>0</v>
      </c>
      <c r="T114" s="176">
        <f t="shared" si="63"/>
        <v>0</v>
      </c>
      <c r="U114" s="176">
        <f t="shared" si="63"/>
        <v>6.84</v>
      </c>
      <c r="V114" s="176">
        <f t="shared" si="63"/>
        <v>0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0</v>
      </c>
      <c r="D115" s="176">
        <f t="shared" si="64"/>
        <v>0</v>
      </c>
      <c r="E115" s="176">
        <f t="shared" si="64"/>
        <v>0</v>
      </c>
      <c r="F115" s="176">
        <f t="shared" si="64"/>
        <v>0</v>
      </c>
      <c r="G115" s="176">
        <f t="shared" si="64"/>
        <v>0</v>
      </c>
      <c r="H115" s="176">
        <f t="shared" si="64"/>
        <v>0</v>
      </c>
      <c r="I115" s="176">
        <f t="shared" si="64"/>
        <v>0</v>
      </c>
      <c r="J115" s="176">
        <f t="shared" si="64"/>
        <v>0</v>
      </c>
      <c r="K115" s="176">
        <f t="shared" si="64"/>
        <v>0</v>
      </c>
      <c r="L115" s="176">
        <f t="shared" si="64"/>
        <v>0</v>
      </c>
      <c r="M115" s="176">
        <f t="shared" si="64"/>
        <v>0</v>
      </c>
      <c r="N115" s="176">
        <f t="shared" si="64"/>
        <v>0</v>
      </c>
      <c r="O115" s="176">
        <f t="shared" si="64"/>
        <v>0</v>
      </c>
      <c r="P115" s="176">
        <f t="shared" si="64"/>
        <v>0</v>
      </c>
      <c r="Q115" s="176">
        <f t="shared" si="64"/>
        <v>0</v>
      </c>
      <c r="R115" s="176">
        <f t="shared" si="64"/>
        <v>0</v>
      </c>
      <c r="S115" s="176">
        <f t="shared" si="64"/>
        <v>0</v>
      </c>
      <c r="T115" s="176">
        <f t="shared" si="64"/>
        <v>0</v>
      </c>
      <c r="U115" s="176">
        <f t="shared" si="64"/>
        <v>0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0</v>
      </c>
      <c r="D116" s="176">
        <f t="shared" si="65"/>
        <v>0</v>
      </c>
      <c r="E116" s="176">
        <f t="shared" si="65"/>
        <v>45.8</v>
      </c>
      <c r="F116" s="176">
        <f t="shared" si="65"/>
        <v>0</v>
      </c>
      <c r="G116" s="176">
        <f t="shared" si="65"/>
        <v>0</v>
      </c>
      <c r="H116" s="176">
        <f t="shared" si="65"/>
        <v>0</v>
      </c>
      <c r="I116" s="176">
        <f t="shared" si="65"/>
        <v>100</v>
      </c>
      <c r="J116" s="176">
        <f t="shared" si="65"/>
        <v>0</v>
      </c>
      <c r="K116" s="176">
        <f t="shared" si="65"/>
        <v>0</v>
      </c>
      <c r="L116" s="176">
        <f t="shared" si="65"/>
        <v>0</v>
      </c>
      <c r="M116" s="176">
        <f t="shared" si="65"/>
        <v>0</v>
      </c>
      <c r="N116" s="176">
        <f t="shared" si="65"/>
        <v>0</v>
      </c>
      <c r="O116" s="176">
        <f t="shared" si="65"/>
        <v>0</v>
      </c>
      <c r="P116" s="176">
        <f t="shared" si="65"/>
        <v>328.23</v>
      </c>
      <c r="Q116" s="176">
        <f t="shared" si="65"/>
        <v>0</v>
      </c>
      <c r="R116" s="176">
        <f t="shared" si="65"/>
        <v>0</v>
      </c>
      <c r="S116" s="176">
        <f t="shared" si="65"/>
        <v>0</v>
      </c>
      <c r="T116" s="176">
        <f t="shared" si="65"/>
        <v>0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0</v>
      </c>
      <c r="D117" s="176">
        <f t="shared" si="66"/>
        <v>0</v>
      </c>
      <c r="E117" s="176">
        <f t="shared" si="66"/>
        <v>0</v>
      </c>
      <c r="F117" s="176">
        <f t="shared" si="66"/>
        <v>0</v>
      </c>
      <c r="G117" s="176">
        <f t="shared" si="66"/>
        <v>0</v>
      </c>
      <c r="H117" s="176">
        <f t="shared" si="66"/>
        <v>0</v>
      </c>
      <c r="I117" s="176">
        <f t="shared" si="66"/>
        <v>0</v>
      </c>
      <c r="J117" s="176">
        <f t="shared" si="66"/>
        <v>0</v>
      </c>
      <c r="K117" s="176">
        <f t="shared" si="66"/>
        <v>0</v>
      </c>
      <c r="L117" s="176">
        <f t="shared" si="66"/>
        <v>0</v>
      </c>
      <c r="M117" s="176">
        <f t="shared" si="66"/>
        <v>0</v>
      </c>
      <c r="N117" s="176">
        <f t="shared" si="66"/>
        <v>0</v>
      </c>
      <c r="O117" s="176">
        <f t="shared" si="66"/>
        <v>0</v>
      </c>
      <c r="P117" s="176">
        <f t="shared" si="66"/>
        <v>0</v>
      </c>
      <c r="Q117" s="176">
        <f t="shared" si="66"/>
        <v>0</v>
      </c>
      <c r="R117" s="176">
        <f t="shared" si="66"/>
        <v>0</v>
      </c>
      <c r="S117" s="176">
        <f t="shared" si="66"/>
        <v>0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0</v>
      </c>
      <c r="D118" s="176">
        <f t="shared" si="67"/>
        <v>0</v>
      </c>
      <c r="E118" s="176">
        <f t="shared" si="67"/>
        <v>0</v>
      </c>
      <c r="F118" s="176">
        <f t="shared" si="67"/>
        <v>0</v>
      </c>
      <c r="G118" s="176">
        <f t="shared" si="67"/>
        <v>0</v>
      </c>
      <c r="H118" s="176">
        <f t="shared" si="67"/>
        <v>0</v>
      </c>
      <c r="I118" s="176">
        <f t="shared" si="67"/>
        <v>0</v>
      </c>
      <c r="J118" s="176">
        <f t="shared" si="67"/>
        <v>0</v>
      </c>
      <c r="K118" s="176">
        <f t="shared" si="67"/>
        <v>0</v>
      </c>
      <c r="L118" s="176">
        <f t="shared" si="67"/>
        <v>0</v>
      </c>
      <c r="M118" s="176">
        <f t="shared" si="67"/>
        <v>0</v>
      </c>
      <c r="N118" s="176">
        <f t="shared" si="67"/>
        <v>0</v>
      </c>
      <c r="O118" s="176">
        <f t="shared" si="67"/>
        <v>0</v>
      </c>
      <c r="P118" s="176">
        <f t="shared" si="67"/>
        <v>0</v>
      </c>
      <c r="Q118" s="176">
        <f t="shared" si="67"/>
        <v>0</v>
      </c>
      <c r="R118" s="176">
        <f t="shared" si="67"/>
        <v>0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0</v>
      </c>
      <c r="D119" s="176">
        <f t="shared" si="68"/>
        <v>24</v>
      </c>
      <c r="E119" s="176">
        <f t="shared" si="68"/>
        <v>0</v>
      </c>
      <c r="F119" s="176">
        <f t="shared" si="68"/>
        <v>31.33</v>
      </c>
      <c r="G119" s="176">
        <f t="shared" si="68"/>
        <v>0</v>
      </c>
      <c r="H119" s="176">
        <f t="shared" si="68"/>
        <v>0</v>
      </c>
      <c r="I119" s="176">
        <f t="shared" si="68"/>
        <v>0</v>
      </c>
      <c r="J119" s="176">
        <f t="shared" si="68"/>
        <v>0</v>
      </c>
      <c r="K119" s="176">
        <f t="shared" si="68"/>
        <v>0</v>
      </c>
      <c r="L119" s="176">
        <f t="shared" si="68"/>
        <v>0</v>
      </c>
      <c r="M119" s="176">
        <f t="shared" si="68"/>
        <v>0</v>
      </c>
      <c r="N119" s="176">
        <f t="shared" si="68"/>
        <v>0</v>
      </c>
      <c r="O119" s="176">
        <f t="shared" si="68"/>
        <v>0</v>
      </c>
      <c r="P119" s="176">
        <f t="shared" si="68"/>
        <v>0</v>
      </c>
      <c r="Q119" s="176">
        <f t="shared" si="68"/>
        <v>0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0</v>
      </c>
      <c r="D120" s="176">
        <f t="shared" si="69"/>
        <v>0</v>
      </c>
      <c r="E120" s="176">
        <f t="shared" si="69"/>
        <v>0</v>
      </c>
      <c r="F120" s="176">
        <f t="shared" si="69"/>
        <v>0</v>
      </c>
      <c r="G120" s="176">
        <f t="shared" si="69"/>
        <v>0</v>
      </c>
      <c r="H120" s="176">
        <f t="shared" si="69"/>
        <v>0</v>
      </c>
      <c r="I120" s="176">
        <f t="shared" si="69"/>
        <v>0</v>
      </c>
      <c r="J120" s="176">
        <f t="shared" si="69"/>
        <v>0</v>
      </c>
      <c r="K120" s="176">
        <f t="shared" si="69"/>
        <v>0</v>
      </c>
      <c r="L120" s="176">
        <f t="shared" si="69"/>
        <v>0</v>
      </c>
      <c r="M120" s="176">
        <f t="shared" si="69"/>
        <v>0</v>
      </c>
      <c r="N120" s="176">
        <f t="shared" si="69"/>
        <v>0</v>
      </c>
      <c r="O120" s="176">
        <f t="shared" si="69"/>
        <v>0</v>
      </c>
      <c r="P120" s="176">
        <f t="shared" si="69"/>
        <v>0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0</v>
      </c>
      <c r="D121" s="176">
        <f t="shared" si="70"/>
        <v>0</v>
      </c>
      <c r="E121" s="176">
        <f t="shared" si="70"/>
        <v>0</v>
      </c>
      <c r="F121" s="176">
        <f t="shared" si="70"/>
        <v>0</v>
      </c>
      <c r="G121" s="176">
        <f t="shared" si="70"/>
        <v>0</v>
      </c>
      <c r="H121" s="176">
        <f t="shared" si="70"/>
        <v>0</v>
      </c>
      <c r="I121" s="176">
        <f t="shared" si="70"/>
        <v>0</v>
      </c>
      <c r="J121" s="176">
        <f t="shared" si="70"/>
        <v>0</v>
      </c>
      <c r="K121" s="176">
        <f t="shared" si="70"/>
        <v>0</v>
      </c>
      <c r="L121" s="176">
        <f t="shared" si="70"/>
        <v>0</v>
      </c>
      <c r="M121" s="176">
        <f t="shared" si="70"/>
        <v>0</v>
      </c>
      <c r="N121" s="176">
        <f t="shared" si="70"/>
        <v>0</v>
      </c>
      <c r="O121" s="176">
        <f t="shared" si="70"/>
        <v>0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0</v>
      </c>
      <c r="D122" s="176">
        <f t="shared" si="71"/>
        <v>0</v>
      </c>
      <c r="E122" s="176">
        <f t="shared" si="71"/>
        <v>0</v>
      </c>
      <c r="F122" s="176">
        <f t="shared" si="71"/>
        <v>0</v>
      </c>
      <c r="G122" s="176">
        <f t="shared" si="71"/>
        <v>0</v>
      </c>
      <c r="H122" s="176">
        <f t="shared" si="71"/>
        <v>0</v>
      </c>
      <c r="I122" s="176">
        <f t="shared" si="71"/>
        <v>0</v>
      </c>
      <c r="J122" s="176">
        <f t="shared" si="71"/>
        <v>98.46</v>
      </c>
      <c r="K122" s="176">
        <f t="shared" si="71"/>
        <v>0</v>
      </c>
      <c r="L122" s="176">
        <f t="shared" si="71"/>
        <v>0</v>
      </c>
      <c r="M122" s="176">
        <f t="shared" si="71"/>
        <v>0</v>
      </c>
      <c r="N122" s="176">
        <f t="shared" si="71"/>
        <v>0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0</v>
      </c>
      <c r="D123" s="176">
        <f t="shared" si="72"/>
        <v>0</v>
      </c>
      <c r="E123" s="176">
        <f t="shared" si="72"/>
        <v>0</v>
      </c>
      <c r="F123" s="176">
        <f t="shared" si="72"/>
        <v>0</v>
      </c>
      <c r="G123" s="176">
        <f t="shared" si="72"/>
        <v>0</v>
      </c>
      <c r="H123" s="176">
        <f t="shared" si="72"/>
        <v>0</v>
      </c>
      <c r="I123" s="176">
        <f t="shared" si="72"/>
        <v>0</v>
      </c>
      <c r="J123" s="176">
        <f t="shared" si="72"/>
        <v>0</v>
      </c>
      <c r="K123" s="176">
        <f t="shared" si="72"/>
        <v>0</v>
      </c>
      <c r="L123" s="176">
        <f t="shared" si="72"/>
        <v>0</v>
      </c>
      <c r="M123" s="176">
        <f t="shared" si="72"/>
        <v>0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0</v>
      </c>
      <c r="D124" s="176">
        <f t="shared" si="73"/>
        <v>0</v>
      </c>
      <c r="E124" s="176">
        <f t="shared" si="73"/>
        <v>0</v>
      </c>
      <c r="F124" s="176">
        <f t="shared" si="73"/>
        <v>0</v>
      </c>
      <c r="G124" s="176">
        <f t="shared" si="73"/>
        <v>0</v>
      </c>
      <c r="H124" s="176">
        <f t="shared" si="73"/>
        <v>0</v>
      </c>
      <c r="I124" s="176">
        <f t="shared" si="73"/>
        <v>0</v>
      </c>
      <c r="J124" s="176">
        <f t="shared" si="73"/>
        <v>0</v>
      </c>
      <c r="K124" s="176">
        <f t="shared" si="73"/>
        <v>0</v>
      </c>
      <c r="L124" s="176">
        <f t="shared" si="73"/>
        <v>0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0</v>
      </c>
      <c r="D125" s="176">
        <f t="shared" si="74"/>
        <v>0</v>
      </c>
      <c r="E125" s="176">
        <f t="shared" si="74"/>
        <v>0</v>
      </c>
      <c r="F125" s="176">
        <f t="shared" si="74"/>
        <v>0</v>
      </c>
      <c r="G125" s="176">
        <f t="shared" si="74"/>
        <v>0</v>
      </c>
      <c r="H125" s="176">
        <f t="shared" si="74"/>
        <v>0</v>
      </c>
      <c r="I125" s="176">
        <f t="shared" si="74"/>
        <v>0</v>
      </c>
      <c r="J125" s="176">
        <f t="shared" si="74"/>
        <v>0</v>
      </c>
      <c r="K125" s="176">
        <f t="shared" si="74"/>
        <v>0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0</v>
      </c>
      <c r="D126" s="176">
        <f t="shared" si="75"/>
        <v>0</v>
      </c>
      <c r="E126" s="176">
        <f t="shared" si="75"/>
        <v>0</v>
      </c>
      <c r="F126" s="176">
        <f t="shared" si="75"/>
        <v>0</v>
      </c>
      <c r="G126" s="176">
        <f t="shared" si="75"/>
        <v>0</v>
      </c>
      <c r="H126" s="176">
        <f t="shared" si="75"/>
        <v>0</v>
      </c>
      <c r="I126" s="176">
        <f t="shared" si="75"/>
        <v>0</v>
      </c>
      <c r="J126" s="176">
        <f t="shared" si="75"/>
        <v>0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0</v>
      </c>
      <c r="D127" s="176">
        <f t="shared" si="76"/>
        <v>0</v>
      </c>
      <c r="E127" s="176">
        <f t="shared" si="76"/>
        <v>0</v>
      </c>
      <c r="F127" s="176">
        <f t="shared" si="76"/>
        <v>0</v>
      </c>
      <c r="G127" s="176">
        <f t="shared" si="76"/>
        <v>0</v>
      </c>
      <c r="H127" s="176">
        <f t="shared" si="76"/>
        <v>0</v>
      </c>
      <c r="I127" s="176">
        <f t="shared" si="76"/>
        <v>0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0</v>
      </c>
      <c r="D128" s="176">
        <f t="shared" si="77"/>
        <v>0</v>
      </c>
      <c r="E128" s="176">
        <f t="shared" si="77"/>
        <v>0</v>
      </c>
      <c r="F128" s="176">
        <f t="shared" si="77"/>
        <v>0</v>
      </c>
      <c r="G128" s="176">
        <f t="shared" si="77"/>
        <v>0</v>
      </c>
      <c r="H128" s="176">
        <f t="shared" si="77"/>
        <v>0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0</v>
      </c>
      <c r="D129" s="176">
        <f t="shared" si="78"/>
        <v>0</v>
      </c>
      <c r="E129" s="176">
        <f t="shared" si="78"/>
        <v>0</v>
      </c>
      <c r="F129" s="176">
        <f t="shared" si="78"/>
        <v>0</v>
      </c>
      <c r="G129" s="176">
        <f t="shared" si="78"/>
        <v>0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0</v>
      </c>
      <c r="D130" s="176">
        <f t="shared" si="79"/>
        <v>0</v>
      </c>
      <c r="E130" s="176">
        <f t="shared" si="79"/>
        <v>0</v>
      </c>
      <c r="F130" s="176">
        <f t="shared" si="79"/>
        <v>0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0</v>
      </c>
      <c r="D131" s="176">
        <f t="shared" si="80"/>
        <v>0</v>
      </c>
      <c r="E131" s="176">
        <f t="shared" si="80"/>
        <v>0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0</v>
      </c>
      <c r="D132" s="176">
        <f t="shared" si="81"/>
        <v>0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0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35923.329999999994</v>
      </c>
      <c r="D135" s="41">
        <f t="shared" si="83"/>
        <v>137813.97000000003</v>
      </c>
      <c r="E135" s="41">
        <f t="shared" si="83"/>
        <v>109952.08999999998</v>
      </c>
      <c r="F135" s="41">
        <f t="shared" si="83"/>
        <v>52327.960000000014</v>
      </c>
      <c r="G135" s="41">
        <f t="shared" si="83"/>
        <v>69182.52999999997</v>
      </c>
      <c r="H135" s="41">
        <f t="shared" si="83"/>
        <v>53239.62</v>
      </c>
      <c r="I135" s="41">
        <f t="shared" si="83"/>
        <v>72197.69</v>
      </c>
      <c r="J135" s="41">
        <f t="shared" si="83"/>
        <v>62006.120000000024</v>
      </c>
      <c r="K135" s="41">
        <f t="shared" si="83"/>
        <v>56568.250000000022</v>
      </c>
      <c r="L135" s="41">
        <f t="shared" si="83"/>
        <v>41234.950000000004</v>
      </c>
      <c r="M135" s="41">
        <f t="shared" si="83"/>
        <v>49796.490000000005</v>
      </c>
      <c r="N135" s="41">
        <f t="shared" si="83"/>
        <v>41139.020000000004</v>
      </c>
      <c r="O135" s="41">
        <f t="shared" si="83"/>
        <v>44270.220000000016</v>
      </c>
      <c r="P135" s="41">
        <f t="shared" si="83"/>
        <v>42733.460000000028</v>
      </c>
      <c r="Q135" s="41">
        <f t="shared" si="83"/>
        <v>50754.500000000015</v>
      </c>
      <c r="R135" s="41">
        <f t="shared" si="83"/>
        <v>50857.87</v>
      </c>
      <c r="S135" s="41">
        <f t="shared" si="83"/>
        <v>50468.810000000019</v>
      </c>
      <c r="T135" s="41">
        <f t="shared" si="83"/>
        <v>73966.600000000006</v>
      </c>
      <c r="U135" s="41">
        <f t="shared" si="83"/>
        <v>67051.33</v>
      </c>
      <c r="V135" s="41">
        <f t="shared" si="83"/>
        <v>49619.499999999993</v>
      </c>
      <c r="W135" s="41">
        <f t="shared" si="83"/>
        <v>80679.75</v>
      </c>
      <c r="X135" s="41">
        <f t="shared" si="83"/>
        <v>37360.250000000007</v>
      </c>
      <c r="Y135" s="41">
        <f t="shared" si="83"/>
        <v>38825.97</v>
      </c>
      <c r="Z135" s="41">
        <f t="shared" si="83"/>
        <v>246035.78999999998</v>
      </c>
      <c r="AA135" s="41">
        <f t="shared" si="83"/>
        <v>247390.29</v>
      </c>
      <c r="AB135" s="41">
        <f t="shared" si="83"/>
        <v>340659.39000000025</v>
      </c>
      <c r="AC135" s="41">
        <f t="shared" si="83"/>
        <v>264873.73000000004</v>
      </c>
      <c r="AD135" s="41">
        <f t="shared" si="83"/>
        <v>302917.12</v>
      </c>
      <c r="AE135" s="41">
        <f t="shared" si="83"/>
        <v>291451.95</v>
      </c>
      <c r="AF135" s="41">
        <f t="shared" si="83"/>
        <v>226458.18999999994</v>
      </c>
      <c r="AG135" s="41">
        <f t="shared" si="83"/>
        <v>281445.81000000017</v>
      </c>
      <c r="AH135" s="41">
        <f t="shared" si="83"/>
        <v>282059.79000000004</v>
      </c>
      <c r="AI135" s="41">
        <f t="shared" si="83"/>
        <v>233438.95000000007</v>
      </c>
      <c r="AJ135" s="41">
        <f t="shared" si="83"/>
        <v>237774.08999999997</v>
      </c>
      <c r="AK135" s="41">
        <f t="shared" si="83"/>
        <v>129661.01000000001</v>
      </c>
      <c r="AL135" s="41">
        <f>SUM(AL98:AL133)</f>
        <v>39963.089999999982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48652.430000000015</v>
      </c>
      <c r="N142" s="51">
        <f>N98+M99+L100+K101+J102+I103+H104+G105+F106+E107+D108+C109</f>
        <v>56754.700000000004</v>
      </c>
      <c r="O142" s="51">
        <f>O98+N99+M100+L101+K102+J103+I104+H105+G106+F107+E108+D109+C110</f>
        <v>34480.090000000011</v>
      </c>
      <c r="P142" s="51">
        <f>P98+O99+N100+M101+L102+K103+J104+I105+H106+G107+F108+E109+D110+C111</f>
        <v>44972.930000000015</v>
      </c>
      <c r="Q142" s="51">
        <f>Q98+P99+O100+N101+M102+L103+K104+J105+I106+H107+G108+F109+E110+D111+C112</f>
        <v>66471.900000000009</v>
      </c>
      <c r="R142" s="51">
        <f>R98+Q99+P100+O101+N102+M103+L104+K105+J106+I107+H108+G109+F110+E111+D112+C113</f>
        <v>64486.170000000013</v>
      </c>
      <c r="S142" s="51">
        <f>S98+R99+Q100+P101+O102+N103+M104+L105+K106+J107+I108+H109+G110+F111+E112+D113+C114</f>
        <v>64176.12</v>
      </c>
      <c r="T142" s="51">
        <f>T98+S99+R100+Q101+P102+O103+N104+M105+L106+K107+J108+I109+H110+G111+F112+E113+D114+C115</f>
        <v>68066.030000000028</v>
      </c>
      <c r="U142" s="51">
        <f>U98+T99+S100+R101+Q102+P103+O104+N105+M106+L107+K108+J109+I110+H111+G112+F113+E114+D115+C116</f>
        <v>54209.01</v>
      </c>
      <c r="V142" s="51">
        <f>V98+U99+T100+S101+R102+Q103+P104+O105+N106+M107+L108+K109+J110+I111+H112+G113+F114+E115+D116+C117</f>
        <v>25118.140000000003</v>
      </c>
      <c r="W142" s="51">
        <f>W98+V99+U100+T101+S102+R103+Q104+P105+O106+N107+M108+L109+K110+J111+I112+H113+G114+F115+E116+D117+C118</f>
        <v>90259.820000000022</v>
      </c>
      <c r="X142" s="51">
        <f>X98+W99+V100+U101+T102+S103+R104+Q105+P106+O107+N108+M109+L110+K111+J112+I113+H114+G115+F116+E117+D118+C119</f>
        <v>45288.23000000001</v>
      </c>
      <c r="Y142" s="51">
        <f>Y98+X99+W100+V101+U102+T103+S104+R105+Q106+P107+O108+N109+M110+L111+K112+J113+I114+H115+G116+F117+E118+D119+C120</f>
        <v>43291.640000000014</v>
      </c>
      <c r="Z142" s="51">
        <f>Z98+Y99+X100+W101+V102+U103+T104+S105+R106+Q107+P108+O109+N110+M111+L112+K113+J114+I115+H116+G117+F118+E119+D120+C121</f>
        <v>48896.680000000008</v>
      </c>
      <c r="AA142" s="51">
        <f>AA98+Z99+Y100+X101+W102+V103+U104+T105+S106+R107+Q108+P109+O110+N111+M112+L113+K114+J115+I116+H117+G118+F119+E120+D121+C122</f>
        <v>214940.7999999999</v>
      </c>
      <c r="AB142" s="51">
        <f>AB98+AA99+Z100+Y101+X102+W103+V104+U105+T106+S107+R108+Q109+P110+O111+N112+M113+L114+K115+J116+I117+H118+G119+F120+E121+D122+C123</f>
        <v>218768.76</v>
      </c>
      <c r="AC142" s="51">
        <f>AC98+AB99+AA100+Z101+Y102+X103+W104+V105+U106+T107+S108+R109+Q110+P111+O112+N113+M114+L115+K116+J117+I118+H119+G120+F121+E122+D123+C124</f>
        <v>283943.94000000012</v>
      </c>
      <c r="AD142" s="51">
        <f>AD98+AC99+AB100+AA101+Z102+Y103+X104+W105+V106+U107+T108+S109+R110+Q111+P112+O113+N114+M115+L116+K117+J118+I119+H120+G121+F122+E123+D124+C125</f>
        <v>269690.23000000004</v>
      </c>
      <c r="AE142" s="51">
        <f>AE98+AD99+AC100+AB101+AA102+Z103+Y104+X105+W106+V107+U108+T109+S110+R111+Q112+P113+O114+N115+M116+L117+K118+J119+I120+H121+G122+F123+E124+D125+C126</f>
        <v>358027.36</v>
      </c>
      <c r="AF142" s="51">
        <f>AF98+AE99+AD100+AC101+AB102+AA103+Z104+Y105+X106+W107+V108+U109+T110+S111+R112+Q113+P114+O115+N116+M117+L118+K119+J120+I121+H122+G123+F124+E125+D126+C127</f>
        <v>175880.59</v>
      </c>
      <c r="AG142" s="51">
        <f>AG98+AF99+AE100+AD101+AC102+AB103+AA104+Z105+Y106+X107+W108+V109+U110+T111+S112+R113+Q114+P115+O116+N117+M118+L119+K120+J121+I122+H123+G124+F125+E126+D127+C128</f>
        <v>234488.36000000004</v>
      </c>
      <c r="AH142" s="51">
        <f>AH98+AG99+AF100+AE101+AD102+AC103+AB104+AA105+Z106+Y107+X108+W109+V110+U111+T112+S113+R114+Q115+P116+O117+N118+M119+L120+K121+J122+I123+H124+G125+F126+E127+D128+C129</f>
        <v>316036.46000000008</v>
      </c>
      <c r="AI142" s="51">
        <f>AI98+AH99+AG100+AF101+AE102+AD103+AC104+AB105+AA106+Z107+Y108+X109+W110+V111+U112+T113+S114+R115+Q116+P117+O118+N119+M120+L121+K122+J123+I124+H125+G126+F127+E128+D129+C130</f>
        <v>268020.35000000009</v>
      </c>
      <c r="AJ142" s="51">
        <f>AJ98+AI99+AH100+AG101+AF102+AE103+AD104+AC105+AB106+AA107+Z108+Y109+X110+W111+V112+U113+T114+S115+R116+Q117+P118+O119+N120+M121+L122+K123+J124+I125+H126+G127+F128+E129+D130+C131</f>
        <v>302948.39000000007</v>
      </c>
      <c r="AK142" s="51">
        <f>AK98+AJ99+AI100+AH101+AG102+AF103+AE104+AD105+AC106+AB107+AA108+Z109+Y110+X111+W112+V113+U114+T115+S116+R117+Q118+P119+O120+N121+M122+L123+K124+J125+I126+H127+G128+F129+E130+D131+C132</f>
        <v>322496.55999999994</v>
      </c>
      <c r="AL142" s="51">
        <f>AL98+AK99+AJ100+AI101+AH102+AG103+AF104+AE105+AD106+AC107+AB108+AA109+Z110+Y111+X112+W113+V114+U115+T116+S117+R118+Q119+P120+O121+N122+M123+L124+K125+J126+I127+H128+G129+F130+E131+D132+C133</f>
        <v>184407.05</v>
      </c>
    </row>
    <row r="143" spans="1:46" x14ac:dyDescent="0.2">
      <c r="M143" s="32">
        <f>(L99*1+K100*2+J101*3+I102*4+H103*5+G104*6+F105*7+E106*8+D107*9+C108*10)/M142</f>
        <v>1.0350058568503153</v>
      </c>
      <c r="N143" s="32">
        <f>(M99*1+L100*2+K101*3+J102*4+I103*5+H104*6+G105*7+F106*8+E107*9+D108*10+C109*11)/N142</f>
        <v>1.2704933688311277</v>
      </c>
      <c r="O143" s="32">
        <f>(N99*1+M100*2+L101*3+K102*4+J103*5+I104*6+H105*7+G106*8+F107*9+E108*10+D109*11+C110*12)/O142</f>
        <v>1.0117418487016707</v>
      </c>
      <c r="P143" s="32">
        <f>(O99*1+N100*2+M101*3+L102*4+K103*5+J104*6+I105*7+H106*8+G107*9+F108*10+E109*11+D110*12+C111*13)/P142</f>
        <v>0.80073035045748631</v>
      </c>
      <c r="Q143" s="32">
        <f>(P99*1+O100*2+N101*3+M102*4+L103*5+K104*6+J105*7+I106*8+H107*9+G108*10+F109*11+E110*12+D111*13+C112*14)/Q142</f>
        <v>1.8443476115471353</v>
      </c>
      <c r="R143" s="32">
        <f>(Q99*1+P100*2+O101*3+N102*4+M103*5+L104*6+K105*7+J106*8+I107*9+H108*10+G109*11+F110*12+E111*13+D112*14+C113*15)/R142</f>
        <v>5.4951145338605141</v>
      </c>
      <c r="S143" s="32">
        <f>(R99*1+Q100*2+P101*3+O102*4+N103*5+M104*6+L105*7+K106*8+J107*9+I108*10+H109*11+G110*12+F111*13+E112*14+D113*15+C114*16)/S142</f>
        <v>4.712820750148186</v>
      </c>
      <c r="T143" s="32">
        <f>(S99*1+R100*2+Q101*3+P102*4+O103*5+N104*6+M105*7+L106*8+K107*9+J108*10+I109*11+H110*12+G111*13+F112*14+E113*15+D114*16+C115*17)/T142</f>
        <v>0.84842306801204637</v>
      </c>
      <c r="U143" s="32">
        <f>(T99*1+S100*2+R101*3+Q102*4+P103*5+O104*6+N105*7+M106*8+L107*9+K108*10+J109*11+I110*12+H111*13+G112*14+F113*15+E114*16+D115*17+C116*18)/U142</f>
        <v>0.94674261714058228</v>
      </c>
      <c r="V143" s="32">
        <f>(U99*1+T100*2+S101*3+R102*4+Q103*5+P104*6+O105*7+N106*8+M107*9+L108*10+K109*11+J110*12+I111*13+H112*14+G113*15+F114*16+E115*17+D116*18+C117*19)/V142</f>
        <v>1.1240800473283452</v>
      </c>
      <c r="W143" s="32">
        <f>(V99*1+U100*2+T101*3+S102*4+R103*5+Q104*6+P105*7+O106*8+N107*9+M108*10+L109*11+K110*12+J111*13+I112*14+H113*15+G114*16+F115*17+E116*18+D117*19+C118*20)/W142</f>
        <v>1.4965122908510113</v>
      </c>
      <c r="X143" s="32">
        <f>(W99*1+V100*2+U101*3+T102*4+S103*5+R104*6+Q105*7+P106*8+O107*9+N108*10+M109*11+L110*12+K111*13+J112*14+I113*15+H114*16+G115*17+F116*18+E117*19+D118*20+C119*21)/X142</f>
        <v>1.0730138934553193</v>
      </c>
      <c r="Y143" s="32">
        <f>(X99*1+W100*2+V101*3+U102*4+T103*5+S104*6+R105*7+Q106*8+P107*9+O108*10+N109*11+M110*12+L111*13+K112*14+J113*15+I114*16+H115*17+G116*18+F117*19+E118*20+D119*21+C120*22)/Y142</f>
        <v>1.805379052399031</v>
      </c>
      <c r="Z143" s="32">
        <f>(Y99*1+X100*2+W101*3+V102*4+U103*5+T104*6+S105*7+R106*8+Q107*9+P108*10+O109*11+N110*12+M111*13+L112*14+K113*15+J114*16+I115*17+H116*18+G117*19+F118*20+E119*21+D120*22+C121*23)/Z142</f>
        <v>0.58717013097821769</v>
      </c>
      <c r="AA143" s="32">
        <f>(Z99*1+Y100*2+X101*3+W102*4+V103*5+U104*6+T105*7+S106*8+R107*9+Q108*10+P109*11+O110*12+N111*13+M112*14+L113*15+K114*16+J115*17+I116*18+H117*19+G118*20+F119*21+E120*22+D121*23+C122*24)/AA142</f>
        <v>0.90987304411261161</v>
      </c>
      <c r="AB143" s="32">
        <f>(AA99*1+Z100*2+Y101*3+X102*4+W103*5+V104*6+U105*7+T106*8+S107*9+R108*10+Q109*11+P110*12+O111*13+N112*14+M113*15+L114*16+K115*17+J116*18+I117*19+H118*20+G119*21+F120*22+E121*23+D122*24+C123*25)/AB142</f>
        <v>1.4823841850180073</v>
      </c>
      <c r="AC143" s="32">
        <f>(AB99*1+AA100*2+Z101*3+Y102*4+X103*5+W104*6+V105*7+U106*8+T107*9+S108*10+R109*11+Q110*12+P111*13+O112*14+N113*15+M114*16+L115*17+K116*18+J117*19+I118*20+H119*21+G120*22+F121*23+E122*24+D123*25+C124*26)/AC142</f>
        <v>1.0818535870143946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1.2356222173862206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1.120204612295552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1.496488100250289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1.6687366912370403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1.5293566761252804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1.7829285350907123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1.6947634876026236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1.5955196545352301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2.0521898701812109</v>
      </c>
    </row>
    <row r="144" spans="1:46" x14ac:dyDescent="0.2">
      <c r="C144" s="3" t="str">
        <f>+$C$1</f>
        <v>AAMG - Commercial</v>
      </c>
      <c r="M144" s="3" t="s">
        <v>468</v>
      </c>
      <c r="O144" s="3" t="str">
        <f>+$C$1</f>
        <v>AAMG - Commercial</v>
      </c>
      <c r="Y144" s="130" t="s">
        <v>469</v>
      </c>
      <c r="AA144" s="3" t="str">
        <f>+$C$1</f>
        <v>AAMG - Commercial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15475.389999999998</v>
      </c>
      <c r="D149" s="176">
        <f>SUM(D98:D$98)</f>
        <v>32036.010000000006</v>
      </c>
      <c r="E149" s="176">
        <f>SUM(E98:E$98)</f>
        <v>13250.840000000004</v>
      </c>
      <c r="F149" s="176">
        <f>SUM(F98:F$98)</f>
        <v>16187.230000000003</v>
      </c>
      <c r="G149" s="176">
        <f>SUM(G98:G$98)</f>
        <v>14349.380000000005</v>
      </c>
      <c r="H149" s="176">
        <f>SUM(H98:H$98)</f>
        <v>21217.539999999997</v>
      </c>
      <c r="I149" s="176">
        <f>SUM(I98:I$98)</f>
        <v>7550.34</v>
      </c>
      <c r="J149" s="176">
        <f>SUM(J98:J$98)</f>
        <v>12392.530000000004</v>
      </c>
      <c r="K149" s="176">
        <f>SUM(K98:K$98)</f>
        <v>18493.71000000001</v>
      </c>
      <c r="L149" s="176">
        <f>SUM(L98:L$98)</f>
        <v>13295.170000000009</v>
      </c>
      <c r="M149" s="176">
        <f>SUM(M98:M$98)</f>
        <v>19324.640000000003</v>
      </c>
      <c r="N149" s="176">
        <f>SUM(N98:N$98)</f>
        <v>19279.169999999998</v>
      </c>
      <c r="O149" s="176">
        <f>SUM(O98:O$98)</f>
        <v>13841.910000000005</v>
      </c>
      <c r="P149" s="176">
        <f>SUM(P98:P$98)</f>
        <v>14502.600000000008</v>
      </c>
      <c r="Q149" s="176">
        <f>SUM(Q98:Q$98)</f>
        <v>27378.510000000006</v>
      </c>
      <c r="R149" s="176">
        <f>SUM(R98:R$98)</f>
        <v>17465.510000000006</v>
      </c>
      <c r="S149" s="176">
        <f>SUM(S98:S$98)</f>
        <v>13258.350000000008</v>
      </c>
      <c r="T149" s="176">
        <f>SUM(T98:T$98)</f>
        <v>28392.590000000007</v>
      </c>
      <c r="U149" s="176">
        <f>SUM(U98:U$98)</f>
        <v>14748.770000000013</v>
      </c>
      <c r="V149" s="176">
        <f>SUM(V98:V$98)</f>
        <v>4677.2999999999993</v>
      </c>
      <c r="W149" s="176">
        <f>SUM(W98:W$98)</f>
        <v>13276.140000000001</v>
      </c>
      <c r="X149" s="176">
        <f>SUM(X98:X$98)</f>
        <v>9864.0800000000017</v>
      </c>
      <c r="Y149" s="176">
        <f>SUM(Y98:Y$98)</f>
        <v>7168.6799999999985</v>
      </c>
      <c r="Z149" s="176">
        <f>SUM(Z98:Z$98)</f>
        <v>28758.639999999999</v>
      </c>
      <c r="AA149" s="176">
        <f>SUM(AA98:AA$98)</f>
        <v>50536.759999999973</v>
      </c>
      <c r="AB149" s="176">
        <f>SUM(AB98:AB$98)</f>
        <v>38568.01</v>
      </c>
      <c r="AC149" s="176">
        <f>SUM(AC98:AC$98)</f>
        <v>40550.729999999967</v>
      </c>
      <c r="AD149" s="176">
        <f>SUM(AD98:AD$98)</f>
        <v>43824.74</v>
      </c>
      <c r="AE149" s="176">
        <f>SUM(AE98:AE$98)</f>
        <v>97647.470000000016</v>
      </c>
      <c r="AF149" s="176">
        <f>SUM(AF98:AF$98)</f>
        <v>43579.709999999977</v>
      </c>
      <c r="AG149" s="176">
        <f>SUM(AG98:AG$98)</f>
        <v>25706.909999999993</v>
      </c>
      <c r="AH149" s="176">
        <f>SUM(AH98:AH$98)</f>
        <v>39279.299999999974</v>
      </c>
      <c r="AI149" s="176">
        <f>SUM(AI98:AI$98)</f>
        <v>31889.309999999998</v>
      </c>
      <c r="AJ149" s="176">
        <f>SUM(AJ98:AJ$98)</f>
        <v>44497.239999999983</v>
      </c>
      <c r="AK149" s="176">
        <f>SUM(AK98:AK$98)</f>
        <v>56183.399999999965</v>
      </c>
      <c r="AL149" s="176">
        <f>SUM(AL98:AL$98)</f>
        <v>39963.089999999982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29056.219999999994</v>
      </c>
      <c r="D150" s="176">
        <f>SUM(D$98:D99)</f>
        <v>111186.73000000004</v>
      </c>
      <c r="E150" s="176">
        <f>SUM(E$98:E99)</f>
        <v>60498.049999999959</v>
      </c>
      <c r="F150" s="176">
        <f>SUM(F$98:F99)</f>
        <v>40800.30000000001</v>
      </c>
      <c r="G150" s="176">
        <f>SUM(G$98:G99)</f>
        <v>63969.219999999958</v>
      </c>
      <c r="H150" s="176">
        <f>SUM(H$98:H99)</f>
        <v>39860.94</v>
      </c>
      <c r="I150" s="176">
        <f>SUM(I$98:I99)</f>
        <v>57629.229999999981</v>
      </c>
      <c r="J150" s="176">
        <f>SUM(J$98:J99)</f>
        <v>50498.500000000029</v>
      </c>
      <c r="K150" s="176">
        <f>SUM(K$98:K99)</f>
        <v>47289.750000000015</v>
      </c>
      <c r="L150" s="176">
        <f>SUM(L$98:L99)</f>
        <v>35273.100000000006</v>
      </c>
      <c r="M150" s="176">
        <f>SUM(M$98:M99)</f>
        <v>45671.070000000007</v>
      </c>
      <c r="N150" s="176">
        <f>SUM(N$98:N99)</f>
        <v>36210.800000000003</v>
      </c>
      <c r="O150" s="176">
        <f>SUM(O$98:O99)</f>
        <v>41195.180000000015</v>
      </c>
      <c r="P150" s="176">
        <f>SUM(P$98:P99)</f>
        <v>37872.430000000029</v>
      </c>
      <c r="Q150" s="176">
        <f>SUM(Q$98:Q99)</f>
        <v>45415.87000000001</v>
      </c>
      <c r="R150" s="176">
        <f>SUM(R$98:R99)</f>
        <v>45732.460000000006</v>
      </c>
      <c r="S150" s="176">
        <f>SUM(S$98:S99)</f>
        <v>44899.510000000024</v>
      </c>
      <c r="T150" s="176">
        <f>SUM(T$98:T99)</f>
        <v>62831.14</v>
      </c>
      <c r="U150" s="176">
        <f>SUM(U$98:U99)</f>
        <v>30950.660000000014</v>
      </c>
      <c r="V150" s="176">
        <f>SUM(V$98:V99)</f>
        <v>39772.92</v>
      </c>
      <c r="W150" s="176">
        <f>SUM(W$98:W99)</f>
        <v>41755.920000000006</v>
      </c>
      <c r="X150" s="176">
        <f>SUM(X$98:X99)</f>
        <v>30897.390000000014</v>
      </c>
      <c r="Y150" s="176">
        <f>SUM(Y$98:Y99)</f>
        <v>23683.58</v>
      </c>
      <c r="Z150" s="176">
        <f>SUM(Z$98:Z99)</f>
        <v>178914.38999999996</v>
      </c>
      <c r="AA150" s="176">
        <f>SUM(AA$98:AA99)</f>
        <v>173194.21</v>
      </c>
      <c r="AB150" s="176">
        <f>SUM(AB$98:AB99)</f>
        <v>233866.11000000025</v>
      </c>
      <c r="AC150" s="176">
        <f>SUM(AC$98:AC99)</f>
        <v>188504.68000000005</v>
      </c>
      <c r="AD150" s="176">
        <f>SUM(AD$98:AD99)</f>
        <v>230631.33000000005</v>
      </c>
      <c r="AE150" s="176">
        <f>SUM(AE$98:AE99)</f>
        <v>176459.25</v>
      </c>
      <c r="AF150" s="176">
        <f>SUM(AF$98:AF99)</f>
        <v>151680.78999999998</v>
      </c>
      <c r="AG150" s="176">
        <f>SUM(AG$98:AG99)</f>
        <v>208550.42000000022</v>
      </c>
      <c r="AH150" s="176">
        <f>SUM(AH$98:AH99)</f>
        <v>185231.65000000008</v>
      </c>
      <c r="AI150" s="176">
        <f>SUM(AI$98:AI99)</f>
        <v>174817.98000000007</v>
      </c>
      <c r="AJ150" s="176">
        <f>SUM(AJ$98:AJ99)</f>
        <v>213667.33999999997</v>
      </c>
      <c r="AK150" s="176">
        <f>SUM(AK$98:AK99)</f>
        <v>129661.01000000001</v>
      </c>
      <c r="AL150" s="176">
        <f>SUM(AL$98:AL99)</f>
        <v>39963.089999999982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31726.459999999995</v>
      </c>
      <c r="D151" s="176">
        <f>SUM(D$98:D100)</f>
        <v>129809.78000000004</v>
      </c>
      <c r="E151" s="176">
        <f>SUM(E$98:E100)</f>
        <v>62472.469999999958</v>
      </c>
      <c r="F151" s="176">
        <f>SUM(F$98:F100)</f>
        <v>48079.900000000009</v>
      </c>
      <c r="G151" s="176">
        <f>SUM(G$98:G100)</f>
        <v>65882.179999999964</v>
      </c>
      <c r="H151" s="176">
        <f>SUM(H$98:H100)</f>
        <v>46284.29</v>
      </c>
      <c r="I151" s="176">
        <f>SUM(I$98:I100)</f>
        <v>61620.419999999984</v>
      </c>
      <c r="J151" s="176">
        <f>SUM(J$98:J100)</f>
        <v>54500.420000000027</v>
      </c>
      <c r="K151" s="176">
        <f>SUM(K$98:K100)</f>
        <v>48927.690000000017</v>
      </c>
      <c r="L151" s="176">
        <f>SUM(L$98:L100)</f>
        <v>39018.080000000009</v>
      </c>
      <c r="M151" s="176">
        <f>SUM(M$98:M100)</f>
        <v>46823.810000000005</v>
      </c>
      <c r="N151" s="176">
        <f>SUM(N$98:N100)</f>
        <v>38023.810000000005</v>
      </c>
      <c r="O151" s="176">
        <f>SUM(O$98:O100)</f>
        <v>42702.560000000012</v>
      </c>
      <c r="P151" s="176">
        <f>SUM(P$98:P100)</f>
        <v>39362.670000000027</v>
      </c>
      <c r="Q151" s="176">
        <f>SUM(Q$98:Q100)</f>
        <v>47480.55000000001</v>
      </c>
      <c r="R151" s="176">
        <f>SUM(R$98:R100)</f>
        <v>49051.48</v>
      </c>
      <c r="S151" s="176">
        <f>SUM(S$98:S100)</f>
        <v>48284.300000000025</v>
      </c>
      <c r="T151" s="176">
        <f>SUM(T$98:T100)</f>
        <v>65331.31</v>
      </c>
      <c r="U151" s="176">
        <f>SUM(U$98:U100)</f>
        <v>63328.660000000011</v>
      </c>
      <c r="V151" s="176">
        <f>SUM(V$98:V100)</f>
        <v>43965.119999999995</v>
      </c>
      <c r="W151" s="176">
        <f>SUM(W$98:W100)</f>
        <v>52618.350000000006</v>
      </c>
      <c r="X151" s="176">
        <f>SUM(X$98:X100)</f>
        <v>32097.440000000013</v>
      </c>
      <c r="Y151" s="176">
        <f>SUM(Y$98:Y100)</f>
        <v>31677.68</v>
      </c>
      <c r="Z151" s="176">
        <f>SUM(Z$98:Z100)</f>
        <v>206862.95999999996</v>
      </c>
      <c r="AA151" s="176">
        <f>SUM(AA$98:AA100)</f>
        <v>210169.96</v>
      </c>
      <c r="AB151" s="176">
        <f>SUM(AB$98:AB100)</f>
        <v>294134.51000000024</v>
      </c>
      <c r="AC151" s="176">
        <f>SUM(AC$98:AC100)</f>
        <v>224394.36000000004</v>
      </c>
      <c r="AD151" s="176">
        <f>SUM(AD$98:AD100)</f>
        <v>251695.97000000006</v>
      </c>
      <c r="AE151" s="176">
        <f>SUM(AE$98:AE100)</f>
        <v>242478.35</v>
      </c>
      <c r="AF151" s="176">
        <f>SUM(AF$98:AF100)</f>
        <v>195676.57999999996</v>
      </c>
      <c r="AG151" s="176">
        <f>SUM(AG$98:AG100)</f>
        <v>251909.4700000002</v>
      </c>
      <c r="AH151" s="176">
        <f>SUM(AH$98:AH100)</f>
        <v>253592.42000000004</v>
      </c>
      <c r="AI151" s="176">
        <f>SUM(AI$98:AI100)</f>
        <v>214002.35000000006</v>
      </c>
      <c r="AJ151" s="176">
        <f>SUM(AJ$98:AJ100)</f>
        <v>237774.08999999997</v>
      </c>
      <c r="AK151" s="176">
        <f>SUM(AK$98:AK100)</f>
        <v>129661.01000000001</v>
      </c>
      <c r="AL151" s="176">
        <f>SUM(AL$98:AL100)</f>
        <v>39963.089999999982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33843.539999999994</v>
      </c>
      <c r="D152" s="176">
        <f>SUM(D$98:D101)</f>
        <v>132401.95000000004</v>
      </c>
      <c r="E152" s="176">
        <f>SUM(E$98:E101)</f>
        <v>64853.65999999996</v>
      </c>
      <c r="F152" s="176">
        <f>SUM(F$98:F101)</f>
        <v>49775.470000000008</v>
      </c>
      <c r="G152" s="176">
        <f>SUM(G$98:G101)</f>
        <v>67451.499999999971</v>
      </c>
      <c r="H152" s="176">
        <f>SUM(H$98:H101)</f>
        <v>48849.7</v>
      </c>
      <c r="I152" s="176">
        <f>SUM(I$98:I101)</f>
        <v>63925.629999999983</v>
      </c>
      <c r="J152" s="176">
        <f>SUM(J$98:J101)</f>
        <v>57330.240000000027</v>
      </c>
      <c r="K152" s="176">
        <f>SUM(K$98:K101)</f>
        <v>51398.410000000018</v>
      </c>
      <c r="L152" s="176">
        <f>SUM(L$98:L101)</f>
        <v>39499.060000000012</v>
      </c>
      <c r="M152" s="176">
        <f>SUM(M$98:M101)</f>
        <v>47338.600000000006</v>
      </c>
      <c r="N152" s="176">
        <f>SUM(N$98:N101)</f>
        <v>39220.850000000006</v>
      </c>
      <c r="O152" s="176">
        <f>SUM(O$98:O101)</f>
        <v>43388.490000000013</v>
      </c>
      <c r="P152" s="176">
        <f>SUM(P$98:P101)</f>
        <v>39972.370000000024</v>
      </c>
      <c r="Q152" s="176">
        <f>SUM(Q$98:Q101)</f>
        <v>49935.320000000007</v>
      </c>
      <c r="R152" s="176">
        <f>SUM(R$98:R101)</f>
        <v>49872.68</v>
      </c>
      <c r="S152" s="176">
        <f>SUM(S$98:S101)</f>
        <v>49193.540000000023</v>
      </c>
      <c r="T152" s="176">
        <f>SUM(T$98:T101)</f>
        <v>72803.94</v>
      </c>
      <c r="U152" s="176">
        <f>SUM(U$98:U101)</f>
        <v>64903.010000000009</v>
      </c>
      <c r="V152" s="176">
        <f>SUM(V$98:V101)</f>
        <v>45236.52</v>
      </c>
      <c r="W152" s="176">
        <f>SUM(W$98:W101)</f>
        <v>53439.770000000004</v>
      </c>
      <c r="X152" s="176">
        <f>SUM(X$98:X101)</f>
        <v>34673.060000000012</v>
      </c>
      <c r="Y152" s="176">
        <f>SUM(Y$98:Y101)</f>
        <v>34330.18</v>
      </c>
      <c r="Z152" s="176">
        <f>SUM(Z$98:Z101)</f>
        <v>215514.30999999997</v>
      </c>
      <c r="AA152" s="176">
        <f>SUM(AA$98:AA101)</f>
        <v>221497.84999999998</v>
      </c>
      <c r="AB152" s="176">
        <f>SUM(AB$98:AB101)</f>
        <v>315100.50000000023</v>
      </c>
      <c r="AC152" s="176">
        <f>SUM(AC$98:AC101)</f>
        <v>235901.91000000003</v>
      </c>
      <c r="AD152" s="176">
        <f>SUM(AD$98:AD101)</f>
        <v>267357.61000000004</v>
      </c>
      <c r="AE152" s="176">
        <f>SUM(AE$98:AE101)</f>
        <v>262196.40000000002</v>
      </c>
      <c r="AF152" s="176">
        <f>SUM(AF$98:AF101)</f>
        <v>206635.62999999995</v>
      </c>
      <c r="AG152" s="176">
        <f>SUM(AG$98:AG101)</f>
        <v>268086.79000000021</v>
      </c>
      <c r="AH152" s="176">
        <f>SUM(AH$98:AH101)</f>
        <v>280085.05000000005</v>
      </c>
      <c r="AI152" s="176">
        <f>SUM(AI$98:AI101)</f>
        <v>233438.95000000007</v>
      </c>
      <c r="AJ152" s="176">
        <f>SUM(AJ$98:AJ101)</f>
        <v>237774.08999999997</v>
      </c>
      <c r="AK152" s="176">
        <f>SUM(AK$98:AK101)</f>
        <v>129661.01000000001</v>
      </c>
      <c r="AL152" s="176">
        <f>SUM(AL$98:AL101)</f>
        <v>39963.089999999982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34323.789999999994</v>
      </c>
      <c r="D153" s="176">
        <f>SUM(D$98:D102)</f>
        <v>134618.79000000004</v>
      </c>
      <c r="E153" s="176">
        <f>SUM(E$98:E102)</f>
        <v>65304.799999999959</v>
      </c>
      <c r="F153" s="176">
        <f>SUM(F$98:F102)</f>
        <v>50428.010000000009</v>
      </c>
      <c r="G153" s="176">
        <f>SUM(G$98:G102)</f>
        <v>68265.319999999978</v>
      </c>
      <c r="H153" s="176">
        <f>SUM(H$98:H102)</f>
        <v>49229.39</v>
      </c>
      <c r="I153" s="176">
        <f>SUM(I$98:I102)</f>
        <v>65452.969999999987</v>
      </c>
      <c r="J153" s="176">
        <f>SUM(J$98:J102)</f>
        <v>58351.850000000028</v>
      </c>
      <c r="K153" s="176">
        <f>SUM(K$98:K102)</f>
        <v>51711.180000000015</v>
      </c>
      <c r="L153" s="176">
        <f>SUM(L$98:L102)</f>
        <v>39772.12000000001</v>
      </c>
      <c r="M153" s="176">
        <f>SUM(M$98:M102)</f>
        <v>47509.62</v>
      </c>
      <c r="N153" s="176">
        <f>SUM(N$98:N102)</f>
        <v>40631.460000000006</v>
      </c>
      <c r="O153" s="176">
        <f>SUM(O$98:O102)</f>
        <v>43638.020000000011</v>
      </c>
      <c r="P153" s="176">
        <f>SUM(P$98:P102)</f>
        <v>41383.840000000026</v>
      </c>
      <c r="Q153" s="176">
        <f>SUM(Q$98:Q102)</f>
        <v>49940.740000000005</v>
      </c>
      <c r="R153" s="176">
        <f>SUM(R$98:R102)</f>
        <v>50514.73</v>
      </c>
      <c r="S153" s="176">
        <f>SUM(S$98:S102)</f>
        <v>49917.92000000002</v>
      </c>
      <c r="T153" s="176">
        <f>SUM(T$98:T102)</f>
        <v>73431.27</v>
      </c>
      <c r="U153" s="176">
        <f>SUM(U$98:U102)</f>
        <v>65201.020000000011</v>
      </c>
      <c r="V153" s="176">
        <f>SUM(V$98:V102)</f>
        <v>46579.219999999994</v>
      </c>
      <c r="W153" s="176">
        <f>SUM(W$98:W102)</f>
        <v>54154.890000000007</v>
      </c>
      <c r="X153" s="176">
        <f>SUM(X$98:X102)</f>
        <v>34743.860000000015</v>
      </c>
      <c r="Y153" s="176">
        <f>SUM(Y$98:Y102)</f>
        <v>35364.089999999997</v>
      </c>
      <c r="Z153" s="176">
        <f>SUM(Z$98:Z102)</f>
        <v>219473.84999999998</v>
      </c>
      <c r="AA153" s="176">
        <f>SUM(AA$98:AA102)</f>
        <v>227550.86</v>
      </c>
      <c r="AB153" s="176">
        <f>SUM(AB$98:AB102)</f>
        <v>323997.94000000024</v>
      </c>
      <c r="AC153" s="176">
        <f>SUM(AC$98:AC102)</f>
        <v>243292.89000000004</v>
      </c>
      <c r="AD153" s="176">
        <f>SUM(AD$98:AD102)</f>
        <v>284714.60000000003</v>
      </c>
      <c r="AE153" s="176">
        <f>SUM(AE$98:AE102)</f>
        <v>274530.75</v>
      </c>
      <c r="AF153" s="176">
        <f>SUM(AF$98:AF102)</f>
        <v>213733.71999999994</v>
      </c>
      <c r="AG153" s="176">
        <f>SUM(AG$98:AG102)</f>
        <v>275282.83000000019</v>
      </c>
      <c r="AH153" s="176">
        <f>SUM(AH$98:AH102)</f>
        <v>282059.79000000004</v>
      </c>
      <c r="AI153" s="176">
        <f>SUM(AI$98:AI102)</f>
        <v>233438.95000000007</v>
      </c>
      <c r="AJ153" s="176">
        <f>SUM(AJ$98:AJ102)</f>
        <v>237774.08999999997</v>
      </c>
      <c r="AK153" s="176">
        <f>SUM(AK$98:AK102)</f>
        <v>129661.01000000001</v>
      </c>
      <c r="AL153" s="176">
        <f>SUM(AL$98:AL102)</f>
        <v>39963.089999999982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35156.349999999991</v>
      </c>
      <c r="D154" s="176">
        <f>SUM(D$98:D103)</f>
        <v>135016.88000000003</v>
      </c>
      <c r="E154" s="176">
        <f>SUM(E$98:E103)</f>
        <v>65428.399999999958</v>
      </c>
      <c r="F154" s="176">
        <f>SUM(F$98:F103)</f>
        <v>51177.12000000001</v>
      </c>
      <c r="G154" s="176">
        <f>SUM(G$98:G103)</f>
        <v>68375.959999999977</v>
      </c>
      <c r="H154" s="176">
        <f>SUM(H$98:H103)</f>
        <v>49475.69</v>
      </c>
      <c r="I154" s="176">
        <f>SUM(I$98:I103)</f>
        <v>65580.119999999981</v>
      </c>
      <c r="J154" s="176">
        <f>SUM(J$98:J103)</f>
        <v>58844.770000000026</v>
      </c>
      <c r="K154" s="176">
        <f>SUM(K$98:K103)</f>
        <v>51946.330000000016</v>
      </c>
      <c r="L154" s="176">
        <f>SUM(L$98:L103)</f>
        <v>40844.500000000007</v>
      </c>
      <c r="M154" s="176">
        <f>SUM(M$98:M103)</f>
        <v>47631.310000000005</v>
      </c>
      <c r="N154" s="176">
        <f>SUM(N$98:N103)</f>
        <v>40911.920000000006</v>
      </c>
      <c r="O154" s="176">
        <f>SUM(O$98:O103)</f>
        <v>43985.37000000001</v>
      </c>
      <c r="P154" s="176">
        <f>SUM(P$98:P103)</f>
        <v>41452.190000000024</v>
      </c>
      <c r="Q154" s="176">
        <f>SUM(Q$98:Q103)</f>
        <v>49950.030000000006</v>
      </c>
      <c r="R154" s="176">
        <f>SUM(R$98:R103)</f>
        <v>50681.9</v>
      </c>
      <c r="S154" s="176">
        <f>SUM(S$98:S103)</f>
        <v>50108.17000000002</v>
      </c>
      <c r="T154" s="176">
        <f>SUM(T$98:T103)</f>
        <v>73502.06</v>
      </c>
      <c r="U154" s="176">
        <f>SUM(U$98:U103)</f>
        <v>65291.270000000011</v>
      </c>
      <c r="V154" s="176">
        <f>SUM(V$98:V103)</f>
        <v>48183.179999999993</v>
      </c>
      <c r="W154" s="176">
        <f>SUM(W$98:W103)</f>
        <v>80096.34</v>
      </c>
      <c r="X154" s="176">
        <f>SUM(X$98:X103)</f>
        <v>35855.310000000012</v>
      </c>
      <c r="Y154" s="176">
        <f>SUM(Y$98:Y103)</f>
        <v>37035.539999999994</v>
      </c>
      <c r="Z154" s="176">
        <f>SUM(Z$98:Z103)</f>
        <v>229062.50999999998</v>
      </c>
      <c r="AA154" s="176">
        <f>SUM(AA$98:AA103)</f>
        <v>232585.31</v>
      </c>
      <c r="AB154" s="176">
        <f>SUM(AB$98:AB103)</f>
        <v>327990.16000000021</v>
      </c>
      <c r="AC154" s="176">
        <f>SUM(AC$98:AC103)</f>
        <v>248416.83000000005</v>
      </c>
      <c r="AD154" s="176">
        <f>SUM(AD$98:AD103)</f>
        <v>291090.28000000003</v>
      </c>
      <c r="AE154" s="176">
        <f>SUM(AE$98:AE103)</f>
        <v>281828.96000000002</v>
      </c>
      <c r="AF154" s="176">
        <f>SUM(AF$98:AF103)</f>
        <v>222595.65999999995</v>
      </c>
      <c r="AG154" s="176">
        <f>SUM(AG$98:AG103)</f>
        <v>281445.81000000017</v>
      </c>
      <c r="AH154" s="176">
        <f>SUM(AH$98:AH103)</f>
        <v>282059.79000000004</v>
      </c>
      <c r="AI154" s="176">
        <f>SUM(AI$98:AI103)</f>
        <v>233438.95000000007</v>
      </c>
      <c r="AJ154" s="176">
        <f>SUM(AJ$98:AJ103)</f>
        <v>237774.08999999997</v>
      </c>
      <c r="AK154" s="176">
        <f>SUM(AK$98:AK103)</f>
        <v>129661.01000000001</v>
      </c>
      <c r="AL154" s="176">
        <f>SUM(AL$98:AL103)</f>
        <v>39963.089999999982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35259.30999999999</v>
      </c>
      <c r="D155" s="176">
        <f>SUM(D$98:D104)</f>
        <v>135341.68000000002</v>
      </c>
      <c r="E155" s="176">
        <f>SUM(E$98:E104)</f>
        <v>65710.469999999958</v>
      </c>
      <c r="F155" s="176">
        <f>SUM(F$98:F104)</f>
        <v>51770.240000000013</v>
      </c>
      <c r="G155" s="176">
        <f>SUM(G$98:G104)</f>
        <v>68557.019999999975</v>
      </c>
      <c r="H155" s="176">
        <f>SUM(H$98:H104)</f>
        <v>52103.590000000004</v>
      </c>
      <c r="I155" s="176">
        <f>SUM(I$98:I104)</f>
        <v>65728.579999999987</v>
      </c>
      <c r="J155" s="176">
        <f>SUM(J$98:J104)</f>
        <v>59071.190000000024</v>
      </c>
      <c r="K155" s="176">
        <f>SUM(K$98:K104)</f>
        <v>55346.480000000018</v>
      </c>
      <c r="L155" s="176">
        <f>SUM(L$98:L104)</f>
        <v>40875.860000000008</v>
      </c>
      <c r="M155" s="176">
        <f>SUM(M$98:M104)</f>
        <v>47670.51</v>
      </c>
      <c r="N155" s="176">
        <f>SUM(N$98:N104)</f>
        <v>41020.000000000007</v>
      </c>
      <c r="O155" s="176">
        <f>SUM(O$98:O104)</f>
        <v>44127.840000000011</v>
      </c>
      <c r="P155" s="176">
        <f>SUM(P$98:P104)</f>
        <v>41452.190000000024</v>
      </c>
      <c r="Q155" s="176">
        <f>SUM(Q$98:Q104)</f>
        <v>50178.110000000008</v>
      </c>
      <c r="R155" s="176">
        <f>SUM(R$98:R104)</f>
        <v>50704.66</v>
      </c>
      <c r="S155" s="176">
        <f>SUM(S$98:S104)</f>
        <v>50263.17000000002</v>
      </c>
      <c r="T155" s="176">
        <f>SUM(T$98:T104)</f>
        <v>73519.5</v>
      </c>
      <c r="U155" s="176">
        <f>SUM(U$98:U104)</f>
        <v>66289.490000000005</v>
      </c>
      <c r="V155" s="176">
        <f>SUM(V$98:V104)</f>
        <v>48359.609999999993</v>
      </c>
      <c r="W155" s="176">
        <f>SUM(W$98:W104)</f>
        <v>80237.759999999995</v>
      </c>
      <c r="X155" s="176">
        <f>SUM(X$98:X104)</f>
        <v>35882.860000000015</v>
      </c>
      <c r="Y155" s="176">
        <f>SUM(Y$98:Y104)</f>
        <v>37721.829999999994</v>
      </c>
      <c r="Z155" s="176">
        <f>SUM(Z$98:Z104)</f>
        <v>234556.63999999998</v>
      </c>
      <c r="AA155" s="176">
        <f>SUM(AA$98:AA104)</f>
        <v>234557.24</v>
      </c>
      <c r="AB155" s="176">
        <f>SUM(AB$98:AB104)</f>
        <v>331370.20000000019</v>
      </c>
      <c r="AC155" s="176">
        <f>SUM(AC$98:AC104)</f>
        <v>250989.21000000005</v>
      </c>
      <c r="AD155" s="176">
        <f>SUM(AD$98:AD104)</f>
        <v>299451.99000000005</v>
      </c>
      <c r="AE155" s="176">
        <f>SUM(AE$98:AE104)</f>
        <v>289028.59000000003</v>
      </c>
      <c r="AF155" s="176">
        <f>SUM(AF$98:AF104)</f>
        <v>226458.18999999994</v>
      </c>
      <c r="AG155" s="176">
        <f>SUM(AG$98:AG104)</f>
        <v>281445.81000000017</v>
      </c>
      <c r="AH155" s="176">
        <f>SUM(AH$98:AH104)</f>
        <v>282059.79000000004</v>
      </c>
      <c r="AI155" s="176">
        <f>SUM(AI$98:AI104)</f>
        <v>233438.95000000007</v>
      </c>
      <c r="AJ155" s="176">
        <f>SUM(AJ$98:AJ104)</f>
        <v>237774.08999999997</v>
      </c>
      <c r="AK155" s="176">
        <f>SUM(AK$98:AK104)</f>
        <v>129661.01000000001</v>
      </c>
      <c r="AL155" s="176">
        <f>SUM(AL$98:AL104)</f>
        <v>39963.089999999982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35259.30999999999</v>
      </c>
      <c r="D156" s="176">
        <f>SUM(D$98:D105)</f>
        <v>136310.86000000002</v>
      </c>
      <c r="E156" s="176">
        <f>SUM(E$98:E105)</f>
        <v>66584.919999999955</v>
      </c>
      <c r="F156" s="176">
        <f>SUM(F$98:F105)</f>
        <v>51770.240000000013</v>
      </c>
      <c r="G156" s="176">
        <f>SUM(G$98:G105)</f>
        <v>68600.219999999972</v>
      </c>
      <c r="H156" s="176">
        <f>SUM(H$98:H105)</f>
        <v>52729.000000000007</v>
      </c>
      <c r="I156" s="176">
        <f>SUM(I$98:I105)</f>
        <v>65852.039999999994</v>
      </c>
      <c r="J156" s="176">
        <f>SUM(J$98:J105)</f>
        <v>61600.940000000024</v>
      </c>
      <c r="K156" s="176">
        <f>SUM(K$98:K105)</f>
        <v>55469.940000000017</v>
      </c>
      <c r="L156" s="176">
        <f>SUM(L$98:L105)</f>
        <v>40875.860000000008</v>
      </c>
      <c r="M156" s="176">
        <f>SUM(M$98:M105)</f>
        <v>47675.950000000004</v>
      </c>
      <c r="N156" s="176">
        <f>SUM(N$98:N105)</f>
        <v>41020.000000000007</v>
      </c>
      <c r="O156" s="176">
        <f>SUM(O$98:O105)</f>
        <v>44127.840000000011</v>
      </c>
      <c r="P156" s="176">
        <f>SUM(P$98:P105)</f>
        <v>42106.050000000025</v>
      </c>
      <c r="Q156" s="176">
        <f>SUM(Q$98:Q105)</f>
        <v>50353.090000000011</v>
      </c>
      <c r="R156" s="176">
        <f>SUM(R$98:R105)</f>
        <v>50704.66</v>
      </c>
      <c r="S156" s="176">
        <f>SUM(S$98:S105)</f>
        <v>50263.17000000002</v>
      </c>
      <c r="T156" s="176">
        <f>SUM(T$98:T105)</f>
        <v>73519.5</v>
      </c>
      <c r="U156" s="176">
        <f>SUM(U$98:U105)</f>
        <v>66402.48000000001</v>
      </c>
      <c r="V156" s="176">
        <f>SUM(V$98:V105)</f>
        <v>48436.239999999991</v>
      </c>
      <c r="W156" s="176">
        <f>SUM(W$98:W105)</f>
        <v>80377.47</v>
      </c>
      <c r="X156" s="176">
        <f>SUM(X$98:X105)</f>
        <v>36069.920000000013</v>
      </c>
      <c r="Y156" s="176">
        <f>SUM(Y$98:Y105)</f>
        <v>37733.56</v>
      </c>
      <c r="Z156" s="176">
        <f>SUM(Z$98:Z105)</f>
        <v>238838.53</v>
      </c>
      <c r="AA156" s="176">
        <f>SUM(AA$98:AA105)</f>
        <v>236572.15</v>
      </c>
      <c r="AB156" s="176">
        <f>SUM(AB$98:AB105)</f>
        <v>336261.27000000019</v>
      </c>
      <c r="AC156" s="176">
        <f>SUM(AC$98:AC105)</f>
        <v>253061.62000000005</v>
      </c>
      <c r="AD156" s="176">
        <f>SUM(AD$98:AD105)</f>
        <v>300777.46000000002</v>
      </c>
      <c r="AE156" s="176">
        <f>SUM(AE$98:AE105)</f>
        <v>291451.95</v>
      </c>
      <c r="AF156" s="176">
        <f>SUM(AF$98:AF105)</f>
        <v>226458.18999999994</v>
      </c>
      <c r="AG156" s="176">
        <f>SUM(AG$98:AG105)</f>
        <v>281445.81000000017</v>
      </c>
      <c r="AH156" s="176">
        <f>SUM(AH$98:AH105)</f>
        <v>282059.79000000004</v>
      </c>
      <c r="AI156" s="176">
        <f>SUM(AI$98:AI105)</f>
        <v>233438.95000000007</v>
      </c>
      <c r="AJ156" s="176">
        <f>SUM(AJ$98:AJ105)</f>
        <v>237774.08999999997</v>
      </c>
      <c r="AK156" s="176">
        <f>SUM(AK$98:AK105)</f>
        <v>129661.01000000001</v>
      </c>
      <c r="AL156" s="176">
        <f>SUM(AL$98:AL105)</f>
        <v>39963.089999999982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35675.969999999994</v>
      </c>
      <c r="D157" s="176">
        <f>SUM(D$98:D106)</f>
        <v>136679.29</v>
      </c>
      <c r="E157" s="176">
        <f>SUM(E$98:E106)</f>
        <v>66993.819999999949</v>
      </c>
      <c r="F157" s="176">
        <f>SUM(F$98:F106)</f>
        <v>52118.80000000001</v>
      </c>
      <c r="G157" s="176">
        <f>SUM(G$98:G106)</f>
        <v>68600.219999999972</v>
      </c>
      <c r="H157" s="176">
        <f>SUM(H$98:H106)</f>
        <v>52729.000000000007</v>
      </c>
      <c r="I157" s="176">
        <f>SUM(I$98:I106)</f>
        <v>71155.149999999994</v>
      </c>
      <c r="J157" s="176">
        <f>SUM(J$98:J106)</f>
        <v>61708.630000000026</v>
      </c>
      <c r="K157" s="176">
        <f>SUM(K$98:K106)</f>
        <v>55913.590000000018</v>
      </c>
      <c r="L157" s="176">
        <f>SUM(L$98:L106)</f>
        <v>40908.44000000001</v>
      </c>
      <c r="M157" s="176">
        <f>SUM(M$98:M106)</f>
        <v>47675.950000000004</v>
      </c>
      <c r="N157" s="176">
        <f>SUM(N$98:N106)</f>
        <v>41020.000000000007</v>
      </c>
      <c r="O157" s="176">
        <f>SUM(O$98:O106)</f>
        <v>44172.44000000001</v>
      </c>
      <c r="P157" s="176">
        <f>SUM(P$98:P106)</f>
        <v>42157.840000000026</v>
      </c>
      <c r="Q157" s="176">
        <f>SUM(Q$98:Q106)</f>
        <v>50353.090000000011</v>
      </c>
      <c r="R157" s="176">
        <f>SUM(R$98:R106)</f>
        <v>50704.66</v>
      </c>
      <c r="S157" s="176">
        <f>SUM(S$98:S106)</f>
        <v>50263.17000000002</v>
      </c>
      <c r="T157" s="176">
        <f>SUM(T$98:T106)</f>
        <v>73723.520000000004</v>
      </c>
      <c r="U157" s="176">
        <f>SUM(U$98:U106)</f>
        <v>66439.580000000016</v>
      </c>
      <c r="V157" s="176">
        <f>SUM(V$98:V106)</f>
        <v>48436.239999999991</v>
      </c>
      <c r="W157" s="176">
        <f>SUM(W$98:W106)</f>
        <v>80445.820000000007</v>
      </c>
      <c r="X157" s="176">
        <f>SUM(X$98:X106)</f>
        <v>36567.920000000013</v>
      </c>
      <c r="Y157" s="176">
        <f>SUM(Y$98:Y106)</f>
        <v>38273.29</v>
      </c>
      <c r="Z157" s="176">
        <f>SUM(Z$98:Z106)</f>
        <v>240502.65</v>
      </c>
      <c r="AA157" s="176">
        <f>SUM(AA$98:AA106)</f>
        <v>243406.31</v>
      </c>
      <c r="AB157" s="176">
        <f>SUM(AB$98:AB106)</f>
        <v>337594.7100000002</v>
      </c>
      <c r="AC157" s="176">
        <f>SUM(AC$98:AC106)</f>
        <v>255973.80000000005</v>
      </c>
      <c r="AD157" s="176">
        <f>SUM(AD$98:AD106)</f>
        <v>302917.12</v>
      </c>
      <c r="AE157" s="176">
        <f>SUM(AE$98:AE106)</f>
        <v>291451.95</v>
      </c>
      <c r="AF157" s="176">
        <f>SUM(AF$98:AF106)</f>
        <v>226458.18999999994</v>
      </c>
      <c r="AG157" s="176">
        <f>SUM(AG$98:AG106)</f>
        <v>281445.81000000017</v>
      </c>
      <c r="AH157" s="176">
        <f>SUM(AH$98:AH106)</f>
        <v>282059.79000000004</v>
      </c>
      <c r="AI157" s="176">
        <f>SUM(AI$98:AI106)</f>
        <v>233438.95000000007</v>
      </c>
      <c r="AJ157" s="176">
        <f>SUM(AJ$98:AJ106)</f>
        <v>237774.08999999997</v>
      </c>
      <c r="AK157" s="176">
        <f>SUM(AK$98:AK106)</f>
        <v>129661.01000000001</v>
      </c>
      <c r="AL157" s="176">
        <f>SUM(AL$98:AL106)</f>
        <v>39963.089999999982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35675.969999999994</v>
      </c>
      <c r="D158" s="176">
        <f>SUM(D$98:D107)</f>
        <v>136950.43000000002</v>
      </c>
      <c r="E158" s="176">
        <f>SUM(E$98:E107)</f>
        <v>67166.169999999955</v>
      </c>
      <c r="F158" s="176">
        <f>SUM(F$98:F107)</f>
        <v>52118.80000000001</v>
      </c>
      <c r="G158" s="176">
        <f>SUM(G$98:G107)</f>
        <v>68659.299999999974</v>
      </c>
      <c r="H158" s="176">
        <f>SUM(H$98:H107)</f>
        <v>52829.000000000007</v>
      </c>
      <c r="I158" s="176">
        <f>SUM(I$98:I107)</f>
        <v>71459.11</v>
      </c>
      <c r="J158" s="176">
        <f>SUM(J$98:J107)</f>
        <v>61708.630000000026</v>
      </c>
      <c r="K158" s="176">
        <f>SUM(K$98:K107)</f>
        <v>55981.700000000019</v>
      </c>
      <c r="L158" s="176">
        <f>SUM(L$98:L107)</f>
        <v>40951.640000000007</v>
      </c>
      <c r="M158" s="176">
        <f>SUM(M$98:M107)</f>
        <v>47810.950000000004</v>
      </c>
      <c r="N158" s="176">
        <f>SUM(N$98:N107)</f>
        <v>41020.000000000007</v>
      </c>
      <c r="O158" s="176">
        <f>SUM(O$98:O107)</f>
        <v>44172.44000000001</v>
      </c>
      <c r="P158" s="176">
        <f>SUM(P$98:P107)</f>
        <v>42284.340000000026</v>
      </c>
      <c r="Q158" s="176">
        <f>SUM(Q$98:Q107)</f>
        <v>50461.170000000013</v>
      </c>
      <c r="R158" s="176">
        <f>SUM(R$98:R107)</f>
        <v>50704.66</v>
      </c>
      <c r="S158" s="176">
        <f>SUM(S$98:S107)</f>
        <v>50468.810000000019</v>
      </c>
      <c r="T158" s="176">
        <f>SUM(T$98:T107)</f>
        <v>73791.02</v>
      </c>
      <c r="U158" s="176">
        <f>SUM(U$98:U107)</f>
        <v>66795.410000000018</v>
      </c>
      <c r="V158" s="176">
        <f>SUM(V$98:V107)</f>
        <v>48436.239999999991</v>
      </c>
      <c r="W158" s="176">
        <f>SUM(W$98:W107)</f>
        <v>80445.820000000007</v>
      </c>
      <c r="X158" s="176">
        <f>SUM(X$98:X107)</f>
        <v>36881.700000000012</v>
      </c>
      <c r="Y158" s="176">
        <f>SUM(Y$98:Y107)</f>
        <v>38392.04</v>
      </c>
      <c r="Z158" s="176">
        <f>SUM(Z$98:Z107)</f>
        <v>242703.53</v>
      </c>
      <c r="AA158" s="176">
        <f>SUM(AA$98:AA107)</f>
        <v>246892.51</v>
      </c>
      <c r="AB158" s="176">
        <f>SUM(AB$98:AB107)</f>
        <v>339918.74000000022</v>
      </c>
      <c r="AC158" s="176">
        <f>SUM(AC$98:AC107)</f>
        <v>264873.73000000004</v>
      </c>
      <c r="AD158" s="176">
        <f>SUM(AD$98:AD107)</f>
        <v>302917.12</v>
      </c>
      <c r="AE158" s="176">
        <f>SUM(AE$98:AE107)</f>
        <v>291451.95</v>
      </c>
      <c r="AF158" s="176">
        <f>SUM(AF$98:AF107)</f>
        <v>226458.18999999994</v>
      </c>
      <c r="AG158" s="176">
        <f>SUM(AG$98:AG107)</f>
        <v>281445.81000000017</v>
      </c>
      <c r="AH158" s="176">
        <f>SUM(AH$98:AH107)</f>
        <v>282059.79000000004</v>
      </c>
      <c r="AI158" s="176">
        <f>SUM(AI$98:AI107)</f>
        <v>233438.95000000007</v>
      </c>
      <c r="AJ158" s="176">
        <f>SUM(AJ$98:AJ107)</f>
        <v>237774.08999999997</v>
      </c>
      <c r="AK158" s="176">
        <f>SUM(AK$98:AK107)</f>
        <v>129661.01000000001</v>
      </c>
      <c r="AL158" s="176">
        <f>SUM(AL$98:AL107)</f>
        <v>39963.089999999982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35923.329999999994</v>
      </c>
      <c r="D159" s="176">
        <f>SUM(D$98:D108)</f>
        <v>137523.06000000003</v>
      </c>
      <c r="E159" s="176">
        <f>SUM(E$98:E108)</f>
        <v>67371.549999999959</v>
      </c>
      <c r="F159" s="176">
        <f>SUM(F$98:F108)</f>
        <v>52118.80000000001</v>
      </c>
      <c r="G159" s="176">
        <f>SUM(G$98:G108)</f>
        <v>68798.359999999971</v>
      </c>
      <c r="H159" s="176">
        <f>SUM(H$98:H108)</f>
        <v>52863.060000000005</v>
      </c>
      <c r="I159" s="176">
        <f>SUM(I$98:I108)</f>
        <v>72097.69</v>
      </c>
      <c r="J159" s="176">
        <f>SUM(J$98:J108)</f>
        <v>61907.660000000025</v>
      </c>
      <c r="K159" s="176">
        <f>SUM(K$98:K108)</f>
        <v>56457.860000000022</v>
      </c>
      <c r="L159" s="176">
        <f>SUM(L$98:L108)</f>
        <v>40951.640000000007</v>
      </c>
      <c r="M159" s="176">
        <f>SUM(M$98:M108)</f>
        <v>47841.73</v>
      </c>
      <c r="N159" s="176">
        <f>SUM(N$98:N108)</f>
        <v>41020.000000000007</v>
      </c>
      <c r="O159" s="176">
        <f>SUM(O$98:O108)</f>
        <v>44172.44000000001</v>
      </c>
      <c r="P159" s="176">
        <f>SUM(P$98:P108)</f>
        <v>42327.540000000023</v>
      </c>
      <c r="Q159" s="176">
        <f>SUM(Q$98:Q108)</f>
        <v>50655.560000000012</v>
      </c>
      <c r="R159" s="176">
        <f>SUM(R$98:R108)</f>
        <v>50857.87</v>
      </c>
      <c r="S159" s="176">
        <f>SUM(S$98:S108)</f>
        <v>50468.810000000019</v>
      </c>
      <c r="T159" s="176">
        <f>SUM(T$98:T108)</f>
        <v>73791.02</v>
      </c>
      <c r="U159" s="176">
        <f>SUM(U$98:U108)</f>
        <v>66821.590000000011</v>
      </c>
      <c r="V159" s="176">
        <f>SUM(V$98:V108)</f>
        <v>49349.899999999994</v>
      </c>
      <c r="W159" s="176">
        <f>SUM(W$98:W108)</f>
        <v>80565.38</v>
      </c>
      <c r="X159" s="176">
        <f>SUM(X$98:X108)</f>
        <v>36881.700000000012</v>
      </c>
      <c r="Y159" s="176">
        <f>SUM(Y$98:Y108)</f>
        <v>38825.97</v>
      </c>
      <c r="Z159" s="176">
        <f>SUM(Z$98:Z108)</f>
        <v>243889.59</v>
      </c>
      <c r="AA159" s="176">
        <f>SUM(AA$98:AA108)</f>
        <v>247291.95</v>
      </c>
      <c r="AB159" s="176">
        <f>SUM(AB$98:AB108)</f>
        <v>340659.39000000025</v>
      </c>
      <c r="AC159" s="176">
        <f>SUM(AC$98:AC108)</f>
        <v>264873.73000000004</v>
      </c>
      <c r="AD159" s="176">
        <f>SUM(AD$98:AD108)</f>
        <v>302917.12</v>
      </c>
      <c r="AE159" s="176">
        <f>SUM(AE$98:AE108)</f>
        <v>291451.95</v>
      </c>
      <c r="AF159" s="176">
        <f>SUM(AF$98:AF108)</f>
        <v>226458.18999999994</v>
      </c>
      <c r="AG159" s="176">
        <f>SUM(AG$98:AG108)</f>
        <v>281445.81000000017</v>
      </c>
      <c r="AH159" s="176">
        <f>SUM(AH$98:AH108)</f>
        <v>282059.79000000004</v>
      </c>
      <c r="AI159" s="176">
        <f>SUM(AI$98:AI108)</f>
        <v>233438.95000000007</v>
      </c>
      <c r="AJ159" s="176">
        <f>SUM(AJ$98:AJ108)</f>
        <v>237774.08999999997</v>
      </c>
      <c r="AK159" s="176">
        <f>SUM(AK$98:AK108)</f>
        <v>129661.01000000001</v>
      </c>
      <c r="AL159" s="176">
        <f>SUM(AL$98:AL108)</f>
        <v>39963.089999999982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35923.329999999994</v>
      </c>
      <c r="D160" s="176">
        <f>SUM(D$98:D109)</f>
        <v>137810.95000000004</v>
      </c>
      <c r="E160" s="176">
        <f>SUM(E$98:E109)</f>
        <v>67371.549999999959</v>
      </c>
      <c r="F160" s="176">
        <f>SUM(F$98:F109)</f>
        <v>52118.80000000001</v>
      </c>
      <c r="G160" s="176">
        <f>SUM(G$98:G109)</f>
        <v>69105.02999999997</v>
      </c>
      <c r="H160" s="176">
        <f>SUM(H$98:H109)</f>
        <v>53109.98</v>
      </c>
      <c r="I160" s="176">
        <f>SUM(I$98:I109)</f>
        <v>72097.69</v>
      </c>
      <c r="J160" s="176">
        <f>SUM(J$98:J109)</f>
        <v>61907.660000000025</v>
      </c>
      <c r="K160" s="176">
        <f>SUM(K$98:K109)</f>
        <v>56501.060000000019</v>
      </c>
      <c r="L160" s="176">
        <f>SUM(L$98:L109)</f>
        <v>41027.210000000006</v>
      </c>
      <c r="M160" s="176">
        <f>SUM(M$98:M109)</f>
        <v>47841.73</v>
      </c>
      <c r="N160" s="176">
        <f>SUM(N$98:N109)</f>
        <v>41139.020000000004</v>
      </c>
      <c r="O160" s="176">
        <f>SUM(O$98:O109)</f>
        <v>44172.44000000001</v>
      </c>
      <c r="P160" s="176">
        <f>SUM(P$98:P109)</f>
        <v>42327.540000000023</v>
      </c>
      <c r="Q160" s="176">
        <f>SUM(Q$98:Q109)</f>
        <v>50655.560000000012</v>
      </c>
      <c r="R160" s="176">
        <f>SUM(R$98:R109)</f>
        <v>50857.87</v>
      </c>
      <c r="S160" s="176">
        <f>SUM(S$98:S109)</f>
        <v>50468.810000000019</v>
      </c>
      <c r="T160" s="176">
        <f>SUM(T$98:T109)</f>
        <v>73899.100000000006</v>
      </c>
      <c r="U160" s="176">
        <f>SUM(U$98:U109)</f>
        <v>66821.590000000011</v>
      </c>
      <c r="V160" s="176">
        <f>SUM(V$98:V109)</f>
        <v>49516.539999999994</v>
      </c>
      <c r="W160" s="176">
        <f>SUM(W$98:W109)</f>
        <v>80679.75</v>
      </c>
      <c r="X160" s="176">
        <f>SUM(X$98:X109)</f>
        <v>36996.880000000012</v>
      </c>
      <c r="Y160" s="176">
        <f>SUM(Y$98:Y109)</f>
        <v>38825.97</v>
      </c>
      <c r="Z160" s="176">
        <f>SUM(Z$98:Z109)</f>
        <v>245130.08</v>
      </c>
      <c r="AA160" s="176">
        <f>SUM(AA$98:AA109)</f>
        <v>247390.29</v>
      </c>
      <c r="AB160" s="176">
        <f>SUM(AB$98:AB109)</f>
        <v>340659.39000000025</v>
      </c>
      <c r="AC160" s="176">
        <f>SUM(AC$98:AC109)</f>
        <v>264873.73000000004</v>
      </c>
      <c r="AD160" s="176">
        <f>SUM(AD$98:AD109)</f>
        <v>302917.12</v>
      </c>
      <c r="AE160" s="176">
        <f>SUM(AE$98:AE109)</f>
        <v>291451.95</v>
      </c>
      <c r="AF160" s="176">
        <f>SUM(AF$98:AF109)</f>
        <v>226458.18999999994</v>
      </c>
      <c r="AG160" s="176">
        <f>SUM(AG$98:AG109)</f>
        <v>281445.81000000017</v>
      </c>
      <c r="AH160" s="176">
        <f>SUM(AH$98:AH109)</f>
        <v>282059.79000000004</v>
      </c>
      <c r="AI160" s="176">
        <f>SUM(AI$98:AI109)</f>
        <v>233438.95000000007</v>
      </c>
      <c r="AJ160" s="176">
        <f>SUM(AJ$98:AJ109)</f>
        <v>237774.08999999997</v>
      </c>
      <c r="AK160" s="176">
        <f>SUM(AK$98:AK109)</f>
        <v>129661.01000000001</v>
      </c>
      <c r="AL160" s="176">
        <f>SUM(AL$98:AL109)</f>
        <v>39963.089999999982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35923.329999999994</v>
      </c>
      <c r="D161" s="176">
        <f>SUM(D$98:D110)</f>
        <v>137683.04000000004</v>
      </c>
      <c r="E161" s="176">
        <f>SUM(E$98:E110)</f>
        <v>67568.289999999964</v>
      </c>
      <c r="F161" s="176">
        <f>SUM(F$98:F110)</f>
        <v>52229.130000000012</v>
      </c>
      <c r="G161" s="176">
        <f>SUM(G$98:G110)</f>
        <v>69182.52999999997</v>
      </c>
      <c r="H161" s="176">
        <f>SUM(H$98:H110)</f>
        <v>53128.91</v>
      </c>
      <c r="I161" s="176">
        <f>SUM(I$98:I110)</f>
        <v>72097.69</v>
      </c>
      <c r="J161" s="176">
        <f>SUM(J$98:J110)</f>
        <v>61907.660000000025</v>
      </c>
      <c r="K161" s="176">
        <f>SUM(K$98:K110)</f>
        <v>56568.250000000022</v>
      </c>
      <c r="L161" s="176">
        <f>SUM(L$98:L110)</f>
        <v>41027.210000000006</v>
      </c>
      <c r="M161" s="176">
        <f>SUM(M$98:M110)</f>
        <v>49796.490000000005</v>
      </c>
      <c r="N161" s="176">
        <f>SUM(N$98:N110)</f>
        <v>41139.020000000004</v>
      </c>
      <c r="O161" s="176">
        <f>SUM(O$98:O110)</f>
        <v>44207.990000000013</v>
      </c>
      <c r="P161" s="176">
        <f>SUM(P$98:P110)</f>
        <v>42405.230000000025</v>
      </c>
      <c r="Q161" s="176">
        <f>SUM(Q$98:Q110)</f>
        <v>50655.560000000012</v>
      </c>
      <c r="R161" s="176">
        <f>SUM(R$98:R110)</f>
        <v>50857.87</v>
      </c>
      <c r="S161" s="176">
        <f>SUM(S$98:S110)</f>
        <v>50468.810000000019</v>
      </c>
      <c r="T161" s="176">
        <f>SUM(T$98:T110)</f>
        <v>73966.600000000006</v>
      </c>
      <c r="U161" s="176">
        <f>SUM(U$98:U110)</f>
        <v>67044.490000000005</v>
      </c>
      <c r="V161" s="176">
        <f>SUM(V$98:V110)</f>
        <v>49516.539999999994</v>
      </c>
      <c r="W161" s="176">
        <f>SUM(W$98:W110)</f>
        <v>80679.75</v>
      </c>
      <c r="X161" s="176">
        <f>SUM(X$98:X110)</f>
        <v>37145.150000000009</v>
      </c>
      <c r="Y161" s="176">
        <f>SUM(Y$98:Y110)</f>
        <v>38825.97</v>
      </c>
      <c r="Z161" s="176">
        <f>SUM(Z$98:Z110)</f>
        <v>246035.78999999998</v>
      </c>
      <c r="AA161" s="176">
        <f>SUM(AA$98:AA110)</f>
        <v>247390.29</v>
      </c>
      <c r="AB161" s="176">
        <f>SUM(AB$98:AB110)</f>
        <v>340659.39000000025</v>
      </c>
      <c r="AC161" s="176">
        <f>SUM(AC$98:AC110)</f>
        <v>264873.73000000004</v>
      </c>
      <c r="AD161" s="176">
        <f>SUM(AD$98:AD110)</f>
        <v>302917.12</v>
      </c>
      <c r="AE161" s="176">
        <f>SUM(AE$98:AE110)</f>
        <v>291451.95</v>
      </c>
      <c r="AF161" s="176">
        <f>SUM(AF$98:AF110)</f>
        <v>226458.18999999994</v>
      </c>
      <c r="AG161" s="176">
        <f>SUM(AG$98:AG110)</f>
        <v>281445.81000000017</v>
      </c>
      <c r="AH161" s="176">
        <f>SUM(AH$98:AH110)</f>
        <v>282059.79000000004</v>
      </c>
      <c r="AI161" s="176">
        <f>SUM(AI$98:AI110)</f>
        <v>233438.95000000007</v>
      </c>
      <c r="AJ161" s="176">
        <f>SUM(AJ$98:AJ110)</f>
        <v>237774.08999999997</v>
      </c>
      <c r="AK161" s="176">
        <f>SUM(AK$98:AK110)</f>
        <v>129661.01000000001</v>
      </c>
      <c r="AL161" s="176">
        <f>SUM(AL$98:AL110)</f>
        <v>39963.089999999982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35923.329999999994</v>
      </c>
      <c r="D162" s="176">
        <f>SUM(D$98:D111)</f>
        <v>137789.97000000003</v>
      </c>
      <c r="E162" s="176">
        <f>SUM(E$98:E111)</f>
        <v>91825.589999999967</v>
      </c>
      <c r="F162" s="176">
        <f>SUM(F$98:F111)</f>
        <v>52229.130000000012</v>
      </c>
      <c r="G162" s="176">
        <f>SUM(G$98:G111)</f>
        <v>69182.52999999997</v>
      </c>
      <c r="H162" s="176">
        <f>SUM(H$98:H111)</f>
        <v>53128.91</v>
      </c>
      <c r="I162" s="176">
        <f>SUM(I$98:I111)</f>
        <v>72097.69</v>
      </c>
      <c r="J162" s="176">
        <f>SUM(J$98:J111)</f>
        <v>61907.660000000025</v>
      </c>
      <c r="K162" s="176">
        <f>SUM(K$98:K111)</f>
        <v>56568.250000000022</v>
      </c>
      <c r="L162" s="176">
        <f>SUM(L$98:L111)</f>
        <v>41234.950000000004</v>
      </c>
      <c r="M162" s="176">
        <f>SUM(M$98:M111)</f>
        <v>49796.490000000005</v>
      </c>
      <c r="N162" s="176">
        <f>SUM(N$98:N111)</f>
        <v>41139.020000000004</v>
      </c>
      <c r="O162" s="176">
        <f>SUM(O$98:O111)</f>
        <v>44207.990000000013</v>
      </c>
      <c r="P162" s="176">
        <f>SUM(P$98:P111)</f>
        <v>42405.230000000025</v>
      </c>
      <c r="Q162" s="176">
        <f>SUM(Q$98:Q111)</f>
        <v>50754.500000000015</v>
      </c>
      <c r="R162" s="176">
        <f>SUM(R$98:R111)</f>
        <v>50857.87</v>
      </c>
      <c r="S162" s="176">
        <f>SUM(S$98:S111)</f>
        <v>50468.810000000019</v>
      </c>
      <c r="T162" s="176">
        <f>SUM(T$98:T111)</f>
        <v>73966.600000000006</v>
      </c>
      <c r="U162" s="176">
        <f>SUM(U$98:U111)</f>
        <v>67044.490000000005</v>
      </c>
      <c r="V162" s="176">
        <f>SUM(V$98:V111)</f>
        <v>49619.499999999993</v>
      </c>
      <c r="W162" s="176">
        <f>SUM(W$98:W111)</f>
        <v>80679.75</v>
      </c>
      <c r="X162" s="176">
        <f>SUM(X$98:X111)</f>
        <v>37145.150000000009</v>
      </c>
      <c r="Y162" s="176">
        <f>SUM(Y$98:Y111)</f>
        <v>38825.97</v>
      </c>
      <c r="Z162" s="176">
        <f>SUM(Z$98:Z111)</f>
        <v>246035.78999999998</v>
      </c>
      <c r="AA162" s="176">
        <f>SUM(AA$98:AA111)</f>
        <v>247390.29</v>
      </c>
      <c r="AB162" s="176">
        <f>SUM(AB$98:AB111)</f>
        <v>340659.39000000025</v>
      </c>
      <c r="AC162" s="176">
        <f>SUM(AC$98:AC111)</f>
        <v>264873.73000000004</v>
      </c>
      <c r="AD162" s="176">
        <f>SUM(AD$98:AD111)</f>
        <v>302917.12</v>
      </c>
      <c r="AE162" s="176">
        <f>SUM(AE$98:AE111)</f>
        <v>291451.95</v>
      </c>
      <c r="AF162" s="176">
        <f>SUM(AF$98:AF111)</f>
        <v>226458.18999999994</v>
      </c>
      <c r="AG162" s="176">
        <f>SUM(AG$98:AG111)</f>
        <v>281445.81000000017</v>
      </c>
      <c r="AH162" s="176">
        <f>SUM(AH$98:AH111)</f>
        <v>282059.79000000004</v>
      </c>
      <c r="AI162" s="176">
        <f>SUM(AI$98:AI111)</f>
        <v>233438.95000000007</v>
      </c>
      <c r="AJ162" s="176">
        <f>SUM(AJ$98:AJ111)</f>
        <v>237774.08999999997</v>
      </c>
      <c r="AK162" s="176">
        <f>SUM(AK$98:AK111)</f>
        <v>129661.01000000001</v>
      </c>
      <c r="AL162" s="176">
        <f>SUM(AL$98:AL111)</f>
        <v>39963.089999999982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35923.329999999994</v>
      </c>
      <c r="D163" s="176">
        <f>SUM(D$98:D112)</f>
        <v>137789.97000000003</v>
      </c>
      <c r="E163" s="176">
        <f>SUM(E$98:E112)</f>
        <v>109826.18999999997</v>
      </c>
      <c r="F163" s="176">
        <f>SUM(F$98:F112)</f>
        <v>52296.630000000012</v>
      </c>
      <c r="G163" s="176">
        <f>SUM(G$98:G112)</f>
        <v>69182.52999999997</v>
      </c>
      <c r="H163" s="176">
        <f>SUM(H$98:H112)</f>
        <v>53128.91</v>
      </c>
      <c r="I163" s="176">
        <f>SUM(I$98:I112)</f>
        <v>72097.69</v>
      </c>
      <c r="J163" s="176">
        <f>SUM(J$98:J112)</f>
        <v>61907.660000000025</v>
      </c>
      <c r="K163" s="176">
        <f>SUM(K$98:K112)</f>
        <v>56568.250000000022</v>
      </c>
      <c r="L163" s="176">
        <f>SUM(L$98:L112)</f>
        <v>41234.950000000004</v>
      </c>
      <c r="M163" s="176">
        <f>SUM(M$98:M112)</f>
        <v>49796.490000000005</v>
      </c>
      <c r="N163" s="176">
        <f>SUM(N$98:N112)</f>
        <v>41139.020000000004</v>
      </c>
      <c r="O163" s="176">
        <f>SUM(O$98:O112)</f>
        <v>44207.990000000013</v>
      </c>
      <c r="P163" s="176">
        <f>SUM(P$98:P112)</f>
        <v>42405.230000000025</v>
      </c>
      <c r="Q163" s="176">
        <f>SUM(Q$98:Q112)</f>
        <v>50754.500000000015</v>
      </c>
      <c r="R163" s="176">
        <f>SUM(R$98:R112)</f>
        <v>50857.87</v>
      </c>
      <c r="S163" s="176">
        <f>SUM(S$98:S112)</f>
        <v>50468.810000000019</v>
      </c>
      <c r="T163" s="176">
        <f>SUM(T$98:T112)</f>
        <v>73966.600000000006</v>
      </c>
      <c r="U163" s="176">
        <f>SUM(U$98:U112)</f>
        <v>67044.490000000005</v>
      </c>
      <c r="V163" s="176">
        <f>SUM(V$98:V112)</f>
        <v>49619.499999999993</v>
      </c>
      <c r="W163" s="176">
        <f>SUM(W$98:W112)</f>
        <v>80679.75</v>
      </c>
      <c r="X163" s="176">
        <f>SUM(X$98:X112)</f>
        <v>37360.250000000007</v>
      </c>
      <c r="Y163" s="176">
        <f>SUM(Y$98:Y112)</f>
        <v>38825.97</v>
      </c>
      <c r="Z163" s="176">
        <f>SUM(Z$98:Z112)</f>
        <v>246035.78999999998</v>
      </c>
      <c r="AA163" s="176">
        <f>SUM(AA$98:AA112)</f>
        <v>247390.29</v>
      </c>
      <c r="AB163" s="176">
        <f>SUM(AB$98:AB112)</f>
        <v>340659.39000000025</v>
      </c>
      <c r="AC163" s="176">
        <f>SUM(AC$98:AC112)</f>
        <v>264873.73000000004</v>
      </c>
      <c r="AD163" s="176">
        <f>SUM(AD$98:AD112)</f>
        <v>302917.12</v>
      </c>
      <c r="AE163" s="176">
        <f>SUM(AE$98:AE112)</f>
        <v>291451.95</v>
      </c>
      <c r="AF163" s="176">
        <f>SUM(AF$98:AF112)</f>
        <v>226458.18999999994</v>
      </c>
      <c r="AG163" s="176">
        <f>SUM(AG$98:AG112)</f>
        <v>281445.81000000017</v>
      </c>
      <c r="AH163" s="176">
        <f>SUM(AH$98:AH112)</f>
        <v>282059.79000000004</v>
      </c>
      <c r="AI163" s="176">
        <f>SUM(AI$98:AI112)</f>
        <v>233438.95000000007</v>
      </c>
      <c r="AJ163" s="176">
        <f>SUM(AJ$98:AJ112)</f>
        <v>237774.08999999997</v>
      </c>
      <c r="AK163" s="176">
        <f>SUM(AK$98:AK112)</f>
        <v>129661.01000000001</v>
      </c>
      <c r="AL163" s="176">
        <f>SUM(AL$98:AL112)</f>
        <v>39963.089999999982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35923.329999999994</v>
      </c>
      <c r="D164" s="176">
        <f>SUM(D$98:D113)</f>
        <v>137789.97000000003</v>
      </c>
      <c r="E164" s="176">
        <f>SUM(E$98:E113)</f>
        <v>109826.18999999997</v>
      </c>
      <c r="F164" s="176">
        <f>SUM(F$98:F113)</f>
        <v>52296.630000000012</v>
      </c>
      <c r="G164" s="176">
        <f>SUM(G$98:G113)</f>
        <v>69182.52999999997</v>
      </c>
      <c r="H164" s="176">
        <f>SUM(H$98:H113)</f>
        <v>53128.91</v>
      </c>
      <c r="I164" s="176">
        <f>SUM(I$98:I113)</f>
        <v>72097.69</v>
      </c>
      <c r="J164" s="176">
        <f>SUM(J$98:J113)</f>
        <v>61907.660000000025</v>
      </c>
      <c r="K164" s="176">
        <f>SUM(K$98:K113)</f>
        <v>56568.250000000022</v>
      </c>
      <c r="L164" s="176">
        <f>SUM(L$98:L113)</f>
        <v>41234.950000000004</v>
      </c>
      <c r="M164" s="176">
        <f>SUM(M$98:M113)</f>
        <v>49796.490000000005</v>
      </c>
      <c r="N164" s="176">
        <f>SUM(N$98:N113)</f>
        <v>41139.020000000004</v>
      </c>
      <c r="O164" s="176">
        <f>SUM(O$98:O113)</f>
        <v>44270.220000000016</v>
      </c>
      <c r="P164" s="176">
        <f>SUM(P$98:P113)</f>
        <v>42405.230000000025</v>
      </c>
      <c r="Q164" s="176">
        <f>SUM(Q$98:Q113)</f>
        <v>50754.500000000015</v>
      </c>
      <c r="R164" s="176">
        <f>SUM(R$98:R113)</f>
        <v>50857.87</v>
      </c>
      <c r="S164" s="176">
        <f>SUM(S$98:S113)</f>
        <v>50468.810000000019</v>
      </c>
      <c r="T164" s="176">
        <f>SUM(T$98:T113)</f>
        <v>73966.600000000006</v>
      </c>
      <c r="U164" s="176">
        <f>SUM(U$98:U113)</f>
        <v>67044.490000000005</v>
      </c>
      <c r="V164" s="176">
        <f>SUM(V$98:V113)</f>
        <v>49619.499999999993</v>
      </c>
      <c r="W164" s="176">
        <f>SUM(W$98:W113)</f>
        <v>80679.75</v>
      </c>
      <c r="X164" s="176">
        <f>SUM(X$98:X113)</f>
        <v>37360.250000000007</v>
      </c>
      <c r="Y164" s="176">
        <f>SUM(Y$98:Y113)</f>
        <v>38825.97</v>
      </c>
      <c r="Z164" s="176">
        <f>SUM(Z$98:Z113)</f>
        <v>246035.78999999998</v>
      </c>
      <c r="AA164" s="176">
        <f>SUM(AA$98:AA113)</f>
        <v>247390.29</v>
      </c>
      <c r="AB164" s="176">
        <f>SUM(AB$98:AB113)</f>
        <v>340659.39000000025</v>
      </c>
      <c r="AC164" s="176">
        <f>SUM(AC$98:AC113)</f>
        <v>264873.73000000004</v>
      </c>
      <c r="AD164" s="176">
        <f>SUM(AD$98:AD113)</f>
        <v>302917.12</v>
      </c>
      <c r="AE164" s="176">
        <f>SUM(AE$98:AE113)</f>
        <v>291451.95</v>
      </c>
      <c r="AF164" s="176">
        <f>SUM(AF$98:AF113)</f>
        <v>226458.18999999994</v>
      </c>
      <c r="AG164" s="176">
        <f>SUM(AG$98:AG113)</f>
        <v>281445.81000000017</v>
      </c>
      <c r="AH164" s="176">
        <f>SUM(AH$98:AH113)</f>
        <v>282059.79000000004</v>
      </c>
      <c r="AI164" s="176">
        <f>SUM(AI$98:AI113)</f>
        <v>233438.95000000007</v>
      </c>
      <c r="AJ164" s="176">
        <f>SUM(AJ$98:AJ113)</f>
        <v>237774.08999999997</v>
      </c>
      <c r="AK164" s="176">
        <f>SUM(AK$98:AK113)</f>
        <v>129661.01000000001</v>
      </c>
      <c r="AL164" s="176">
        <f>SUM(AL$98:AL113)</f>
        <v>39963.089999999982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35923.329999999994</v>
      </c>
      <c r="D165" s="176">
        <f>SUM(D$98:D114)</f>
        <v>137789.97000000003</v>
      </c>
      <c r="E165" s="176">
        <f>SUM(E$98:E114)</f>
        <v>109906.28999999998</v>
      </c>
      <c r="F165" s="176">
        <f>SUM(F$98:F114)</f>
        <v>52296.630000000012</v>
      </c>
      <c r="G165" s="176">
        <f>SUM(G$98:G114)</f>
        <v>69182.52999999997</v>
      </c>
      <c r="H165" s="176">
        <f>SUM(H$98:H114)</f>
        <v>53239.62</v>
      </c>
      <c r="I165" s="176">
        <f>SUM(I$98:I114)</f>
        <v>72097.69</v>
      </c>
      <c r="J165" s="176">
        <f>SUM(J$98:J114)</f>
        <v>61907.660000000025</v>
      </c>
      <c r="K165" s="176">
        <f>SUM(K$98:K114)</f>
        <v>56568.250000000022</v>
      </c>
      <c r="L165" s="176">
        <f>SUM(L$98:L114)</f>
        <v>41234.950000000004</v>
      </c>
      <c r="M165" s="176">
        <f>SUM(M$98:M114)</f>
        <v>49796.490000000005</v>
      </c>
      <c r="N165" s="176">
        <f>SUM(N$98:N114)</f>
        <v>41139.020000000004</v>
      </c>
      <c r="O165" s="176">
        <f>SUM(O$98:O114)</f>
        <v>44270.220000000016</v>
      </c>
      <c r="P165" s="176">
        <f>SUM(P$98:P114)</f>
        <v>42405.230000000025</v>
      </c>
      <c r="Q165" s="176">
        <f>SUM(Q$98:Q114)</f>
        <v>50754.500000000015</v>
      </c>
      <c r="R165" s="176">
        <f>SUM(R$98:R114)</f>
        <v>50857.87</v>
      </c>
      <c r="S165" s="176">
        <f>SUM(S$98:S114)</f>
        <v>50468.810000000019</v>
      </c>
      <c r="T165" s="176">
        <f>SUM(T$98:T114)</f>
        <v>73966.600000000006</v>
      </c>
      <c r="U165" s="176">
        <f>SUM(U$98:U114)</f>
        <v>67051.33</v>
      </c>
      <c r="V165" s="176">
        <f>SUM(V$98:V114)</f>
        <v>49619.499999999993</v>
      </c>
      <c r="W165" s="176">
        <f>SUM(W$98:W114)</f>
        <v>80679.75</v>
      </c>
      <c r="X165" s="176">
        <f>SUM(X$98:X114)</f>
        <v>37360.250000000007</v>
      </c>
      <c r="Y165" s="176">
        <f>SUM(Y$98:Y114)</f>
        <v>38825.97</v>
      </c>
      <c r="Z165" s="176">
        <f>SUM(Z$98:Z114)</f>
        <v>246035.78999999998</v>
      </c>
      <c r="AA165" s="176">
        <f>SUM(AA$98:AA114)</f>
        <v>247390.29</v>
      </c>
      <c r="AB165" s="176">
        <f>SUM(AB$98:AB114)</f>
        <v>340659.39000000025</v>
      </c>
      <c r="AC165" s="176">
        <f>SUM(AC$98:AC114)</f>
        <v>264873.73000000004</v>
      </c>
      <c r="AD165" s="176">
        <f>SUM(AD$98:AD114)</f>
        <v>302917.12</v>
      </c>
      <c r="AE165" s="176">
        <f>SUM(AE$98:AE114)</f>
        <v>291451.95</v>
      </c>
      <c r="AF165" s="176">
        <f>SUM(AF$98:AF114)</f>
        <v>226458.18999999994</v>
      </c>
      <c r="AG165" s="176">
        <f>SUM(AG$98:AG114)</f>
        <v>281445.81000000017</v>
      </c>
      <c r="AH165" s="176">
        <f>SUM(AH$98:AH114)</f>
        <v>282059.79000000004</v>
      </c>
      <c r="AI165" s="176">
        <f>SUM(AI$98:AI114)</f>
        <v>233438.95000000007</v>
      </c>
      <c r="AJ165" s="176">
        <f>SUM(AJ$98:AJ114)</f>
        <v>237774.08999999997</v>
      </c>
      <c r="AK165" s="176">
        <f>SUM(AK$98:AK114)</f>
        <v>129661.01000000001</v>
      </c>
      <c r="AL165" s="176">
        <f>SUM(AL$98:AL114)</f>
        <v>39963.089999999982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35923.329999999994</v>
      </c>
      <c r="D166" s="176">
        <f>SUM(D$98:D115)</f>
        <v>137789.97000000003</v>
      </c>
      <c r="E166" s="176">
        <f>SUM(E$98:E115)</f>
        <v>109906.28999999998</v>
      </c>
      <c r="F166" s="176">
        <f>SUM(F$98:F115)</f>
        <v>52296.630000000012</v>
      </c>
      <c r="G166" s="176">
        <f>SUM(G$98:G115)</f>
        <v>69182.52999999997</v>
      </c>
      <c r="H166" s="176">
        <f>SUM(H$98:H115)</f>
        <v>53239.62</v>
      </c>
      <c r="I166" s="176">
        <f>SUM(I$98:I115)</f>
        <v>72097.69</v>
      </c>
      <c r="J166" s="176">
        <f>SUM(J$98:J115)</f>
        <v>61907.660000000025</v>
      </c>
      <c r="K166" s="176">
        <f>SUM(K$98:K115)</f>
        <v>56568.250000000022</v>
      </c>
      <c r="L166" s="176">
        <f>SUM(L$98:L115)</f>
        <v>41234.950000000004</v>
      </c>
      <c r="M166" s="176">
        <f>SUM(M$98:M115)</f>
        <v>49796.490000000005</v>
      </c>
      <c r="N166" s="176">
        <f>SUM(N$98:N115)</f>
        <v>41139.020000000004</v>
      </c>
      <c r="O166" s="176">
        <f>SUM(O$98:O115)</f>
        <v>44270.220000000016</v>
      </c>
      <c r="P166" s="176">
        <f>SUM(P$98:P115)</f>
        <v>42405.230000000025</v>
      </c>
      <c r="Q166" s="176">
        <f>SUM(Q$98:Q115)</f>
        <v>50754.500000000015</v>
      </c>
      <c r="R166" s="176">
        <f>SUM(R$98:R115)</f>
        <v>50857.87</v>
      </c>
      <c r="S166" s="176">
        <f>SUM(S$98:S115)</f>
        <v>50468.810000000019</v>
      </c>
      <c r="T166" s="176">
        <f>SUM(T$98:T115)</f>
        <v>73966.600000000006</v>
      </c>
      <c r="U166" s="176">
        <f>SUM(U$98:U115)</f>
        <v>67051.33</v>
      </c>
      <c r="V166" s="176">
        <f>SUM(V$98:V115)</f>
        <v>49619.499999999993</v>
      </c>
      <c r="W166" s="176">
        <f>SUM(W$98:W115)</f>
        <v>80679.75</v>
      </c>
      <c r="X166" s="176">
        <f>SUM(X$98:X115)</f>
        <v>37360.250000000007</v>
      </c>
      <c r="Y166" s="176">
        <f>SUM(Y$98:Y115)</f>
        <v>38825.97</v>
      </c>
      <c r="Z166" s="176">
        <f>SUM(Z$98:Z115)</f>
        <v>246035.78999999998</v>
      </c>
      <c r="AA166" s="176">
        <f>SUM(AA$98:AA115)</f>
        <v>247390.29</v>
      </c>
      <c r="AB166" s="176">
        <f>SUM(AB$98:AB115)</f>
        <v>340659.39000000025</v>
      </c>
      <c r="AC166" s="176">
        <f>SUM(AC$98:AC115)</f>
        <v>264873.73000000004</v>
      </c>
      <c r="AD166" s="176">
        <f>SUM(AD$98:AD115)</f>
        <v>302917.12</v>
      </c>
      <c r="AE166" s="176">
        <f>SUM(AE$98:AE115)</f>
        <v>291451.95</v>
      </c>
      <c r="AF166" s="176">
        <f>SUM(AF$98:AF115)</f>
        <v>226458.18999999994</v>
      </c>
      <c r="AG166" s="176">
        <f>SUM(AG$98:AG115)</f>
        <v>281445.81000000017</v>
      </c>
      <c r="AH166" s="176">
        <f>SUM(AH$98:AH115)</f>
        <v>282059.79000000004</v>
      </c>
      <c r="AI166" s="176">
        <f>SUM(AI$98:AI115)</f>
        <v>233438.95000000007</v>
      </c>
      <c r="AJ166" s="176">
        <f>SUM(AJ$98:AJ115)</f>
        <v>237774.08999999997</v>
      </c>
      <c r="AK166" s="176">
        <f>SUM(AK$98:AK115)</f>
        <v>129661.01000000001</v>
      </c>
      <c r="AL166" s="176">
        <f>SUM(AL$98:AL115)</f>
        <v>39963.089999999982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35923.329999999994</v>
      </c>
      <c r="D167" s="176">
        <f>SUM(D$98:D116)</f>
        <v>137789.97000000003</v>
      </c>
      <c r="E167" s="176">
        <f>SUM(E$98:E116)</f>
        <v>109952.08999999998</v>
      </c>
      <c r="F167" s="176">
        <f>SUM(F$98:F116)</f>
        <v>52296.630000000012</v>
      </c>
      <c r="G167" s="176">
        <f>SUM(G$98:G116)</f>
        <v>69182.52999999997</v>
      </c>
      <c r="H167" s="176">
        <f>SUM(H$98:H116)</f>
        <v>53239.62</v>
      </c>
      <c r="I167" s="176">
        <f>SUM(I$98:I116)</f>
        <v>72197.69</v>
      </c>
      <c r="J167" s="176">
        <f>SUM(J$98:J116)</f>
        <v>61907.660000000025</v>
      </c>
      <c r="K167" s="176">
        <f>SUM(K$98:K116)</f>
        <v>56568.250000000022</v>
      </c>
      <c r="L167" s="176">
        <f>SUM(L$98:L116)</f>
        <v>41234.950000000004</v>
      </c>
      <c r="M167" s="176">
        <f>SUM(M$98:M116)</f>
        <v>49796.490000000005</v>
      </c>
      <c r="N167" s="176">
        <f>SUM(N$98:N116)</f>
        <v>41139.020000000004</v>
      </c>
      <c r="O167" s="176">
        <f>SUM(O$98:O116)</f>
        <v>44270.220000000016</v>
      </c>
      <c r="P167" s="176">
        <f>SUM(P$98:P116)</f>
        <v>42733.460000000028</v>
      </c>
      <c r="Q167" s="176">
        <f>SUM(Q$98:Q116)</f>
        <v>50754.500000000015</v>
      </c>
      <c r="R167" s="176">
        <f>SUM(R$98:R116)</f>
        <v>50857.87</v>
      </c>
      <c r="S167" s="176">
        <f>SUM(S$98:S116)</f>
        <v>50468.810000000019</v>
      </c>
      <c r="T167" s="176">
        <f>SUM(T$98:T116)</f>
        <v>73966.600000000006</v>
      </c>
      <c r="U167" s="176">
        <f>SUM(U$98:U116)</f>
        <v>67051.33</v>
      </c>
      <c r="V167" s="176">
        <f>SUM(V$98:V116)</f>
        <v>49619.499999999993</v>
      </c>
      <c r="W167" s="176">
        <f>SUM(W$98:W116)</f>
        <v>80679.75</v>
      </c>
      <c r="X167" s="176">
        <f>SUM(X$98:X116)</f>
        <v>37360.250000000007</v>
      </c>
      <c r="Y167" s="176">
        <f>SUM(Y$98:Y116)</f>
        <v>38825.97</v>
      </c>
      <c r="Z167" s="176">
        <f>SUM(Z$98:Z116)</f>
        <v>246035.78999999998</v>
      </c>
      <c r="AA167" s="176">
        <f>SUM(AA$98:AA116)</f>
        <v>247390.29</v>
      </c>
      <c r="AB167" s="176">
        <f>SUM(AB$98:AB116)</f>
        <v>340659.39000000025</v>
      </c>
      <c r="AC167" s="176">
        <f>SUM(AC$98:AC116)</f>
        <v>264873.73000000004</v>
      </c>
      <c r="AD167" s="176">
        <f>SUM(AD$98:AD116)</f>
        <v>302917.12</v>
      </c>
      <c r="AE167" s="176">
        <f>SUM(AE$98:AE116)</f>
        <v>291451.95</v>
      </c>
      <c r="AF167" s="176">
        <f>SUM(AF$98:AF116)</f>
        <v>226458.18999999994</v>
      </c>
      <c r="AG167" s="176">
        <f>SUM(AG$98:AG116)</f>
        <v>281445.81000000017</v>
      </c>
      <c r="AH167" s="176">
        <f>SUM(AH$98:AH116)</f>
        <v>282059.79000000004</v>
      </c>
      <c r="AI167" s="176">
        <f>SUM(AI$98:AI116)</f>
        <v>233438.95000000007</v>
      </c>
      <c r="AJ167" s="176">
        <f>SUM(AJ$98:AJ116)</f>
        <v>237774.08999999997</v>
      </c>
      <c r="AK167" s="176">
        <f>SUM(AK$98:AK116)</f>
        <v>129661.01000000001</v>
      </c>
      <c r="AL167" s="176">
        <f>SUM(AL$98:AL116)</f>
        <v>39963.089999999982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35923.329999999994</v>
      </c>
      <c r="D168" s="176">
        <f>SUM(D$98:D117)</f>
        <v>137789.97000000003</v>
      </c>
      <c r="E168" s="176">
        <f>SUM(E$98:E117)</f>
        <v>109952.08999999998</v>
      </c>
      <c r="F168" s="176">
        <f>SUM(F$98:F117)</f>
        <v>52296.630000000012</v>
      </c>
      <c r="G168" s="176">
        <f>SUM(G$98:G117)</f>
        <v>69182.52999999997</v>
      </c>
      <c r="H168" s="176">
        <f>SUM(H$98:H117)</f>
        <v>53239.62</v>
      </c>
      <c r="I168" s="176">
        <f>SUM(I$98:I117)</f>
        <v>72197.69</v>
      </c>
      <c r="J168" s="176">
        <f>SUM(J$98:J117)</f>
        <v>61907.660000000025</v>
      </c>
      <c r="K168" s="176">
        <f>SUM(K$98:K117)</f>
        <v>56568.250000000022</v>
      </c>
      <c r="L168" s="176">
        <f>SUM(L$98:L117)</f>
        <v>41234.950000000004</v>
      </c>
      <c r="M168" s="176">
        <f>SUM(M$98:M117)</f>
        <v>49796.490000000005</v>
      </c>
      <c r="N168" s="176">
        <f>SUM(N$98:N117)</f>
        <v>41139.020000000004</v>
      </c>
      <c r="O168" s="176">
        <f>SUM(O$98:O117)</f>
        <v>44270.220000000016</v>
      </c>
      <c r="P168" s="176">
        <f>SUM(P$98:P117)</f>
        <v>42733.460000000028</v>
      </c>
      <c r="Q168" s="176">
        <f>SUM(Q$98:Q117)</f>
        <v>50754.500000000015</v>
      </c>
      <c r="R168" s="176">
        <f>SUM(R$98:R117)</f>
        <v>50857.87</v>
      </c>
      <c r="S168" s="176">
        <f>SUM(S$98:S117)</f>
        <v>50468.810000000019</v>
      </c>
      <c r="T168" s="176">
        <f>SUM(T$98:T117)</f>
        <v>73966.600000000006</v>
      </c>
      <c r="U168" s="176">
        <f>SUM(U$98:U117)</f>
        <v>67051.33</v>
      </c>
      <c r="V168" s="176">
        <f>SUM(V$98:V117)</f>
        <v>49619.499999999993</v>
      </c>
      <c r="W168" s="176">
        <f>SUM(W$98:W117)</f>
        <v>80679.75</v>
      </c>
      <c r="X168" s="176">
        <f>SUM(X$98:X117)</f>
        <v>37360.250000000007</v>
      </c>
      <c r="Y168" s="176">
        <f>SUM(Y$98:Y117)</f>
        <v>38825.97</v>
      </c>
      <c r="Z168" s="176">
        <f>SUM(Z$98:Z117)</f>
        <v>246035.78999999998</v>
      </c>
      <c r="AA168" s="176">
        <f>SUM(AA$98:AA117)</f>
        <v>247390.29</v>
      </c>
      <c r="AB168" s="176">
        <f>SUM(AB$98:AB117)</f>
        <v>340659.39000000025</v>
      </c>
      <c r="AC168" s="176">
        <f>SUM(AC$98:AC117)</f>
        <v>264873.73000000004</v>
      </c>
      <c r="AD168" s="176">
        <f>SUM(AD$98:AD117)</f>
        <v>302917.12</v>
      </c>
      <c r="AE168" s="176">
        <f>SUM(AE$98:AE117)</f>
        <v>291451.95</v>
      </c>
      <c r="AF168" s="176">
        <f>SUM(AF$98:AF117)</f>
        <v>226458.18999999994</v>
      </c>
      <c r="AG168" s="176">
        <f>SUM(AG$98:AG117)</f>
        <v>281445.81000000017</v>
      </c>
      <c r="AH168" s="176">
        <f>SUM(AH$98:AH117)</f>
        <v>282059.79000000004</v>
      </c>
      <c r="AI168" s="176">
        <f>SUM(AI$98:AI117)</f>
        <v>233438.95000000007</v>
      </c>
      <c r="AJ168" s="176">
        <f>SUM(AJ$98:AJ117)</f>
        <v>237774.08999999997</v>
      </c>
      <c r="AK168" s="176">
        <f>SUM(AK$98:AK117)</f>
        <v>129661.01000000001</v>
      </c>
      <c r="AL168" s="176">
        <f>SUM(AL$98:AL117)</f>
        <v>39963.089999999982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35923.329999999994</v>
      </c>
      <c r="D169" s="176">
        <f>SUM(D$98:D118)</f>
        <v>137789.97000000003</v>
      </c>
      <c r="E169" s="176">
        <f>SUM(E$98:E118)</f>
        <v>109952.08999999998</v>
      </c>
      <c r="F169" s="176">
        <f>SUM(F$98:F118)</f>
        <v>52296.630000000012</v>
      </c>
      <c r="G169" s="176">
        <f>SUM(G$98:G118)</f>
        <v>69182.52999999997</v>
      </c>
      <c r="H169" s="176">
        <f>SUM(H$98:H118)</f>
        <v>53239.62</v>
      </c>
      <c r="I169" s="176">
        <f>SUM(I$98:I118)</f>
        <v>72197.69</v>
      </c>
      <c r="J169" s="176">
        <f>SUM(J$98:J118)</f>
        <v>61907.660000000025</v>
      </c>
      <c r="K169" s="176">
        <f>SUM(K$98:K118)</f>
        <v>56568.250000000022</v>
      </c>
      <c r="L169" s="176">
        <f>SUM(L$98:L118)</f>
        <v>41234.950000000004</v>
      </c>
      <c r="M169" s="176">
        <f>SUM(M$98:M118)</f>
        <v>49796.490000000005</v>
      </c>
      <c r="N169" s="176">
        <f>SUM(N$98:N118)</f>
        <v>41139.020000000004</v>
      </c>
      <c r="O169" s="176">
        <f>SUM(O$98:O118)</f>
        <v>44270.220000000016</v>
      </c>
      <c r="P169" s="176">
        <f>SUM(P$98:P118)</f>
        <v>42733.460000000028</v>
      </c>
      <c r="Q169" s="176">
        <f>SUM(Q$98:Q118)</f>
        <v>50754.500000000015</v>
      </c>
      <c r="R169" s="176">
        <f>SUM(R$98:R118)</f>
        <v>50857.87</v>
      </c>
      <c r="S169" s="176">
        <f>SUM(S$98:S118)</f>
        <v>50468.810000000019</v>
      </c>
      <c r="T169" s="176">
        <f>SUM(T$98:T118)</f>
        <v>73966.600000000006</v>
      </c>
      <c r="U169" s="176">
        <f>SUM(U$98:U118)</f>
        <v>67051.33</v>
      </c>
      <c r="V169" s="176">
        <f>SUM(V$98:V118)</f>
        <v>49619.499999999993</v>
      </c>
      <c r="W169" s="176">
        <f>SUM(W$98:W118)</f>
        <v>80679.75</v>
      </c>
      <c r="X169" s="176">
        <f>SUM(X$98:X118)</f>
        <v>37360.250000000007</v>
      </c>
      <c r="Y169" s="176">
        <f>SUM(Y$98:Y118)</f>
        <v>38825.97</v>
      </c>
      <c r="Z169" s="176">
        <f>SUM(Z$98:Z118)</f>
        <v>246035.78999999998</v>
      </c>
      <c r="AA169" s="176">
        <f>SUM(AA$98:AA118)</f>
        <v>247390.29</v>
      </c>
      <c r="AB169" s="176">
        <f>SUM(AB$98:AB118)</f>
        <v>340659.39000000025</v>
      </c>
      <c r="AC169" s="176">
        <f>SUM(AC$98:AC118)</f>
        <v>264873.73000000004</v>
      </c>
      <c r="AD169" s="176">
        <f>SUM(AD$98:AD118)</f>
        <v>302917.12</v>
      </c>
      <c r="AE169" s="176">
        <f>SUM(AE$98:AE118)</f>
        <v>291451.95</v>
      </c>
      <c r="AF169" s="176">
        <f>SUM(AF$98:AF118)</f>
        <v>226458.18999999994</v>
      </c>
      <c r="AG169" s="176">
        <f>SUM(AG$98:AG118)</f>
        <v>281445.81000000017</v>
      </c>
      <c r="AH169" s="176">
        <f>SUM(AH$98:AH118)</f>
        <v>282059.79000000004</v>
      </c>
      <c r="AI169" s="176">
        <f>SUM(AI$98:AI118)</f>
        <v>233438.95000000007</v>
      </c>
      <c r="AJ169" s="176">
        <f>SUM(AJ$98:AJ118)</f>
        <v>237774.08999999997</v>
      </c>
      <c r="AK169" s="176">
        <f>SUM(AK$98:AK118)</f>
        <v>129661.01000000001</v>
      </c>
      <c r="AL169" s="176">
        <f>SUM(AL$98:AL118)</f>
        <v>39963.089999999982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35923.329999999994</v>
      </c>
      <c r="D170" s="176">
        <f>SUM(D$98:D119)</f>
        <v>137813.97000000003</v>
      </c>
      <c r="E170" s="176">
        <f>SUM(E$98:E119)</f>
        <v>109952.08999999998</v>
      </c>
      <c r="F170" s="176">
        <f>SUM(F$98:F119)</f>
        <v>52327.960000000014</v>
      </c>
      <c r="G170" s="176">
        <f>SUM(G$98:G119)</f>
        <v>69182.52999999997</v>
      </c>
      <c r="H170" s="176">
        <f>SUM(H$98:H119)</f>
        <v>53239.62</v>
      </c>
      <c r="I170" s="176">
        <f>SUM(I$98:I119)</f>
        <v>72197.69</v>
      </c>
      <c r="J170" s="176">
        <f>SUM(J$98:J119)</f>
        <v>61907.660000000025</v>
      </c>
      <c r="K170" s="176">
        <f>SUM(K$98:K119)</f>
        <v>56568.250000000022</v>
      </c>
      <c r="L170" s="176">
        <f>SUM(L$98:L119)</f>
        <v>41234.950000000004</v>
      </c>
      <c r="M170" s="176">
        <f>SUM(M$98:M119)</f>
        <v>49796.490000000005</v>
      </c>
      <c r="N170" s="176">
        <f>SUM(N$98:N119)</f>
        <v>41139.020000000004</v>
      </c>
      <c r="O170" s="176">
        <f>SUM(O$98:O119)</f>
        <v>44270.220000000016</v>
      </c>
      <c r="P170" s="176">
        <f>SUM(P$98:P119)</f>
        <v>42733.460000000028</v>
      </c>
      <c r="Q170" s="176">
        <f>SUM(Q$98:Q119)</f>
        <v>50754.500000000015</v>
      </c>
      <c r="R170" s="176">
        <f>SUM(R$98:R119)</f>
        <v>50857.87</v>
      </c>
      <c r="S170" s="176">
        <f>SUM(S$98:S119)</f>
        <v>50468.810000000019</v>
      </c>
      <c r="T170" s="176">
        <f>SUM(T$98:T119)</f>
        <v>73966.600000000006</v>
      </c>
      <c r="U170" s="176">
        <f>SUM(U$98:U119)</f>
        <v>67051.33</v>
      </c>
      <c r="V170" s="176">
        <f>SUM(V$98:V119)</f>
        <v>49619.499999999993</v>
      </c>
      <c r="W170" s="176">
        <f>SUM(W$98:W119)</f>
        <v>80679.75</v>
      </c>
      <c r="X170" s="176">
        <f>SUM(X$98:X119)</f>
        <v>37360.250000000007</v>
      </c>
      <c r="Y170" s="176">
        <f>SUM(Y$98:Y119)</f>
        <v>38825.97</v>
      </c>
      <c r="Z170" s="176">
        <f>SUM(Z$98:Z119)</f>
        <v>246035.78999999998</v>
      </c>
      <c r="AA170" s="176">
        <f>SUM(AA$98:AA119)</f>
        <v>247390.29</v>
      </c>
      <c r="AB170" s="176">
        <f>SUM(AB$98:AB119)</f>
        <v>340659.39000000025</v>
      </c>
      <c r="AC170" s="176">
        <f>SUM(AC$98:AC119)</f>
        <v>264873.73000000004</v>
      </c>
      <c r="AD170" s="176">
        <f>SUM(AD$98:AD119)</f>
        <v>302917.12</v>
      </c>
      <c r="AE170" s="176">
        <f>SUM(AE$98:AE119)</f>
        <v>291451.95</v>
      </c>
      <c r="AF170" s="176">
        <f>SUM(AF$98:AF119)</f>
        <v>226458.18999999994</v>
      </c>
      <c r="AG170" s="176">
        <f>SUM(AG$98:AG119)</f>
        <v>281445.81000000017</v>
      </c>
      <c r="AH170" s="176">
        <f>SUM(AH$98:AH119)</f>
        <v>282059.79000000004</v>
      </c>
      <c r="AI170" s="176">
        <f>SUM(AI$98:AI119)</f>
        <v>233438.95000000007</v>
      </c>
      <c r="AJ170" s="176">
        <f>SUM(AJ$98:AJ119)</f>
        <v>237774.08999999997</v>
      </c>
      <c r="AK170" s="176">
        <f>SUM(AK$98:AK119)</f>
        <v>129661.01000000001</v>
      </c>
      <c r="AL170" s="176">
        <f>SUM(AL$98:AL119)</f>
        <v>39963.089999999982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35923.329999999994</v>
      </c>
      <c r="D171" s="176">
        <f>SUM(D$98:D120)</f>
        <v>137813.97000000003</v>
      </c>
      <c r="E171" s="176">
        <f>SUM(E$98:E120)</f>
        <v>109952.08999999998</v>
      </c>
      <c r="F171" s="176">
        <f>SUM(F$98:F120)</f>
        <v>52327.960000000014</v>
      </c>
      <c r="G171" s="176">
        <f>SUM(G$98:G120)</f>
        <v>69182.52999999997</v>
      </c>
      <c r="H171" s="176">
        <f>SUM(H$98:H120)</f>
        <v>53239.62</v>
      </c>
      <c r="I171" s="176">
        <f>SUM(I$98:I120)</f>
        <v>72197.69</v>
      </c>
      <c r="J171" s="176">
        <f>SUM(J$98:J120)</f>
        <v>61907.660000000025</v>
      </c>
      <c r="K171" s="176">
        <f>SUM(K$98:K120)</f>
        <v>56568.250000000022</v>
      </c>
      <c r="L171" s="176">
        <f>SUM(L$98:L120)</f>
        <v>41234.950000000004</v>
      </c>
      <c r="M171" s="176">
        <f>SUM(M$98:M120)</f>
        <v>49796.490000000005</v>
      </c>
      <c r="N171" s="176">
        <f>SUM(N$98:N120)</f>
        <v>41139.020000000004</v>
      </c>
      <c r="O171" s="176">
        <f>SUM(O$98:O120)</f>
        <v>44270.220000000016</v>
      </c>
      <c r="P171" s="176">
        <f>SUM(P$98:P120)</f>
        <v>42733.460000000028</v>
      </c>
      <c r="Q171" s="176">
        <f>SUM(Q$98:Q120)</f>
        <v>50754.500000000015</v>
      </c>
      <c r="R171" s="176">
        <f>SUM(R$98:R120)</f>
        <v>50857.87</v>
      </c>
      <c r="S171" s="176">
        <f>SUM(S$98:S120)</f>
        <v>50468.810000000019</v>
      </c>
      <c r="T171" s="176">
        <f>SUM(T$98:T120)</f>
        <v>73966.600000000006</v>
      </c>
      <c r="U171" s="176">
        <f>SUM(U$98:U120)</f>
        <v>67051.33</v>
      </c>
      <c r="V171" s="176">
        <f>SUM(V$98:V120)</f>
        <v>49619.499999999993</v>
      </c>
      <c r="W171" s="176">
        <f>SUM(W$98:W120)</f>
        <v>80679.75</v>
      </c>
      <c r="X171" s="176">
        <f>SUM(X$98:X120)</f>
        <v>37360.250000000007</v>
      </c>
      <c r="Y171" s="176">
        <f>SUM(Y$98:Y120)</f>
        <v>38825.97</v>
      </c>
      <c r="Z171" s="176">
        <f>SUM(Z$98:Z120)</f>
        <v>246035.78999999998</v>
      </c>
      <c r="AA171" s="176">
        <f>SUM(AA$98:AA120)</f>
        <v>247390.29</v>
      </c>
      <c r="AB171" s="176">
        <f>SUM(AB$98:AB120)</f>
        <v>340659.39000000025</v>
      </c>
      <c r="AC171" s="176">
        <f>SUM(AC$98:AC120)</f>
        <v>264873.73000000004</v>
      </c>
      <c r="AD171" s="176">
        <f>SUM(AD$98:AD120)</f>
        <v>302917.12</v>
      </c>
      <c r="AE171" s="176">
        <f>SUM(AE$98:AE120)</f>
        <v>291451.95</v>
      </c>
      <c r="AF171" s="176">
        <f>SUM(AF$98:AF120)</f>
        <v>226458.18999999994</v>
      </c>
      <c r="AG171" s="176">
        <f>SUM(AG$98:AG120)</f>
        <v>281445.81000000017</v>
      </c>
      <c r="AH171" s="176">
        <f>SUM(AH$98:AH120)</f>
        <v>282059.79000000004</v>
      </c>
      <c r="AI171" s="176">
        <f>SUM(AI$98:AI120)</f>
        <v>233438.95000000007</v>
      </c>
      <c r="AJ171" s="176">
        <f>SUM(AJ$98:AJ120)</f>
        <v>237774.08999999997</v>
      </c>
      <c r="AK171" s="176">
        <f>SUM(AK$98:AK120)</f>
        <v>129661.01000000001</v>
      </c>
      <c r="AL171" s="176">
        <f>SUM(AL$98:AL120)</f>
        <v>39963.089999999982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35923.329999999994</v>
      </c>
      <c r="D172" s="176">
        <f>SUM(D$98:D121)</f>
        <v>137813.97000000003</v>
      </c>
      <c r="E172" s="176">
        <f>SUM(E$98:E121)</f>
        <v>109952.08999999998</v>
      </c>
      <c r="F172" s="176">
        <f>SUM(F$98:F121)</f>
        <v>52327.960000000014</v>
      </c>
      <c r="G172" s="176">
        <f>SUM(G$98:G121)</f>
        <v>69182.52999999997</v>
      </c>
      <c r="H172" s="176">
        <f>SUM(H$98:H121)</f>
        <v>53239.62</v>
      </c>
      <c r="I172" s="176">
        <f>SUM(I$98:I121)</f>
        <v>72197.69</v>
      </c>
      <c r="J172" s="176">
        <f>SUM(J$98:J121)</f>
        <v>61907.660000000025</v>
      </c>
      <c r="K172" s="176">
        <f>SUM(K$98:K121)</f>
        <v>56568.250000000022</v>
      </c>
      <c r="L172" s="176">
        <f>SUM(L$98:L121)</f>
        <v>41234.950000000004</v>
      </c>
      <c r="M172" s="176">
        <f>SUM(M$98:M121)</f>
        <v>49796.490000000005</v>
      </c>
      <c r="N172" s="176">
        <f>SUM(N$98:N121)</f>
        <v>41139.020000000004</v>
      </c>
      <c r="O172" s="176">
        <f>SUM(O$98:O121)</f>
        <v>44270.220000000016</v>
      </c>
      <c r="P172" s="176">
        <f>SUM(P$98:P121)</f>
        <v>42733.460000000028</v>
      </c>
      <c r="Q172" s="176">
        <f>SUM(Q$98:Q121)</f>
        <v>50754.500000000015</v>
      </c>
      <c r="R172" s="176">
        <f>SUM(R$98:R121)</f>
        <v>50857.87</v>
      </c>
      <c r="S172" s="176">
        <f>SUM(S$98:S121)</f>
        <v>50468.810000000019</v>
      </c>
      <c r="T172" s="176">
        <f>SUM(T$98:T121)</f>
        <v>73966.600000000006</v>
      </c>
      <c r="U172" s="176">
        <f>SUM(U$98:U121)</f>
        <v>67051.33</v>
      </c>
      <c r="V172" s="176">
        <f>SUM(V$98:V121)</f>
        <v>49619.499999999993</v>
      </c>
      <c r="W172" s="176">
        <f>SUM(W$98:W121)</f>
        <v>80679.75</v>
      </c>
      <c r="X172" s="176">
        <f>SUM(X$98:X121)</f>
        <v>37360.250000000007</v>
      </c>
      <c r="Y172" s="176">
        <f>SUM(Y$98:Y121)</f>
        <v>38825.97</v>
      </c>
      <c r="Z172" s="176">
        <f>SUM(Z$98:Z121)</f>
        <v>246035.78999999998</v>
      </c>
      <c r="AA172" s="176">
        <f>SUM(AA$98:AA121)</f>
        <v>247390.29</v>
      </c>
      <c r="AB172" s="176">
        <f>SUM(AB$98:AB121)</f>
        <v>340659.39000000025</v>
      </c>
      <c r="AC172" s="176">
        <f>SUM(AC$98:AC121)</f>
        <v>264873.73000000004</v>
      </c>
      <c r="AD172" s="176">
        <f>SUM(AD$98:AD121)</f>
        <v>302917.12</v>
      </c>
      <c r="AE172" s="176">
        <f>SUM(AE$98:AE121)</f>
        <v>291451.95</v>
      </c>
      <c r="AF172" s="176">
        <f>SUM(AF$98:AF121)</f>
        <v>226458.18999999994</v>
      </c>
      <c r="AG172" s="176">
        <f>SUM(AG$98:AG121)</f>
        <v>281445.81000000017</v>
      </c>
      <c r="AH172" s="176">
        <f>SUM(AH$98:AH121)</f>
        <v>282059.79000000004</v>
      </c>
      <c r="AI172" s="176">
        <f>SUM(AI$98:AI121)</f>
        <v>233438.95000000007</v>
      </c>
      <c r="AJ172" s="176">
        <f>SUM(AJ$98:AJ121)</f>
        <v>237774.08999999997</v>
      </c>
      <c r="AK172" s="176">
        <f>SUM(AK$98:AK121)</f>
        <v>129661.01000000001</v>
      </c>
      <c r="AL172" s="176">
        <f>SUM(AL$98:AL121)</f>
        <v>39963.089999999982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35923.329999999994</v>
      </c>
      <c r="D173" s="176">
        <f>SUM(D$98:D122)</f>
        <v>137813.97000000003</v>
      </c>
      <c r="E173" s="176">
        <f>SUM(E$98:E122)</f>
        <v>109952.08999999998</v>
      </c>
      <c r="F173" s="176">
        <f>SUM(F$98:F122)</f>
        <v>52327.960000000014</v>
      </c>
      <c r="G173" s="176">
        <f>SUM(G$98:G122)</f>
        <v>69182.52999999997</v>
      </c>
      <c r="H173" s="176">
        <f>SUM(H$98:H122)</f>
        <v>53239.62</v>
      </c>
      <c r="I173" s="176">
        <f>SUM(I$98:I122)</f>
        <v>72197.69</v>
      </c>
      <c r="J173" s="176">
        <f>SUM(J$98:J122)</f>
        <v>62006.120000000024</v>
      </c>
      <c r="K173" s="176">
        <f>SUM(K$98:K122)</f>
        <v>56568.250000000022</v>
      </c>
      <c r="L173" s="176">
        <f>SUM(L$98:L122)</f>
        <v>41234.950000000004</v>
      </c>
      <c r="M173" s="176">
        <f>SUM(M$98:M122)</f>
        <v>49796.490000000005</v>
      </c>
      <c r="N173" s="176">
        <f>SUM(N$98:N122)</f>
        <v>41139.020000000004</v>
      </c>
      <c r="O173" s="176">
        <f>SUM(O$98:O122)</f>
        <v>44270.220000000016</v>
      </c>
      <c r="P173" s="176">
        <f>SUM(P$98:P122)</f>
        <v>42733.460000000028</v>
      </c>
      <c r="Q173" s="176">
        <f>SUM(Q$98:Q122)</f>
        <v>50754.500000000015</v>
      </c>
      <c r="R173" s="176">
        <f>SUM(R$98:R122)</f>
        <v>50857.87</v>
      </c>
      <c r="S173" s="176">
        <f>SUM(S$98:S122)</f>
        <v>50468.810000000019</v>
      </c>
      <c r="T173" s="176">
        <f>SUM(T$98:T122)</f>
        <v>73966.600000000006</v>
      </c>
      <c r="U173" s="176">
        <f>SUM(U$98:U122)</f>
        <v>67051.33</v>
      </c>
      <c r="V173" s="176">
        <f>SUM(V$98:V122)</f>
        <v>49619.499999999993</v>
      </c>
      <c r="W173" s="176">
        <f>SUM(W$98:W122)</f>
        <v>80679.75</v>
      </c>
      <c r="X173" s="176">
        <f>SUM(X$98:X122)</f>
        <v>37360.250000000007</v>
      </c>
      <c r="Y173" s="176">
        <f>SUM(Y$98:Y122)</f>
        <v>38825.97</v>
      </c>
      <c r="Z173" s="176">
        <f>SUM(Z$98:Z122)</f>
        <v>246035.78999999998</v>
      </c>
      <c r="AA173" s="176">
        <f>SUM(AA$98:AA122)</f>
        <v>247390.29</v>
      </c>
      <c r="AB173" s="176">
        <f>SUM(AB$98:AB122)</f>
        <v>340659.39000000025</v>
      </c>
      <c r="AC173" s="176">
        <f>SUM(AC$98:AC122)</f>
        <v>264873.73000000004</v>
      </c>
      <c r="AD173" s="176">
        <f>SUM(AD$98:AD122)</f>
        <v>302917.12</v>
      </c>
      <c r="AE173" s="176">
        <f>SUM(AE$98:AE122)</f>
        <v>291451.95</v>
      </c>
      <c r="AF173" s="176">
        <f>SUM(AF$98:AF122)</f>
        <v>226458.18999999994</v>
      </c>
      <c r="AG173" s="176">
        <f>SUM(AG$98:AG122)</f>
        <v>281445.81000000017</v>
      </c>
      <c r="AH173" s="176">
        <f>SUM(AH$98:AH122)</f>
        <v>282059.79000000004</v>
      </c>
      <c r="AI173" s="176">
        <f>SUM(AI$98:AI122)</f>
        <v>233438.95000000007</v>
      </c>
      <c r="AJ173" s="176">
        <f>SUM(AJ$98:AJ122)</f>
        <v>237774.08999999997</v>
      </c>
      <c r="AK173" s="176">
        <f>SUM(AK$98:AK122)</f>
        <v>129661.01000000001</v>
      </c>
      <c r="AL173" s="176">
        <f>SUM(AL$98:AL122)</f>
        <v>39963.089999999982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35923.329999999994</v>
      </c>
      <c r="D174" s="176">
        <f>SUM(D$98:D123)</f>
        <v>137813.97000000003</v>
      </c>
      <c r="E174" s="176">
        <f>SUM(E$98:E123)</f>
        <v>109952.08999999998</v>
      </c>
      <c r="F174" s="176">
        <f>SUM(F$98:F123)</f>
        <v>52327.960000000014</v>
      </c>
      <c r="G174" s="176">
        <f>SUM(G$98:G123)</f>
        <v>69182.52999999997</v>
      </c>
      <c r="H174" s="176">
        <f>SUM(H$98:H123)</f>
        <v>53239.62</v>
      </c>
      <c r="I174" s="176">
        <f>SUM(I$98:I123)</f>
        <v>72197.69</v>
      </c>
      <c r="J174" s="176">
        <f>SUM(J$98:J123)</f>
        <v>62006.120000000024</v>
      </c>
      <c r="K174" s="176">
        <f>SUM(K$98:K123)</f>
        <v>56568.250000000022</v>
      </c>
      <c r="L174" s="176">
        <f>SUM(L$98:L123)</f>
        <v>41234.950000000004</v>
      </c>
      <c r="M174" s="176">
        <f>SUM(M$98:M123)</f>
        <v>49796.490000000005</v>
      </c>
      <c r="N174" s="176">
        <f>SUM(N$98:N123)</f>
        <v>41139.020000000004</v>
      </c>
      <c r="O174" s="176">
        <f>SUM(O$98:O123)</f>
        <v>44270.220000000016</v>
      </c>
      <c r="P174" s="176">
        <f>SUM(P$98:P123)</f>
        <v>42733.460000000028</v>
      </c>
      <c r="Q174" s="176">
        <f>SUM(Q$98:Q123)</f>
        <v>50754.500000000015</v>
      </c>
      <c r="R174" s="176">
        <f>SUM(R$98:R123)</f>
        <v>50857.87</v>
      </c>
      <c r="S174" s="176">
        <f>SUM(S$98:S123)</f>
        <v>50468.810000000019</v>
      </c>
      <c r="T174" s="176">
        <f>SUM(T$98:T123)</f>
        <v>73966.600000000006</v>
      </c>
      <c r="U174" s="176">
        <f>SUM(U$98:U123)</f>
        <v>67051.33</v>
      </c>
      <c r="V174" s="176">
        <f>SUM(V$98:V123)</f>
        <v>49619.499999999993</v>
      </c>
      <c r="W174" s="176">
        <f>SUM(W$98:W123)</f>
        <v>80679.75</v>
      </c>
      <c r="X174" s="176">
        <f>SUM(X$98:X123)</f>
        <v>37360.250000000007</v>
      </c>
      <c r="Y174" s="176">
        <f>SUM(Y$98:Y123)</f>
        <v>38825.97</v>
      </c>
      <c r="Z174" s="176">
        <f>SUM(Z$98:Z123)</f>
        <v>246035.78999999998</v>
      </c>
      <c r="AA174" s="176">
        <f>SUM(AA$98:AA123)</f>
        <v>247390.29</v>
      </c>
      <c r="AB174" s="176">
        <f>SUM(AB$98:AB123)</f>
        <v>340659.39000000025</v>
      </c>
      <c r="AC174" s="176">
        <f>SUM(AC$98:AC123)</f>
        <v>264873.73000000004</v>
      </c>
      <c r="AD174" s="176">
        <f>SUM(AD$98:AD123)</f>
        <v>302917.12</v>
      </c>
      <c r="AE174" s="176">
        <f>SUM(AE$98:AE123)</f>
        <v>291451.95</v>
      </c>
      <c r="AF174" s="176">
        <f>SUM(AF$98:AF123)</f>
        <v>226458.18999999994</v>
      </c>
      <c r="AG174" s="176">
        <f>SUM(AG$98:AG123)</f>
        <v>281445.81000000017</v>
      </c>
      <c r="AH174" s="176">
        <f>SUM(AH$98:AH123)</f>
        <v>282059.79000000004</v>
      </c>
      <c r="AI174" s="176">
        <f>SUM(AI$98:AI123)</f>
        <v>233438.95000000007</v>
      </c>
      <c r="AJ174" s="176">
        <f>SUM(AJ$98:AJ123)</f>
        <v>237774.08999999997</v>
      </c>
      <c r="AK174" s="176">
        <f>SUM(AK$98:AK123)</f>
        <v>129661.01000000001</v>
      </c>
      <c r="AL174" s="176">
        <f>SUM(AL$98:AL123)</f>
        <v>39963.089999999982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35923.329999999994</v>
      </c>
      <c r="D175" s="176">
        <f>SUM(D$98:D124)</f>
        <v>137813.97000000003</v>
      </c>
      <c r="E175" s="176">
        <f>SUM(E$98:E124)</f>
        <v>109952.08999999998</v>
      </c>
      <c r="F175" s="176">
        <f>SUM(F$98:F124)</f>
        <v>52327.960000000014</v>
      </c>
      <c r="G175" s="176">
        <f>SUM(G$98:G124)</f>
        <v>69182.52999999997</v>
      </c>
      <c r="H175" s="176">
        <f>SUM(H$98:H124)</f>
        <v>53239.62</v>
      </c>
      <c r="I175" s="176">
        <f>SUM(I$98:I124)</f>
        <v>72197.69</v>
      </c>
      <c r="J175" s="176">
        <f>SUM(J$98:J124)</f>
        <v>62006.120000000024</v>
      </c>
      <c r="K175" s="176">
        <f>SUM(K$98:K124)</f>
        <v>56568.250000000022</v>
      </c>
      <c r="L175" s="176">
        <f>SUM(L$98:L124)</f>
        <v>41234.950000000004</v>
      </c>
      <c r="M175" s="176">
        <f>SUM(M$98:M124)</f>
        <v>49796.490000000005</v>
      </c>
      <c r="N175" s="176">
        <f>SUM(N$98:N124)</f>
        <v>41139.020000000004</v>
      </c>
      <c r="O175" s="176">
        <f>SUM(O$98:O124)</f>
        <v>44270.220000000016</v>
      </c>
      <c r="P175" s="176">
        <f>SUM(P$98:P124)</f>
        <v>42733.460000000028</v>
      </c>
      <c r="Q175" s="176">
        <f>SUM(Q$98:Q124)</f>
        <v>50754.500000000015</v>
      </c>
      <c r="R175" s="176">
        <f>SUM(R$98:R124)</f>
        <v>50857.87</v>
      </c>
      <c r="S175" s="176">
        <f>SUM(S$98:S124)</f>
        <v>50468.810000000019</v>
      </c>
      <c r="T175" s="176">
        <f>SUM(T$98:T124)</f>
        <v>73966.600000000006</v>
      </c>
      <c r="U175" s="176">
        <f>SUM(U$98:U124)</f>
        <v>67051.33</v>
      </c>
      <c r="V175" s="176">
        <f>SUM(V$98:V124)</f>
        <v>49619.499999999993</v>
      </c>
      <c r="W175" s="176">
        <f>SUM(W$98:W124)</f>
        <v>80679.75</v>
      </c>
      <c r="X175" s="176">
        <f>SUM(X$98:X124)</f>
        <v>37360.250000000007</v>
      </c>
      <c r="Y175" s="176">
        <f>SUM(Y$98:Y124)</f>
        <v>38825.97</v>
      </c>
      <c r="Z175" s="176">
        <f>SUM(Z$98:Z124)</f>
        <v>246035.78999999998</v>
      </c>
      <c r="AA175" s="176">
        <f>SUM(AA$98:AA124)</f>
        <v>247390.29</v>
      </c>
      <c r="AB175" s="176">
        <f>SUM(AB$98:AB124)</f>
        <v>340659.39000000025</v>
      </c>
      <c r="AC175" s="176">
        <f>SUM(AC$98:AC124)</f>
        <v>264873.73000000004</v>
      </c>
      <c r="AD175" s="176">
        <f>SUM(AD$98:AD124)</f>
        <v>302917.12</v>
      </c>
      <c r="AE175" s="176">
        <f>SUM(AE$98:AE124)</f>
        <v>291451.95</v>
      </c>
      <c r="AF175" s="176">
        <f>SUM(AF$98:AF124)</f>
        <v>226458.18999999994</v>
      </c>
      <c r="AG175" s="176">
        <f>SUM(AG$98:AG124)</f>
        <v>281445.81000000017</v>
      </c>
      <c r="AH175" s="176">
        <f>SUM(AH$98:AH124)</f>
        <v>282059.79000000004</v>
      </c>
      <c r="AI175" s="176">
        <f>SUM(AI$98:AI124)</f>
        <v>233438.95000000007</v>
      </c>
      <c r="AJ175" s="176">
        <f>SUM(AJ$98:AJ124)</f>
        <v>237774.08999999997</v>
      </c>
      <c r="AK175" s="176">
        <f>SUM(AK$98:AK124)</f>
        <v>129661.01000000001</v>
      </c>
      <c r="AL175" s="176">
        <f>SUM(AL$98:AL124)</f>
        <v>39963.089999999982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35923.329999999994</v>
      </c>
      <c r="D176" s="176">
        <f>SUM(D$98:D125)</f>
        <v>137813.97000000003</v>
      </c>
      <c r="E176" s="176">
        <f>SUM(E$98:E125)</f>
        <v>109952.08999999998</v>
      </c>
      <c r="F176" s="176">
        <f>SUM(F$98:F125)</f>
        <v>52327.960000000014</v>
      </c>
      <c r="G176" s="176">
        <f>SUM(G$98:G125)</f>
        <v>69182.52999999997</v>
      </c>
      <c r="H176" s="176">
        <f>SUM(H$98:H125)</f>
        <v>53239.62</v>
      </c>
      <c r="I176" s="176">
        <f>SUM(I$98:I125)</f>
        <v>72197.69</v>
      </c>
      <c r="J176" s="176">
        <f>SUM(J$98:J125)</f>
        <v>62006.120000000024</v>
      </c>
      <c r="K176" s="176">
        <f>SUM(K$98:K125)</f>
        <v>56568.250000000022</v>
      </c>
      <c r="L176" s="176">
        <f>SUM(L$98:L125)</f>
        <v>41234.950000000004</v>
      </c>
      <c r="M176" s="176">
        <f>SUM(M$98:M125)</f>
        <v>49796.490000000005</v>
      </c>
      <c r="N176" s="176">
        <f>SUM(N$98:N125)</f>
        <v>41139.020000000004</v>
      </c>
      <c r="O176" s="176">
        <f>SUM(O$98:O125)</f>
        <v>44270.220000000016</v>
      </c>
      <c r="P176" s="176">
        <f>SUM(P$98:P125)</f>
        <v>42733.460000000028</v>
      </c>
      <c r="Q176" s="176">
        <f>SUM(Q$98:Q125)</f>
        <v>50754.500000000015</v>
      </c>
      <c r="R176" s="176">
        <f>SUM(R$98:R125)</f>
        <v>50857.87</v>
      </c>
      <c r="S176" s="176">
        <f>SUM(S$98:S125)</f>
        <v>50468.810000000019</v>
      </c>
      <c r="T176" s="176">
        <f>SUM(T$98:T125)</f>
        <v>73966.600000000006</v>
      </c>
      <c r="U176" s="176">
        <f>SUM(U$98:U125)</f>
        <v>67051.33</v>
      </c>
      <c r="V176" s="176">
        <f>SUM(V$98:V125)</f>
        <v>49619.499999999993</v>
      </c>
      <c r="W176" s="176">
        <f>SUM(W$98:W125)</f>
        <v>80679.75</v>
      </c>
      <c r="X176" s="176">
        <f>SUM(X$98:X125)</f>
        <v>37360.250000000007</v>
      </c>
      <c r="Y176" s="176">
        <f>SUM(Y$98:Y125)</f>
        <v>38825.97</v>
      </c>
      <c r="Z176" s="176">
        <f>SUM(Z$98:Z125)</f>
        <v>246035.78999999998</v>
      </c>
      <c r="AA176" s="176">
        <f>SUM(AA$98:AA125)</f>
        <v>247390.29</v>
      </c>
      <c r="AB176" s="176">
        <f>SUM(AB$98:AB125)</f>
        <v>340659.39000000025</v>
      </c>
      <c r="AC176" s="176">
        <f>SUM(AC$98:AC125)</f>
        <v>264873.73000000004</v>
      </c>
      <c r="AD176" s="176">
        <f>SUM(AD$98:AD125)</f>
        <v>302917.12</v>
      </c>
      <c r="AE176" s="176">
        <f>SUM(AE$98:AE125)</f>
        <v>291451.95</v>
      </c>
      <c r="AF176" s="176">
        <f>SUM(AF$98:AF125)</f>
        <v>226458.18999999994</v>
      </c>
      <c r="AG176" s="176">
        <f>SUM(AG$98:AG125)</f>
        <v>281445.81000000017</v>
      </c>
      <c r="AH176" s="176">
        <f>SUM(AH$98:AH125)</f>
        <v>282059.79000000004</v>
      </c>
      <c r="AI176" s="176">
        <f>SUM(AI$98:AI125)</f>
        <v>233438.95000000007</v>
      </c>
      <c r="AJ176" s="176">
        <f>SUM(AJ$98:AJ125)</f>
        <v>237774.08999999997</v>
      </c>
      <c r="AK176" s="176">
        <f>SUM(AK$98:AK125)</f>
        <v>129661.01000000001</v>
      </c>
      <c r="AL176" s="176">
        <f>SUM(AL$98:AL125)</f>
        <v>39963.089999999982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35923.329999999994</v>
      </c>
      <c r="D177" s="176">
        <f>SUM(D$98:D126)</f>
        <v>137813.97000000003</v>
      </c>
      <c r="E177" s="176">
        <f>SUM(E$98:E126)</f>
        <v>109952.08999999998</v>
      </c>
      <c r="F177" s="176">
        <f>SUM(F$98:F126)</f>
        <v>52327.960000000014</v>
      </c>
      <c r="G177" s="176">
        <f>SUM(G$98:G126)</f>
        <v>69182.52999999997</v>
      </c>
      <c r="H177" s="176">
        <f>SUM(H$98:H126)</f>
        <v>53239.62</v>
      </c>
      <c r="I177" s="176">
        <f>SUM(I$98:I126)</f>
        <v>72197.69</v>
      </c>
      <c r="J177" s="176">
        <f>SUM(J$98:J126)</f>
        <v>62006.120000000024</v>
      </c>
      <c r="K177" s="176">
        <f>SUM(K$98:K126)</f>
        <v>56568.250000000022</v>
      </c>
      <c r="L177" s="176">
        <f>SUM(L$98:L126)</f>
        <v>41234.950000000004</v>
      </c>
      <c r="M177" s="176">
        <f>SUM(M$98:M126)</f>
        <v>49796.490000000005</v>
      </c>
      <c r="N177" s="176">
        <f>SUM(N$98:N126)</f>
        <v>41139.020000000004</v>
      </c>
      <c r="O177" s="176">
        <f>SUM(O$98:O126)</f>
        <v>44270.220000000016</v>
      </c>
      <c r="P177" s="176">
        <f>SUM(P$98:P126)</f>
        <v>42733.460000000028</v>
      </c>
      <c r="Q177" s="176">
        <f>SUM(Q$98:Q126)</f>
        <v>50754.500000000015</v>
      </c>
      <c r="R177" s="176">
        <f>SUM(R$98:R126)</f>
        <v>50857.87</v>
      </c>
      <c r="S177" s="176">
        <f>SUM(S$98:S126)</f>
        <v>50468.810000000019</v>
      </c>
      <c r="T177" s="176">
        <f>SUM(T$98:T126)</f>
        <v>73966.600000000006</v>
      </c>
      <c r="U177" s="176">
        <f>SUM(U$98:U126)</f>
        <v>67051.33</v>
      </c>
      <c r="V177" s="176">
        <f>SUM(V$98:V126)</f>
        <v>49619.499999999993</v>
      </c>
      <c r="W177" s="176">
        <f>SUM(W$98:W126)</f>
        <v>80679.75</v>
      </c>
      <c r="X177" s="176">
        <f>SUM(X$98:X126)</f>
        <v>37360.250000000007</v>
      </c>
      <c r="Y177" s="176">
        <f>SUM(Y$98:Y126)</f>
        <v>38825.97</v>
      </c>
      <c r="Z177" s="176">
        <f>SUM(Z$98:Z126)</f>
        <v>246035.78999999998</v>
      </c>
      <c r="AA177" s="176">
        <f>SUM(AA$98:AA126)</f>
        <v>247390.29</v>
      </c>
      <c r="AB177" s="176">
        <f>SUM(AB$98:AB126)</f>
        <v>340659.39000000025</v>
      </c>
      <c r="AC177" s="176">
        <f>SUM(AC$98:AC126)</f>
        <v>264873.73000000004</v>
      </c>
      <c r="AD177" s="176">
        <f>SUM(AD$98:AD126)</f>
        <v>302917.12</v>
      </c>
      <c r="AE177" s="176">
        <f>SUM(AE$98:AE126)</f>
        <v>291451.95</v>
      </c>
      <c r="AF177" s="176">
        <f>SUM(AF$98:AF126)</f>
        <v>226458.18999999994</v>
      </c>
      <c r="AG177" s="176">
        <f>SUM(AG$98:AG126)</f>
        <v>281445.81000000017</v>
      </c>
      <c r="AH177" s="176">
        <f>SUM(AH$98:AH126)</f>
        <v>282059.79000000004</v>
      </c>
      <c r="AI177" s="176">
        <f>SUM(AI$98:AI126)</f>
        <v>233438.95000000007</v>
      </c>
      <c r="AJ177" s="176">
        <f>SUM(AJ$98:AJ126)</f>
        <v>237774.08999999997</v>
      </c>
      <c r="AK177" s="176">
        <f>SUM(AK$98:AK126)</f>
        <v>129661.01000000001</v>
      </c>
      <c r="AL177" s="176">
        <f>SUM(AL$98:AL126)</f>
        <v>39963.089999999982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35923.329999999994</v>
      </c>
      <c r="D178" s="176">
        <f>SUM(D$98:D127)</f>
        <v>137813.97000000003</v>
      </c>
      <c r="E178" s="176">
        <f>SUM(E$98:E127)</f>
        <v>109952.08999999998</v>
      </c>
      <c r="F178" s="176">
        <f>SUM(F$98:F127)</f>
        <v>52327.960000000014</v>
      </c>
      <c r="G178" s="176">
        <f>SUM(G$98:G127)</f>
        <v>69182.52999999997</v>
      </c>
      <c r="H178" s="176">
        <f>SUM(H$98:H127)</f>
        <v>53239.62</v>
      </c>
      <c r="I178" s="176">
        <f>SUM(I$98:I127)</f>
        <v>72197.69</v>
      </c>
      <c r="J178" s="176">
        <f>SUM(J$98:J127)</f>
        <v>62006.120000000024</v>
      </c>
      <c r="K178" s="176">
        <f>SUM(K$98:K127)</f>
        <v>56568.250000000022</v>
      </c>
      <c r="L178" s="176">
        <f>SUM(L$98:L127)</f>
        <v>41234.950000000004</v>
      </c>
      <c r="M178" s="176">
        <f>SUM(M$98:M127)</f>
        <v>49796.490000000005</v>
      </c>
      <c r="N178" s="176">
        <f>SUM(N$98:N127)</f>
        <v>41139.020000000004</v>
      </c>
      <c r="O178" s="176">
        <f>SUM(O$98:O127)</f>
        <v>44270.220000000016</v>
      </c>
      <c r="P178" s="176">
        <f>SUM(P$98:P127)</f>
        <v>42733.460000000028</v>
      </c>
      <c r="Q178" s="176">
        <f>SUM(Q$98:Q127)</f>
        <v>50754.500000000015</v>
      </c>
      <c r="R178" s="176">
        <f>SUM(R$98:R127)</f>
        <v>50857.87</v>
      </c>
      <c r="S178" s="176">
        <f>SUM(S$98:S127)</f>
        <v>50468.810000000019</v>
      </c>
      <c r="T178" s="176">
        <f>SUM(T$98:T127)</f>
        <v>73966.600000000006</v>
      </c>
      <c r="U178" s="176">
        <f>SUM(U$98:U127)</f>
        <v>67051.33</v>
      </c>
      <c r="V178" s="176">
        <f>SUM(V$98:V127)</f>
        <v>49619.499999999993</v>
      </c>
      <c r="W178" s="176">
        <f>SUM(W$98:W127)</f>
        <v>80679.75</v>
      </c>
      <c r="X178" s="176">
        <f>SUM(X$98:X127)</f>
        <v>37360.250000000007</v>
      </c>
      <c r="Y178" s="176">
        <f>SUM(Y$98:Y127)</f>
        <v>38825.97</v>
      </c>
      <c r="Z178" s="176">
        <f>SUM(Z$98:Z127)</f>
        <v>246035.78999999998</v>
      </c>
      <c r="AA178" s="176">
        <f>SUM(AA$98:AA127)</f>
        <v>247390.29</v>
      </c>
      <c r="AB178" s="176">
        <f>SUM(AB$98:AB127)</f>
        <v>340659.39000000025</v>
      </c>
      <c r="AC178" s="176">
        <f>SUM(AC$98:AC127)</f>
        <v>264873.73000000004</v>
      </c>
      <c r="AD178" s="176">
        <f>SUM(AD$98:AD127)</f>
        <v>302917.12</v>
      </c>
      <c r="AE178" s="176">
        <f>SUM(AE$98:AE127)</f>
        <v>291451.95</v>
      </c>
      <c r="AF178" s="176">
        <f>SUM(AF$98:AF127)</f>
        <v>226458.18999999994</v>
      </c>
      <c r="AG178" s="176">
        <f>SUM(AG$98:AG127)</f>
        <v>281445.81000000017</v>
      </c>
      <c r="AH178" s="176">
        <f>SUM(AH$98:AH127)</f>
        <v>282059.79000000004</v>
      </c>
      <c r="AI178" s="176">
        <f>SUM(AI$98:AI127)</f>
        <v>233438.95000000007</v>
      </c>
      <c r="AJ178" s="176">
        <f>SUM(AJ$98:AJ127)</f>
        <v>237774.08999999997</v>
      </c>
      <c r="AK178" s="176">
        <f>SUM(AK$98:AK127)</f>
        <v>129661.01000000001</v>
      </c>
      <c r="AL178" s="176">
        <f>SUM(AL$98:AL127)</f>
        <v>39963.089999999982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35923.329999999994</v>
      </c>
      <c r="D179" s="176">
        <f>SUM(D$98:D128)</f>
        <v>137813.97000000003</v>
      </c>
      <c r="E179" s="176">
        <f>SUM(E$98:E128)</f>
        <v>109952.08999999998</v>
      </c>
      <c r="F179" s="176">
        <f>SUM(F$98:F128)</f>
        <v>52327.960000000014</v>
      </c>
      <c r="G179" s="176">
        <f>SUM(G$98:G128)</f>
        <v>69182.52999999997</v>
      </c>
      <c r="H179" s="176">
        <f>SUM(H$98:H128)</f>
        <v>53239.62</v>
      </c>
      <c r="I179" s="176">
        <f>SUM(I$98:I128)</f>
        <v>72197.69</v>
      </c>
      <c r="J179" s="176">
        <f>SUM(J$98:J128)</f>
        <v>62006.120000000024</v>
      </c>
      <c r="K179" s="176">
        <f>SUM(K$98:K128)</f>
        <v>56568.250000000022</v>
      </c>
      <c r="L179" s="176">
        <f>SUM(L$98:L128)</f>
        <v>41234.950000000004</v>
      </c>
      <c r="M179" s="176">
        <f>SUM(M$98:M128)</f>
        <v>49796.490000000005</v>
      </c>
      <c r="N179" s="176">
        <f>SUM(N$98:N128)</f>
        <v>41139.020000000004</v>
      </c>
      <c r="O179" s="176">
        <f>SUM(O$98:O128)</f>
        <v>44270.220000000016</v>
      </c>
      <c r="P179" s="176">
        <f>SUM(P$98:P128)</f>
        <v>42733.460000000028</v>
      </c>
      <c r="Q179" s="176">
        <f>SUM(Q$98:Q128)</f>
        <v>50754.500000000015</v>
      </c>
      <c r="R179" s="176">
        <f>SUM(R$98:R128)</f>
        <v>50857.87</v>
      </c>
      <c r="S179" s="176">
        <f>SUM(S$98:S128)</f>
        <v>50468.810000000019</v>
      </c>
      <c r="T179" s="176">
        <f>SUM(T$98:T128)</f>
        <v>73966.600000000006</v>
      </c>
      <c r="U179" s="176">
        <f>SUM(U$98:U128)</f>
        <v>67051.33</v>
      </c>
      <c r="V179" s="176">
        <f>SUM(V$98:V128)</f>
        <v>49619.499999999993</v>
      </c>
      <c r="W179" s="176">
        <f>SUM(W$98:W128)</f>
        <v>80679.75</v>
      </c>
      <c r="X179" s="176">
        <f>SUM(X$98:X128)</f>
        <v>37360.250000000007</v>
      </c>
      <c r="Y179" s="176">
        <f>SUM(Y$98:Y128)</f>
        <v>38825.97</v>
      </c>
      <c r="Z179" s="176">
        <f>SUM(Z$98:Z128)</f>
        <v>246035.78999999998</v>
      </c>
      <c r="AA179" s="176">
        <f>SUM(AA$98:AA128)</f>
        <v>247390.29</v>
      </c>
      <c r="AB179" s="176">
        <f>SUM(AB$98:AB128)</f>
        <v>340659.39000000025</v>
      </c>
      <c r="AC179" s="176">
        <f>SUM(AC$98:AC128)</f>
        <v>264873.73000000004</v>
      </c>
      <c r="AD179" s="176">
        <f>SUM(AD$98:AD128)</f>
        <v>302917.12</v>
      </c>
      <c r="AE179" s="176">
        <f>SUM(AE$98:AE128)</f>
        <v>291451.95</v>
      </c>
      <c r="AF179" s="176">
        <f>SUM(AF$98:AF128)</f>
        <v>226458.18999999994</v>
      </c>
      <c r="AG179" s="176">
        <f>SUM(AG$98:AG128)</f>
        <v>281445.81000000017</v>
      </c>
      <c r="AH179" s="176">
        <f>SUM(AH$98:AH128)</f>
        <v>282059.79000000004</v>
      </c>
      <c r="AI179" s="176">
        <f>SUM(AI$98:AI128)</f>
        <v>233438.95000000007</v>
      </c>
      <c r="AJ179" s="176">
        <f>SUM(AJ$98:AJ128)</f>
        <v>237774.08999999997</v>
      </c>
      <c r="AK179" s="176">
        <f>SUM(AK$98:AK128)</f>
        <v>129661.01000000001</v>
      </c>
      <c r="AL179" s="176">
        <f>SUM(AL$98:AL128)</f>
        <v>39963.089999999982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35923.329999999994</v>
      </c>
      <c r="D180" s="176">
        <f>SUM(D$98:D129)</f>
        <v>137813.97000000003</v>
      </c>
      <c r="E180" s="176">
        <f>SUM(E$98:E129)</f>
        <v>109952.08999999998</v>
      </c>
      <c r="F180" s="176">
        <f>SUM(F$98:F129)</f>
        <v>52327.960000000014</v>
      </c>
      <c r="G180" s="176">
        <f>SUM(G$98:G129)</f>
        <v>69182.52999999997</v>
      </c>
      <c r="H180" s="176">
        <f>SUM(H$98:H129)</f>
        <v>53239.62</v>
      </c>
      <c r="I180" s="176">
        <f>SUM(I$98:I129)</f>
        <v>72197.69</v>
      </c>
      <c r="J180" s="176">
        <f>SUM(J$98:J129)</f>
        <v>62006.120000000024</v>
      </c>
      <c r="K180" s="176">
        <f>SUM(K$98:K129)</f>
        <v>56568.250000000022</v>
      </c>
      <c r="L180" s="176">
        <f>SUM(L$98:L129)</f>
        <v>41234.950000000004</v>
      </c>
      <c r="M180" s="176">
        <f>SUM(M$98:M129)</f>
        <v>49796.490000000005</v>
      </c>
      <c r="N180" s="176">
        <f>SUM(N$98:N129)</f>
        <v>41139.020000000004</v>
      </c>
      <c r="O180" s="176">
        <f>SUM(O$98:O129)</f>
        <v>44270.220000000016</v>
      </c>
      <c r="P180" s="176">
        <f>SUM(P$98:P129)</f>
        <v>42733.460000000028</v>
      </c>
      <c r="Q180" s="176">
        <f>SUM(Q$98:Q129)</f>
        <v>50754.500000000015</v>
      </c>
      <c r="R180" s="176">
        <f>SUM(R$98:R129)</f>
        <v>50857.87</v>
      </c>
      <c r="S180" s="176">
        <f>SUM(S$98:S129)</f>
        <v>50468.810000000019</v>
      </c>
      <c r="T180" s="176">
        <f>SUM(T$98:T129)</f>
        <v>73966.600000000006</v>
      </c>
      <c r="U180" s="176">
        <f>SUM(U$98:U129)</f>
        <v>67051.33</v>
      </c>
      <c r="V180" s="176">
        <f>SUM(V$98:V129)</f>
        <v>49619.499999999993</v>
      </c>
      <c r="W180" s="176">
        <f>SUM(W$98:W129)</f>
        <v>80679.75</v>
      </c>
      <c r="X180" s="176">
        <f>SUM(X$98:X129)</f>
        <v>37360.250000000007</v>
      </c>
      <c r="Y180" s="176">
        <f>SUM(Y$98:Y129)</f>
        <v>38825.97</v>
      </c>
      <c r="Z180" s="176">
        <f>SUM(Z$98:Z129)</f>
        <v>246035.78999999998</v>
      </c>
      <c r="AA180" s="176">
        <f>SUM(AA$98:AA129)</f>
        <v>247390.29</v>
      </c>
      <c r="AB180" s="176">
        <f>SUM(AB$98:AB129)</f>
        <v>340659.39000000025</v>
      </c>
      <c r="AC180" s="176">
        <f>SUM(AC$98:AC129)</f>
        <v>264873.73000000004</v>
      </c>
      <c r="AD180" s="176">
        <f>SUM(AD$98:AD129)</f>
        <v>302917.12</v>
      </c>
      <c r="AE180" s="176">
        <f>SUM(AE$98:AE129)</f>
        <v>291451.95</v>
      </c>
      <c r="AF180" s="176">
        <f>SUM(AF$98:AF129)</f>
        <v>226458.18999999994</v>
      </c>
      <c r="AG180" s="176">
        <f>SUM(AG$98:AG129)</f>
        <v>281445.81000000017</v>
      </c>
      <c r="AH180" s="176">
        <f>SUM(AH$98:AH129)</f>
        <v>282059.79000000004</v>
      </c>
      <c r="AI180" s="176">
        <f>SUM(AI$98:AI129)</f>
        <v>233438.95000000007</v>
      </c>
      <c r="AJ180" s="176">
        <f>SUM(AJ$98:AJ129)</f>
        <v>237774.08999999997</v>
      </c>
      <c r="AK180" s="176">
        <f>SUM(AK$98:AK129)</f>
        <v>129661.01000000001</v>
      </c>
      <c r="AL180" s="176">
        <f>SUM(AL$98:AL129)</f>
        <v>39963.089999999982</v>
      </c>
    </row>
    <row r="181" spans="1:46" x14ac:dyDescent="0.2">
      <c r="A181" s="568" t="s">
        <v>1051</v>
      </c>
      <c r="B181" s="6"/>
      <c r="C181" s="176">
        <f>SUM(C$98:C130)</f>
        <v>35923.329999999994</v>
      </c>
      <c r="D181" s="176">
        <f>SUM(D$98:D130)</f>
        <v>137813.97000000003</v>
      </c>
      <c r="E181" s="176">
        <f>SUM(E$98:E130)</f>
        <v>109952.08999999998</v>
      </c>
      <c r="F181" s="176">
        <f>SUM(F$98:F130)</f>
        <v>52327.960000000014</v>
      </c>
      <c r="G181" s="176">
        <f>SUM(G$98:G130)</f>
        <v>69182.52999999997</v>
      </c>
      <c r="H181" s="176">
        <f>SUM(H$98:H130)</f>
        <v>53239.62</v>
      </c>
      <c r="I181" s="176">
        <f>SUM(I$98:I130)</f>
        <v>72197.69</v>
      </c>
      <c r="J181" s="176">
        <f>SUM(J$98:J130)</f>
        <v>62006.120000000024</v>
      </c>
      <c r="K181" s="176">
        <f>SUM(K$98:K130)</f>
        <v>56568.250000000022</v>
      </c>
      <c r="L181" s="176">
        <f>SUM(L$98:L130)</f>
        <v>41234.950000000004</v>
      </c>
      <c r="M181" s="176">
        <f>SUM(M$98:M130)</f>
        <v>49796.490000000005</v>
      </c>
      <c r="N181" s="176">
        <f>SUM(N$98:N130)</f>
        <v>41139.020000000004</v>
      </c>
      <c r="O181" s="176">
        <f>SUM(O$98:O130)</f>
        <v>44270.220000000016</v>
      </c>
      <c r="P181" s="176">
        <f>SUM(P$98:P130)</f>
        <v>42733.460000000028</v>
      </c>
      <c r="Q181" s="176">
        <f>SUM(Q$98:Q130)</f>
        <v>50754.500000000015</v>
      </c>
      <c r="R181" s="176">
        <f>SUM(R$98:R130)</f>
        <v>50857.87</v>
      </c>
      <c r="S181" s="176">
        <f>SUM(S$98:S130)</f>
        <v>50468.810000000019</v>
      </c>
      <c r="T181" s="176">
        <f>SUM(T$98:T130)</f>
        <v>73966.600000000006</v>
      </c>
      <c r="U181" s="176">
        <f>SUM(U$98:U130)</f>
        <v>67051.33</v>
      </c>
      <c r="V181" s="176">
        <f>SUM(V$98:V130)</f>
        <v>49619.499999999993</v>
      </c>
      <c r="W181" s="176">
        <f>SUM(W$98:W130)</f>
        <v>80679.75</v>
      </c>
      <c r="X181" s="176">
        <f>SUM(X$98:X130)</f>
        <v>37360.250000000007</v>
      </c>
      <c r="Y181" s="176">
        <f>SUM(Y$98:Y130)</f>
        <v>38825.97</v>
      </c>
      <c r="Z181" s="176">
        <f>SUM(Z$98:Z130)</f>
        <v>246035.78999999998</v>
      </c>
      <c r="AA181" s="176">
        <f>SUM(AA$98:AA130)</f>
        <v>247390.29</v>
      </c>
      <c r="AB181" s="176">
        <f>SUM(AB$98:AB130)</f>
        <v>340659.39000000025</v>
      </c>
      <c r="AC181" s="176">
        <f>SUM(AC$98:AC130)</f>
        <v>264873.73000000004</v>
      </c>
      <c r="AD181" s="176">
        <f>SUM(AD$98:AD130)</f>
        <v>302917.12</v>
      </c>
      <c r="AE181" s="176">
        <f>SUM(AE$98:AE130)</f>
        <v>291451.95</v>
      </c>
      <c r="AF181" s="176">
        <f>SUM(AF$98:AF130)</f>
        <v>226458.18999999994</v>
      </c>
      <c r="AG181" s="176">
        <f>SUM(AG$98:AG130)</f>
        <v>281445.81000000017</v>
      </c>
      <c r="AH181" s="176">
        <f>SUM(AH$98:AH130)</f>
        <v>282059.79000000004</v>
      </c>
      <c r="AI181" s="176">
        <f>SUM(AI$98:AI130)</f>
        <v>233438.95000000007</v>
      </c>
      <c r="AJ181" s="176">
        <f>SUM(AJ$98:AJ130)</f>
        <v>237774.08999999997</v>
      </c>
      <c r="AK181" s="176">
        <f>SUM(AK$98:AK130)</f>
        <v>129661.01000000001</v>
      </c>
      <c r="AL181" s="176">
        <f>SUM(AL$98:AL130)</f>
        <v>39963.089999999982</v>
      </c>
    </row>
    <row r="182" spans="1:46" x14ac:dyDescent="0.2">
      <c r="A182" s="568" t="s">
        <v>1052</v>
      </c>
      <c r="B182" s="6"/>
      <c r="C182" s="176">
        <f>SUM(C$98:C131)</f>
        <v>35923.329999999994</v>
      </c>
      <c r="D182" s="176">
        <f>SUM(D$98:D131)</f>
        <v>137813.97000000003</v>
      </c>
      <c r="E182" s="176">
        <f>SUM(E$98:E131)</f>
        <v>109952.08999999998</v>
      </c>
      <c r="F182" s="176">
        <f>SUM(F$98:F131)</f>
        <v>52327.960000000014</v>
      </c>
      <c r="G182" s="176">
        <f>SUM(G$98:G131)</f>
        <v>69182.52999999997</v>
      </c>
      <c r="H182" s="176">
        <f>SUM(H$98:H131)</f>
        <v>53239.62</v>
      </c>
      <c r="I182" s="176">
        <f>SUM(I$98:I131)</f>
        <v>72197.69</v>
      </c>
      <c r="J182" s="176">
        <f>SUM(J$98:J131)</f>
        <v>62006.120000000024</v>
      </c>
      <c r="K182" s="176">
        <f>SUM(K$98:K131)</f>
        <v>56568.250000000022</v>
      </c>
      <c r="L182" s="176">
        <f>SUM(L$98:L131)</f>
        <v>41234.950000000004</v>
      </c>
      <c r="M182" s="176">
        <f>SUM(M$98:M131)</f>
        <v>49796.490000000005</v>
      </c>
      <c r="N182" s="176">
        <f>SUM(N$98:N131)</f>
        <v>41139.020000000004</v>
      </c>
      <c r="O182" s="176">
        <f>SUM(O$98:O131)</f>
        <v>44270.220000000016</v>
      </c>
      <c r="P182" s="176">
        <f>SUM(P$98:P131)</f>
        <v>42733.460000000028</v>
      </c>
      <c r="Q182" s="176">
        <f>SUM(Q$98:Q131)</f>
        <v>50754.500000000015</v>
      </c>
      <c r="R182" s="176">
        <f>SUM(R$98:R131)</f>
        <v>50857.87</v>
      </c>
      <c r="S182" s="176">
        <f>SUM(S$98:S131)</f>
        <v>50468.810000000019</v>
      </c>
      <c r="T182" s="176">
        <f>SUM(T$98:T131)</f>
        <v>73966.600000000006</v>
      </c>
      <c r="U182" s="176">
        <f>SUM(U$98:U131)</f>
        <v>67051.33</v>
      </c>
      <c r="V182" s="176">
        <f>SUM(V$98:V131)</f>
        <v>49619.499999999993</v>
      </c>
      <c r="W182" s="176">
        <f>SUM(W$98:W131)</f>
        <v>80679.75</v>
      </c>
      <c r="X182" s="176">
        <f>SUM(X$98:X131)</f>
        <v>37360.250000000007</v>
      </c>
      <c r="Y182" s="176">
        <f>SUM(Y$98:Y131)</f>
        <v>38825.97</v>
      </c>
      <c r="Z182" s="176">
        <f>SUM(Z$98:Z131)</f>
        <v>246035.78999999998</v>
      </c>
      <c r="AA182" s="176">
        <f>SUM(AA$98:AA131)</f>
        <v>247390.29</v>
      </c>
      <c r="AB182" s="176">
        <f>SUM(AB$98:AB131)</f>
        <v>340659.39000000025</v>
      </c>
      <c r="AC182" s="176">
        <f>SUM(AC$98:AC131)</f>
        <v>264873.73000000004</v>
      </c>
      <c r="AD182" s="176">
        <f>SUM(AD$98:AD131)</f>
        <v>302917.12</v>
      </c>
      <c r="AE182" s="176">
        <f>SUM(AE$98:AE131)</f>
        <v>291451.95</v>
      </c>
      <c r="AF182" s="176">
        <f>SUM(AF$98:AF131)</f>
        <v>226458.18999999994</v>
      </c>
      <c r="AG182" s="176">
        <f>SUM(AG$98:AG131)</f>
        <v>281445.81000000017</v>
      </c>
      <c r="AH182" s="176">
        <f>SUM(AH$98:AH131)</f>
        <v>282059.79000000004</v>
      </c>
      <c r="AI182" s="176">
        <f>SUM(AI$98:AI131)</f>
        <v>233438.95000000007</v>
      </c>
      <c r="AJ182" s="176">
        <f>SUM(AJ$98:AJ131)</f>
        <v>237774.08999999997</v>
      </c>
      <c r="AK182" s="176">
        <f>SUM(AK$98:AK131)</f>
        <v>129661.01000000001</v>
      </c>
      <c r="AL182" s="176">
        <f>SUM(AL$98:AL131)</f>
        <v>39963.089999999982</v>
      </c>
    </row>
    <row r="183" spans="1:46" x14ac:dyDescent="0.2">
      <c r="A183" s="568" t="s">
        <v>1053</v>
      </c>
      <c r="B183" s="6"/>
      <c r="C183" s="176">
        <f>SUM(C$98:C132)</f>
        <v>35923.329999999994</v>
      </c>
      <c r="D183" s="176">
        <f>SUM(D$98:D132)</f>
        <v>137813.97000000003</v>
      </c>
      <c r="E183" s="176">
        <f>SUM(E$98:E132)</f>
        <v>109952.08999999998</v>
      </c>
      <c r="F183" s="176">
        <f>SUM(F$98:F132)</f>
        <v>52327.960000000014</v>
      </c>
      <c r="G183" s="176">
        <f>SUM(G$98:G132)</f>
        <v>69182.52999999997</v>
      </c>
      <c r="H183" s="176">
        <f>SUM(H$98:H132)</f>
        <v>53239.62</v>
      </c>
      <c r="I183" s="176">
        <f>SUM(I$98:I132)</f>
        <v>72197.69</v>
      </c>
      <c r="J183" s="176">
        <f>SUM(J$98:J132)</f>
        <v>62006.120000000024</v>
      </c>
      <c r="K183" s="176">
        <f>SUM(K$98:K132)</f>
        <v>56568.250000000022</v>
      </c>
      <c r="L183" s="176">
        <f>SUM(L$98:L132)</f>
        <v>41234.950000000004</v>
      </c>
      <c r="M183" s="176">
        <f>SUM(M$98:M132)</f>
        <v>49796.490000000005</v>
      </c>
      <c r="N183" s="176">
        <f>SUM(N$98:N132)</f>
        <v>41139.020000000004</v>
      </c>
      <c r="O183" s="176">
        <f>SUM(O$98:O132)</f>
        <v>44270.220000000016</v>
      </c>
      <c r="P183" s="176">
        <f>SUM(P$98:P132)</f>
        <v>42733.460000000028</v>
      </c>
      <c r="Q183" s="176">
        <f>SUM(Q$98:Q132)</f>
        <v>50754.500000000015</v>
      </c>
      <c r="R183" s="176">
        <f>SUM(R$98:R132)</f>
        <v>50857.87</v>
      </c>
      <c r="S183" s="176">
        <f>SUM(S$98:S132)</f>
        <v>50468.810000000019</v>
      </c>
      <c r="T183" s="176">
        <f>SUM(T$98:T132)</f>
        <v>73966.600000000006</v>
      </c>
      <c r="U183" s="176">
        <f>SUM(U$98:U132)</f>
        <v>67051.33</v>
      </c>
      <c r="V183" s="176">
        <f>SUM(V$98:V132)</f>
        <v>49619.499999999993</v>
      </c>
      <c r="W183" s="176">
        <f>SUM(W$98:W132)</f>
        <v>80679.75</v>
      </c>
      <c r="X183" s="176">
        <f>SUM(X$98:X132)</f>
        <v>37360.250000000007</v>
      </c>
      <c r="Y183" s="176">
        <f>SUM(Y$98:Y132)</f>
        <v>38825.97</v>
      </c>
      <c r="Z183" s="176">
        <f>SUM(Z$98:Z132)</f>
        <v>246035.78999999998</v>
      </c>
      <c r="AA183" s="176">
        <f>SUM(AA$98:AA132)</f>
        <v>247390.29</v>
      </c>
      <c r="AB183" s="176">
        <f>SUM(AB$98:AB132)</f>
        <v>340659.39000000025</v>
      </c>
      <c r="AC183" s="176">
        <f>SUM(AC$98:AC132)</f>
        <v>264873.73000000004</v>
      </c>
      <c r="AD183" s="176">
        <f>SUM(AD$98:AD132)</f>
        <v>302917.12</v>
      </c>
      <c r="AE183" s="176">
        <f>SUM(AE$98:AE132)</f>
        <v>291451.95</v>
      </c>
      <c r="AF183" s="176">
        <f>SUM(AF$98:AF132)</f>
        <v>226458.18999999994</v>
      </c>
      <c r="AG183" s="176">
        <f>SUM(AG$98:AG132)</f>
        <v>281445.81000000017</v>
      </c>
      <c r="AH183" s="176">
        <f>SUM(AH$98:AH132)</f>
        <v>282059.79000000004</v>
      </c>
      <c r="AI183" s="176">
        <f>SUM(AI$98:AI132)</f>
        <v>233438.95000000007</v>
      </c>
      <c r="AJ183" s="176">
        <f>SUM(AJ$98:AJ132)</f>
        <v>237774.08999999997</v>
      </c>
      <c r="AK183" s="176">
        <f>SUM(AK$98:AK132)</f>
        <v>129661.01000000001</v>
      </c>
      <c r="AL183" s="176">
        <f>SUM(AL$98:AL132)</f>
        <v>39963.089999999982</v>
      </c>
    </row>
    <row r="184" spans="1:46" x14ac:dyDescent="0.2">
      <c r="A184" s="568" t="s">
        <v>1054</v>
      </c>
      <c r="B184" s="6"/>
      <c r="C184" s="176">
        <f>SUM(C$98:C133)</f>
        <v>35923.329999999994</v>
      </c>
      <c r="D184" s="176">
        <f>SUM(D$98:D133)</f>
        <v>137813.97000000003</v>
      </c>
      <c r="E184" s="176">
        <f>SUM(E$98:E133)</f>
        <v>109952.08999999998</v>
      </c>
      <c r="F184" s="176">
        <f>SUM(F$98:F133)</f>
        <v>52327.960000000014</v>
      </c>
      <c r="G184" s="176">
        <f>SUM(G$98:G133)</f>
        <v>69182.52999999997</v>
      </c>
      <c r="H184" s="176">
        <f>SUM(H$98:H133)</f>
        <v>53239.62</v>
      </c>
      <c r="I184" s="176">
        <f>SUM(I$98:I133)</f>
        <v>72197.69</v>
      </c>
      <c r="J184" s="176">
        <f>SUM(J$98:J133)</f>
        <v>62006.120000000024</v>
      </c>
      <c r="K184" s="176">
        <f>SUM(K$98:K133)</f>
        <v>56568.250000000022</v>
      </c>
      <c r="L184" s="176">
        <f>SUM(L$98:L133)</f>
        <v>41234.950000000004</v>
      </c>
      <c r="M184" s="176">
        <f>SUM(M$98:M133)</f>
        <v>49796.490000000005</v>
      </c>
      <c r="N184" s="176">
        <f>SUM(N$98:N133)</f>
        <v>41139.020000000004</v>
      </c>
      <c r="O184" s="176">
        <f>SUM(O$98:O133)</f>
        <v>44270.220000000016</v>
      </c>
      <c r="P184" s="176">
        <f>SUM(P$98:P133)</f>
        <v>42733.460000000028</v>
      </c>
      <c r="Q184" s="176">
        <f>SUM(Q$98:Q133)</f>
        <v>50754.500000000015</v>
      </c>
      <c r="R184" s="176">
        <f>SUM(R$98:R133)</f>
        <v>50857.87</v>
      </c>
      <c r="S184" s="176">
        <f>SUM(S$98:S133)</f>
        <v>50468.810000000019</v>
      </c>
      <c r="T184" s="176">
        <f>SUM(T$98:T133)</f>
        <v>73966.600000000006</v>
      </c>
      <c r="U184" s="176">
        <f>SUM(U$98:U133)</f>
        <v>67051.33</v>
      </c>
      <c r="V184" s="176">
        <f>SUM(V$98:V133)</f>
        <v>49619.499999999993</v>
      </c>
      <c r="W184" s="176">
        <f>SUM(W$98:W133)</f>
        <v>80679.75</v>
      </c>
      <c r="X184" s="176">
        <f>SUM(X$98:X133)</f>
        <v>37360.250000000007</v>
      </c>
      <c r="Y184" s="176">
        <f>SUM(Y$98:Y133)</f>
        <v>38825.97</v>
      </c>
      <c r="Z184" s="176">
        <f>SUM(Z$98:Z133)</f>
        <v>246035.78999999998</v>
      </c>
      <c r="AA184" s="176">
        <f>SUM(AA$98:AA133)</f>
        <v>247390.29</v>
      </c>
      <c r="AB184" s="176">
        <f>SUM(AB$98:AB133)</f>
        <v>340659.39000000025</v>
      </c>
      <c r="AC184" s="176">
        <f>SUM(AC$98:AC133)</f>
        <v>264873.73000000004</v>
      </c>
      <c r="AD184" s="176">
        <f>SUM(AD$98:AD133)</f>
        <v>302917.12</v>
      </c>
      <c r="AE184" s="176">
        <f>SUM(AE$98:AE133)</f>
        <v>291451.95</v>
      </c>
      <c r="AF184" s="176">
        <f>SUM(AF$98:AF133)</f>
        <v>226458.18999999994</v>
      </c>
      <c r="AG184" s="176">
        <f>SUM(AG$98:AG133)</f>
        <v>281445.81000000017</v>
      </c>
      <c r="AH184" s="176">
        <f>SUM(AH$98:AH133)</f>
        <v>282059.79000000004</v>
      </c>
      <c r="AI184" s="176">
        <f>SUM(AI$98:AI133)</f>
        <v>233438.95000000007</v>
      </c>
      <c r="AJ184" s="176">
        <f>SUM(AJ$98:AJ133)</f>
        <v>237774.08999999997</v>
      </c>
      <c r="AK184" s="176">
        <f>SUM(AK$98:AK133)</f>
        <v>129661.01000000001</v>
      </c>
      <c r="AL184" s="176">
        <f>SUM(AL$98:AL133)</f>
        <v>39963.089999999982</v>
      </c>
    </row>
    <row r="187" spans="1:46" x14ac:dyDescent="0.2">
      <c r="C187" s="3" t="str">
        <f>+$C$1</f>
        <v>AAMG - Commercial</v>
      </c>
      <c r="M187" s="3" t="s">
        <v>471</v>
      </c>
      <c r="O187" s="3" t="str">
        <f>+$C$1</f>
        <v>AAMG - Commercial</v>
      </c>
      <c r="Y187" s="130" t="s">
        <v>473</v>
      </c>
      <c r="AA187" s="3" t="str">
        <f>+$C$1</f>
        <v>AAMG - Commercial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0.53260162540068878</v>
      </c>
      <c r="D193" s="177">
        <f t="shared" si="87"/>
        <v>0.28812799872790568</v>
      </c>
      <c r="E193" s="177">
        <f t="shared" si="87"/>
        <v>0.21902920837944384</v>
      </c>
      <c r="F193" s="177">
        <f t="shared" si="87"/>
        <v>0.39674291610600898</v>
      </c>
      <c r="G193" s="177">
        <f t="shared" si="87"/>
        <v>0.22431694493070284</v>
      </c>
      <c r="H193" s="177">
        <f t="shared" si="87"/>
        <v>0.53228900271794888</v>
      </c>
      <c r="I193" s="177">
        <f t="shared" si="87"/>
        <v>0.13101580569443672</v>
      </c>
      <c r="J193" s="177">
        <f t="shared" si="87"/>
        <v>0.24540392288879861</v>
      </c>
      <c r="K193" s="177">
        <f t="shared" si="87"/>
        <v>0.39107227253263138</v>
      </c>
      <c r="L193" s="177">
        <f t="shared" si="87"/>
        <v>0.37692093975295643</v>
      </c>
      <c r="M193" s="177">
        <f t="shared" si="87"/>
        <v>0.42312649999222701</v>
      </c>
      <c r="N193" s="177">
        <f t="shared" si="87"/>
        <v>0.53241491488727111</v>
      </c>
      <c r="O193" s="177">
        <f t="shared" si="87"/>
        <v>0.33600799899405709</v>
      </c>
      <c r="P193" s="177">
        <f t="shared" si="87"/>
        <v>0.38293291452383688</v>
      </c>
      <c r="Q193" s="177">
        <f t="shared" si="87"/>
        <v>0.60284015257221757</v>
      </c>
      <c r="R193" s="177">
        <f t="shared" si="87"/>
        <v>0.38190619966649514</v>
      </c>
      <c r="S193" s="177">
        <f t="shared" si="87"/>
        <v>0.29528941407155668</v>
      </c>
      <c r="T193" s="177">
        <f t="shared" si="87"/>
        <v>0.45188723298670069</v>
      </c>
      <c r="U193" s="177">
        <f t="shared" si="87"/>
        <v>0.47652521787903734</v>
      </c>
      <c r="V193" s="177">
        <f t="shared" si="87"/>
        <v>0.11760011585772429</v>
      </c>
      <c r="W193" s="177">
        <f t="shared" si="87"/>
        <v>0.31794629360339804</v>
      </c>
      <c r="X193" s="177">
        <f t="shared" si="87"/>
        <v>0.31925285598557024</v>
      </c>
      <c r="Y193" s="177">
        <f t="shared" si="87"/>
        <v>0.30268565816485504</v>
      </c>
      <c r="Z193" s="177">
        <f t="shared" si="87"/>
        <v>0.1607396699617063</v>
      </c>
      <c r="AA193" s="177">
        <f t="shared" si="87"/>
        <v>0.29179243347684647</v>
      </c>
      <c r="AB193" s="177">
        <f t="shared" si="87"/>
        <v>0.16491491648789969</v>
      </c>
      <c r="AC193" s="177">
        <f t="shared" si="87"/>
        <v>0.21511789521618219</v>
      </c>
      <c r="AD193" s="177">
        <f t="shared" si="87"/>
        <v>0.19002075737064861</v>
      </c>
      <c r="AE193" s="177">
        <f t="shared" si="87"/>
        <v>0.5533712174340536</v>
      </c>
      <c r="AF193" s="177">
        <f t="shared" si="87"/>
        <v>0.2873119925074229</v>
      </c>
      <c r="AG193" s="177">
        <f t="shared" si="87"/>
        <v>0.12326472418516331</v>
      </c>
      <c r="AH193" s="177">
        <f t="shared" si="87"/>
        <v>0.21205501327661852</v>
      </c>
      <c r="AI193" s="177">
        <f t="shared" si="87"/>
        <v>0.18241436035355166</v>
      </c>
      <c r="AJ193" s="177">
        <f t="shared" si="87"/>
        <v>0.20825475713789476</v>
      </c>
      <c r="AK193" s="177">
        <f t="shared" si="87"/>
        <v>0.43330990557608612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0.91583555177602538</v>
      </c>
      <c r="D194" s="177">
        <f t="shared" si="88"/>
        <v>0.85653584806938277</v>
      </c>
      <c r="E194" s="177">
        <f t="shared" si="88"/>
        <v>0.96839535878763883</v>
      </c>
      <c r="F194" s="177">
        <f t="shared" si="88"/>
        <v>0.84859369507840077</v>
      </c>
      <c r="G194" s="177">
        <f t="shared" si="88"/>
        <v>0.97096392378029983</v>
      </c>
      <c r="H194" s="177">
        <f t="shared" si="88"/>
        <v>0.86121964925896022</v>
      </c>
      <c r="I194" s="177">
        <f t="shared" si="88"/>
        <v>0.93522942557028976</v>
      </c>
      <c r="J194" s="177">
        <f t="shared" si="88"/>
        <v>0.92657084110544474</v>
      </c>
      <c r="K194" s="177">
        <f t="shared" si="88"/>
        <v>0.96652325094440383</v>
      </c>
      <c r="L194" s="177">
        <f t="shared" si="88"/>
        <v>0.90401936743171363</v>
      </c>
      <c r="M194" s="177">
        <f t="shared" si="88"/>
        <v>0.97538132843098424</v>
      </c>
      <c r="N194" s="177">
        <f t="shared" si="88"/>
        <v>0.95231908638297946</v>
      </c>
      <c r="O194" s="177">
        <f t="shared" si="88"/>
        <v>0.96470047697374595</v>
      </c>
      <c r="P194" s="177">
        <f t="shared" si="88"/>
        <v>0.96214077957618227</v>
      </c>
      <c r="Q194" s="177">
        <f t="shared" si="88"/>
        <v>0.95651524676946664</v>
      </c>
      <c r="R194" s="177">
        <f t="shared" si="88"/>
        <v>0.93233598660020056</v>
      </c>
      <c r="S194" s="177">
        <f t="shared" si="88"/>
        <v>0.92989874555497343</v>
      </c>
      <c r="T194" s="177">
        <f t="shared" si="88"/>
        <v>0.9617309066663442</v>
      </c>
      <c r="U194" s="177">
        <f t="shared" si="88"/>
        <v>0.48873069475968717</v>
      </c>
      <c r="V194" s="177">
        <f t="shared" si="88"/>
        <v>0.90464713845885103</v>
      </c>
      <c r="W194" s="177">
        <f t="shared" si="88"/>
        <v>0.79356194179406991</v>
      </c>
      <c r="X194" s="177">
        <f t="shared" si="88"/>
        <v>0.96261228309796676</v>
      </c>
      <c r="Y194" s="177">
        <f t="shared" si="88"/>
        <v>0.74764250412277666</v>
      </c>
      <c r="Z194" s="177">
        <f t="shared" si="88"/>
        <v>0.86489330907766182</v>
      </c>
      <c r="AA194" s="177">
        <f t="shared" si="88"/>
        <v>0.82406738812720903</v>
      </c>
      <c r="AB194" s="177">
        <f t="shared" si="88"/>
        <v>0.79509918778316779</v>
      </c>
      <c r="AC194" s="177">
        <f t="shared" si="88"/>
        <v>0.84005979472924375</v>
      </c>
      <c r="AD194" s="177">
        <f t="shared" si="88"/>
        <v>0.91630918842284204</v>
      </c>
      <c r="AE194" s="177">
        <f t="shared" si="88"/>
        <v>0.72773198102016112</v>
      </c>
      <c r="AF194" s="177">
        <f t="shared" si="88"/>
        <v>0.77516067584582693</v>
      </c>
      <c r="AG194" s="177">
        <f t="shared" si="88"/>
        <v>0.82787844379173214</v>
      </c>
      <c r="AH194" s="177">
        <f t="shared" si="88"/>
        <v>0.73043054678053887</v>
      </c>
      <c r="AI194" s="177">
        <f t="shared" si="88"/>
        <v>0.81689747799498469</v>
      </c>
      <c r="AJ194" s="177">
        <f t="shared" si="88"/>
        <v>0.89861489954603546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0.93744507814489864</v>
      </c>
      <c r="D195" s="177">
        <f t="shared" si="89"/>
        <v>0.98042196508435109</v>
      </c>
      <c r="E195" s="177">
        <f t="shared" si="89"/>
        <v>0.96328364505565289</v>
      </c>
      <c r="F195" s="177">
        <f t="shared" si="89"/>
        <v>0.96593563054251419</v>
      </c>
      <c r="G195" s="177">
        <f t="shared" si="89"/>
        <v>0.97673409783325782</v>
      </c>
      <c r="H195" s="177">
        <f t="shared" si="89"/>
        <v>0.94748360788295538</v>
      </c>
      <c r="I195" s="177">
        <f t="shared" si="89"/>
        <v>0.96393918996183536</v>
      </c>
      <c r="J195" s="177">
        <f t="shared" si="89"/>
        <v>0.95064001127502695</v>
      </c>
      <c r="K195" s="177">
        <f t="shared" si="89"/>
        <v>0.95193003052039937</v>
      </c>
      <c r="L195" s="177">
        <f t="shared" si="89"/>
        <v>0.98782300135750056</v>
      </c>
      <c r="M195" s="177">
        <f t="shared" si="89"/>
        <v>0.98912536492418446</v>
      </c>
      <c r="N195" s="177">
        <f t="shared" si="89"/>
        <v>0.96947949878699724</v>
      </c>
      <c r="O195" s="177">
        <f t="shared" si="89"/>
        <v>0.98419096861863598</v>
      </c>
      <c r="P195" s="177">
        <f t="shared" si="89"/>
        <v>0.9847469639653591</v>
      </c>
      <c r="Q195" s="177">
        <f t="shared" si="89"/>
        <v>0.95084100792785553</v>
      </c>
      <c r="R195" s="177">
        <f t="shared" si="89"/>
        <v>0.98353407115879887</v>
      </c>
      <c r="S195" s="177">
        <f t="shared" si="89"/>
        <v>0.98151708537340476</v>
      </c>
      <c r="T195" s="177">
        <f t="shared" si="89"/>
        <v>0.8973595385084927</v>
      </c>
      <c r="U195" s="177">
        <f t="shared" si="89"/>
        <v>0.97574303564657483</v>
      </c>
      <c r="V195" s="177">
        <f t="shared" si="89"/>
        <v>0.97189438975411901</v>
      </c>
      <c r="W195" s="177">
        <f t="shared" si="89"/>
        <v>0.9846290506115577</v>
      </c>
      <c r="X195" s="177">
        <f t="shared" si="89"/>
        <v>0.92571696873595821</v>
      </c>
      <c r="Y195" s="177">
        <f t="shared" si="89"/>
        <v>0.92273562212607096</v>
      </c>
      <c r="Z195" s="177">
        <f t="shared" si="89"/>
        <v>0.9598571899935554</v>
      </c>
      <c r="AA195" s="177">
        <f t="shared" si="89"/>
        <v>0.94885778801013199</v>
      </c>
      <c r="AB195" s="177">
        <f t="shared" si="89"/>
        <v>0.93346253020861603</v>
      </c>
      <c r="AC195" s="177">
        <f t="shared" si="89"/>
        <v>0.95121891976203166</v>
      </c>
      <c r="AD195" s="177">
        <f t="shared" si="89"/>
        <v>0.94142063134092202</v>
      </c>
      <c r="AE195" s="177">
        <f t="shared" si="89"/>
        <v>0.92479664099125691</v>
      </c>
      <c r="AF195" s="177">
        <f t="shared" si="89"/>
        <v>0.94696437395622435</v>
      </c>
      <c r="AG195" s="177">
        <f t="shared" si="89"/>
        <v>0.93965640753876756</v>
      </c>
      <c r="AH195" s="177">
        <f t="shared" si="89"/>
        <v>0.9054121953313824</v>
      </c>
      <c r="AI195" s="177">
        <f t="shared" si="89"/>
        <v>0.91673797367577259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0.98600824675829801</v>
      </c>
      <c r="D196" s="177">
        <f t="shared" si="90"/>
        <v>0.9835324622959396</v>
      </c>
      <c r="E196" s="177">
        <f t="shared" si="90"/>
        <v>0.99309177885852185</v>
      </c>
      <c r="F196" s="177">
        <f t="shared" si="90"/>
        <v>0.98705996925121575</v>
      </c>
      <c r="G196" s="177">
        <f t="shared" si="90"/>
        <v>0.98807857342498351</v>
      </c>
      <c r="H196" s="177">
        <f t="shared" si="90"/>
        <v>0.99228733079975184</v>
      </c>
      <c r="I196" s="177">
        <f t="shared" si="90"/>
        <v>0.97666507723026164</v>
      </c>
      <c r="J196" s="177">
        <f t="shared" si="90"/>
        <v>0.98249224317652306</v>
      </c>
      <c r="K196" s="177">
        <f t="shared" si="90"/>
        <v>0.99395159808768629</v>
      </c>
      <c r="L196" s="177">
        <f t="shared" si="90"/>
        <v>0.99313438660046294</v>
      </c>
      <c r="M196" s="177">
        <f t="shared" si="90"/>
        <v>0.99640030797973134</v>
      </c>
      <c r="N196" s="177">
        <f t="shared" si="90"/>
        <v>0.96528281287455586</v>
      </c>
      <c r="O196" s="177">
        <f t="shared" si="90"/>
        <v>0.99428182121920294</v>
      </c>
      <c r="P196" s="177">
        <f t="shared" si="90"/>
        <v>0.96589320855676997</v>
      </c>
      <c r="Q196" s="177">
        <f t="shared" si="90"/>
        <v>0.99989147137186996</v>
      </c>
      <c r="R196" s="177">
        <f t="shared" si="90"/>
        <v>0.98728984595186386</v>
      </c>
      <c r="S196" s="177">
        <f t="shared" si="90"/>
        <v>0.98548857804972645</v>
      </c>
      <c r="T196" s="177">
        <f t="shared" si="90"/>
        <v>0.99145690929763297</v>
      </c>
      <c r="U196" s="177">
        <f t="shared" si="90"/>
        <v>0.99542936598231124</v>
      </c>
      <c r="V196" s="177">
        <f t="shared" si="90"/>
        <v>0.97117384103898696</v>
      </c>
      <c r="W196" s="177">
        <f t="shared" si="90"/>
        <v>0.98679491362645178</v>
      </c>
      <c r="X196" s="177">
        <f t="shared" si="90"/>
        <v>0.99796222987313432</v>
      </c>
      <c r="Y196" s="177">
        <f t="shared" si="90"/>
        <v>0.97076384547149397</v>
      </c>
      <c r="Z196" s="177">
        <f t="shared" si="90"/>
        <v>0.98195894408377127</v>
      </c>
      <c r="AA196" s="177">
        <f t="shared" si="90"/>
        <v>0.97339930949942355</v>
      </c>
      <c r="AB196" s="177">
        <f t="shared" si="90"/>
        <v>0.97253859083178118</v>
      </c>
      <c r="AC196" s="177">
        <f t="shared" si="90"/>
        <v>0.9696210604428267</v>
      </c>
      <c r="AD196" s="177">
        <f t="shared" si="90"/>
        <v>0.9390372323723476</v>
      </c>
      <c r="AE196" s="177">
        <f t="shared" si="90"/>
        <v>0.95507115323146874</v>
      </c>
      <c r="AF196" s="177">
        <f t="shared" si="90"/>
        <v>0.96679003200805191</v>
      </c>
      <c r="AG196" s="177">
        <f t="shared" si="90"/>
        <v>0.97385946664381506</v>
      </c>
      <c r="AH196" s="177">
        <f t="shared" si="90"/>
        <v>0.99299886027710649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0.97631836069444078</v>
      </c>
      <c r="D197" s="177">
        <f t="shared" si="91"/>
        <v>0.99705155385015565</v>
      </c>
      <c r="E197" s="177">
        <f t="shared" si="91"/>
        <v>0.99811091208099234</v>
      </c>
      <c r="F197" s="177">
        <f t="shared" si="91"/>
        <v>0.98536240413684861</v>
      </c>
      <c r="G197" s="177">
        <f t="shared" si="91"/>
        <v>0.99838188743529155</v>
      </c>
      <c r="H197" s="177">
        <f t="shared" si="91"/>
        <v>0.99502179757371745</v>
      </c>
      <c r="I197" s="177">
        <f t="shared" si="91"/>
        <v>0.99806115023882247</v>
      </c>
      <c r="J197" s="177">
        <f t="shared" si="91"/>
        <v>0.99162338471201439</v>
      </c>
      <c r="K197" s="177">
        <f t="shared" si="91"/>
        <v>0.99547321244830955</v>
      </c>
      <c r="L197" s="177">
        <f t="shared" si="91"/>
        <v>0.97374481264307322</v>
      </c>
      <c r="M197" s="177">
        <f t="shared" si="91"/>
        <v>0.99744516789481541</v>
      </c>
      <c r="N197" s="177">
        <f t="shared" si="91"/>
        <v>0.99314478518729998</v>
      </c>
      <c r="O197" s="177">
        <f t="shared" si="91"/>
        <v>0.99210305608432992</v>
      </c>
      <c r="P197" s="177">
        <f t="shared" si="91"/>
        <v>0.99835111245027108</v>
      </c>
      <c r="Q197" s="177">
        <f t="shared" si="91"/>
        <v>0.99981401412571724</v>
      </c>
      <c r="R197" s="177">
        <f t="shared" si="91"/>
        <v>0.99670158380013385</v>
      </c>
      <c r="S197" s="177">
        <f t="shared" si="91"/>
        <v>0.99620321396690403</v>
      </c>
      <c r="T197" s="177">
        <f t="shared" si="91"/>
        <v>0.9990368977413695</v>
      </c>
      <c r="U197" s="177">
        <f t="shared" si="91"/>
        <v>0.99861773250849617</v>
      </c>
      <c r="V197" s="177">
        <f t="shared" si="91"/>
        <v>0.96671120503046915</v>
      </c>
      <c r="W197" s="177">
        <f t="shared" si="91"/>
        <v>0.67612190519566828</v>
      </c>
      <c r="X197" s="177">
        <f t="shared" si="91"/>
        <v>0.96900180196461849</v>
      </c>
      <c r="Y197" s="177">
        <f t="shared" si="91"/>
        <v>0.95486902580602318</v>
      </c>
      <c r="Z197" s="177">
        <f t="shared" si="91"/>
        <v>0.95813954889431707</v>
      </c>
      <c r="AA197" s="177">
        <f t="shared" si="91"/>
        <v>0.97835439392109491</v>
      </c>
      <c r="AB197" s="177">
        <f t="shared" si="91"/>
        <v>0.98782823240794793</v>
      </c>
      <c r="AC197" s="177">
        <f t="shared" si="91"/>
        <v>0.97937361973421844</v>
      </c>
      <c r="AD197" s="177">
        <f t="shared" si="91"/>
        <v>0.97809724185912361</v>
      </c>
      <c r="AE197" s="177">
        <f t="shared" si="91"/>
        <v>0.9741041161987043</v>
      </c>
      <c r="AF197" s="177">
        <f t="shared" si="91"/>
        <v>0.9601881725816217</v>
      </c>
      <c r="AG197" s="177">
        <f t="shared" si="91"/>
        <v>0.97810242760409194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0.99707992016860225</v>
      </c>
      <c r="D198" s="177">
        <f t="shared" si="92"/>
        <v>0.99760014801057595</v>
      </c>
      <c r="E198" s="177">
        <f t="shared" si="92"/>
        <v>0.99570738118293778</v>
      </c>
      <c r="F198" s="177">
        <f t="shared" si="92"/>
        <v>0.98854322483341772</v>
      </c>
      <c r="G198" s="177">
        <f t="shared" si="92"/>
        <v>0.99735898672375201</v>
      </c>
      <c r="H198" s="177">
        <f t="shared" si="92"/>
        <v>0.94956393599750033</v>
      </c>
      <c r="I198" s="177">
        <f t="shared" si="92"/>
        <v>0.99774131739952387</v>
      </c>
      <c r="J198" s="177">
        <f t="shared" si="92"/>
        <v>0.99616699782076512</v>
      </c>
      <c r="K198" s="177">
        <f t="shared" si="92"/>
        <v>0.93856610212609726</v>
      </c>
      <c r="L198" s="177">
        <f t="shared" si="92"/>
        <v>0.99923279901633877</v>
      </c>
      <c r="M198" s="177">
        <f t="shared" si="92"/>
        <v>0.99917768868006662</v>
      </c>
      <c r="N198" s="177">
        <f t="shared" si="92"/>
        <v>0.99736518771331051</v>
      </c>
      <c r="O198" s="177">
        <f t="shared" si="92"/>
        <v>0.99677142592975321</v>
      </c>
      <c r="P198" s="177">
        <f t="shared" si="92"/>
        <v>1</v>
      </c>
      <c r="Q198" s="177">
        <f t="shared" si="92"/>
        <v>0.9954545916536115</v>
      </c>
      <c r="R198" s="177">
        <f t="shared" si="92"/>
        <v>0.99955112607006924</v>
      </c>
      <c r="S198" s="177">
        <f t="shared" si="92"/>
        <v>0.99691623110917993</v>
      </c>
      <c r="T198" s="177">
        <f t="shared" si="92"/>
        <v>0.99976278402328633</v>
      </c>
      <c r="U198" s="177">
        <f t="shared" si="92"/>
        <v>0.98494150430181326</v>
      </c>
      <c r="V198" s="177">
        <f t="shared" si="92"/>
        <v>0.99635170755099145</v>
      </c>
      <c r="W198" s="177">
        <f t="shared" si="92"/>
        <v>0.99823748818511382</v>
      </c>
      <c r="X198" s="177">
        <f t="shared" si="92"/>
        <v>0.99923222396431044</v>
      </c>
      <c r="Y198" s="177">
        <f t="shared" si="92"/>
        <v>0.98180655604460332</v>
      </c>
      <c r="Z198" s="177">
        <f t="shared" si="92"/>
        <v>0.97657653179206516</v>
      </c>
      <c r="AA198" s="177">
        <f t="shared" si="92"/>
        <v>0.99159296894864557</v>
      </c>
      <c r="AB198" s="177">
        <f t="shared" si="92"/>
        <v>0.98979980698324721</v>
      </c>
      <c r="AC198" s="177">
        <f t="shared" si="92"/>
        <v>0.98975103352052463</v>
      </c>
      <c r="AD198" s="177">
        <f t="shared" si="92"/>
        <v>0.97207662570550957</v>
      </c>
      <c r="AE198" s="177">
        <f t="shared" si="92"/>
        <v>0.97509024972235447</v>
      </c>
      <c r="AF198" s="177">
        <f t="shared" si="92"/>
        <v>0.98294373897451004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1</v>
      </c>
      <c r="D199" s="177">
        <f t="shared" si="93"/>
        <v>0.99288992821261646</v>
      </c>
      <c r="E199" s="177">
        <f t="shared" si="93"/>
        <v>0.98686714649503227</v>
      </c>
      <c r="F199" s="177">
        <f t="shared" si="93"/>
        <v>1</v>
      </c>
      <c r="G199" s="177">
        <f t="shared" si="93"/>
        <v>0.9993702644102308</v>
      </c>
      <c r="H199" s="177">
        <f t="shared" si="93"/>
        <v>0.98813916440668315</v>
      </c>
      <c r="I199" s="177">
        <f t="shared" si="93"/>
        <v>0.99812519095839691</v>
      </c>
      <c r="J199" s="177">
        <f t="shared" si="93"/>
        <v>0.95893325653796846</v>
      </c>
      <c r="K199" s="177">
        <f t="shared" si="93"/>
        <v>0.99777429000283757</v>
      </c>
      <c r="L199" s="177">
        <f t="shared" si="93"/>
        <v>1</v>
      </c>
      <c r="M199" s="177">
        <f t="shared" si="93"/>
        <v>0.99988589634815872</v>
      </c>
      <c r="N199" s="177">
        <f t="shared" si="93"/>
        <v>1</v>
      </c>
      <c r="O199" s="177">
        <f t="shared" si="93"/>
        <v>1</v>
      </c>
      <c r="P199" s="177">
        <f t="shared" si="93"/>
        <v>0.98447111519603481</v>
      </c>
      <c r="Q199" s="177">
        <f t="shared" si="93"/>
        <v>0.99652494017745474</v>
      </c>
      <c r="R199" s="177">
        <f t="shared" si="93"/>
        <v>1</v>
      </c>
      <c r="S199" s="177">
        <f t="shared" si="93"/>
        <v>1</v>
      </c>
      <c r="T199" s="177">
        <f t="shared" si="93"/>
        <v>1</v>
      </c>
      <c r="U199" s="177">
        <f t="shared" si="93"/>
        <v>0.99829840692697014</v>
      </c>
      <c r="V199" s="177">
        <f t="shared" si="93"/>
        <v>0.99841792013583219</v>
      </c>
      <c r="W199" s="177">
        <f t="shared" si="93"/>
        <v>0.99826182635507177</v>
      </c>
      <c r="X199" s="177">
        <f t="shared" si="93"/>
        <v>0.99481396132844213</v>
      </c>
      <c r="Y199" s="177">
        <f t="shared" si="93"/>
        <v>0.99968913614299837</v>
      </c>
      <c r="Z199" s="177">
        <f t="shared" si="93"/>
        <v>0.98207203000286425</v>
      </c>
      <c r="AA199" s="177">
        <f t="shared" si="93"/>
        <v>0.99148289433054571</v>
      </c>
      <c r="AB199" s="177">
        <f t="shared" si="93"/>
        <v>0.98545455443024998</v>
      </c>
      <c r="AC199" s="177">
        <f t="shared" si="93"/>
        <v>0.99181065070238628</v>
      </c>
      <c r="AD199" s="177">
        <f t="shared" si="93"/>
        <v>0.99559318706927047</v>
      </c>
      <c r="AE199" s="177">
        <f t="shared" si="93"/>
        <v>0.99168521603646853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0.98832099029122389</v>
      </c>
      <c r="D200" s="177">
        <f t="shared" si="94"/>
        <v>0.99730441971128181</v>
      </c>
      <c r="E200" s="177">
        <f t="shared" si="94"/>
        <v>0.99389645194138809</v>
      </c>
      <c r="F200" s="177">
        <f t="shared" si="94"/>
        <v>0.99331220212284244</v>
      </c>
      <c r="G200" s="177">
        <f t="shared" si="94"/>
        <v>1</v>
      </c>
      <c r="H200" s="177">
        <f t="shared" si="94"/>
        <v>1</v>
      </c>
      <c r="I200" s="177">
        <f t="shared" si="94"/>
        <v>0.92547117109583776</v>
      </c>
      <c r="J200" s="177">
        <f t="shared" si="94"/>
        <v>0.99825486321767309</v>
      </c>
      <c r="K200" s="177">
        <f t="shared" si="94"/>
        <v>0.99206543525464919</v>
      </c>
      <c r="L200" s="177">
        <f t="shared" si="94"/>
        <v>0.99920358732818948</v>
      </c>
      <c r="M200" s="177">
        <f t="shared" si="94"/>
        <v>1</v>
      </c>
      <c r="N200" s="177">
        <f t="shared" si="94"/>
        <v>1</v>
      </c>
      <c r="O200" s="177">
        <f t="shared" si="94"/>
        <v>0.99899032066148041</v>
      </c>
      <c r="P200" s="177">
        <f t="shared" si="94"/>
        <v>0.9987715215011016</v>
      </c>
      <c r="Q200" s="177">
        <f t="shared" si="94"/>
        <v>1</v>
      </c>
      <c r="R200" s="177">
        <f t="shared" si="94"/>
        <v>1</v>
      </c>
      <c r="S200" s="177">
        <f t="shared" si="94"/>
        <v>1</v>
      </c>
      <c r="T200" s="177">
        <f t="shared" si="94"/>
        <v>0.99723263349335456</v>
      </c>
      <c r="U200" s="177">
        <f t="shared" si="94"/>
        <v>0.99944159791497766</v>
      </c>
      <c r="V200" s="177">
        <f t="shared" si="94"/>
        <v>1</v>
      </c>
      <c r="W200" s="177">
        <f t="shared" si="94"/>
        <v>0.99915035983224476</v>
      </c>
      <c r="X200" s="177">
        <f t="shared" si="94"/>
        <v>0.9863815059757296</v>
      </c>
      <c r="Y200" s="177">
        <f t="shared" si="94"/>
        <v>0.98589799831684177</v>
      </c>
      <c r="Z200" s="177">
        <f t="shared" si="94"/>
        <v>0.99308065836280812</v>
      </c>
      <c r="AA200" s="177">
        <f t="shared" si="94"/>
        <v>0.97192283141714775</v>
      </c>
      <c r="AB200" s="177">
        <f t="shared" si="94"/>
        <v>0.99605017507531446</v>
      </c>
      <c r="AC200" s="177">
        <f t="shared" si="94"/>
        <v>0.98862313252371925</v>
      </c>
      <c r="AD200" s="177">
        <f t="shared" si="94"/>
        <v>0.99293648374842602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1</v>
      </c>
      <c r="D201" s="177">
        <f t="shared" si="95"/>
        <v>0.99802015955700163</v>
      </c>
      <c r="E201" s="177">
        <f t="shared" si="95"/>
        <v>0.99743397606265172</v>
      </c>
      <c r="F201" s="177">
        <f t="shared" si="95"/>
        <v>1</v>
      </c>
      <c r="G201" s="177">
        <f t="shared" si="95"/>
        <v>0.99913951933678324</v>
      </c>
      <c r="H201" s="177">
        <f t="shared" si="95"/>
        <v>0.99810710026689886</v>
      </c>
      <c r="I201" s="177">
        <f t="shared" si="95"/>
        <v>0.99574637859329618</v>
      </c>
      <c r="J201" s="177">
        <f t="shared" si="95"/>
        <v>1</v>
      </c>
      <c r="K201" s="177">
        <f t="shared" si="95"/>
        <v>0.99878335241695049</v>
      </c>
      <c r="L201" s="177">
        <f t="shared" si="95"/>
        <v>0.99894509719268876</v>
      </c>
      <c r="M201" s="177">
        <f t="shared" si="95"/>
        <v>0.99717637905124246</v>
      </c>
      <c r="N201" s="177">
        <f t="shared" si="95"/>
        <v>1</v>
      </c>
      <c r="O201" s="177">
        <f t="shared" si="95"/>
        <v>1</v>
      </c>
      <c r="P201" s="177">
        <f t="shared" si="95"/>
        <v>0.99700834871727928</v>
      </c>
      <c r="Q201" s="177">
        <f t="shared" si="95"/>
        <v>0.99785815509232145</v>
      </c>
      <c r="R201" s="177">
        <f t="shared" si="95"/>
        <v>1</v>
      </c>
      <c r="S201" s="177">
        <f t="shared" si="95"/>
        <v>0.9959254042249065</v>
      </c>
      <c r="T201" s="177">
        <f t="shared" si="95"/>
        <v>0.99908525454723351</v>
      </c>
      <c r="U201" s="177">
        <f t="shared" si="95"/>
        <v>0.99467283754976576</v>
      </c>
      <c r="V201" s="177">
        <f t="shared" si="95"/>
        <v>1</v>
      </c>
      <c r="W201" s="177">
        <f t="shared" si="95"/>
        <v>1</v>
      </c>
      <c r="X201" s="177">
        <f t="shared" si="95"/>
        <v>0.99149225767792704</v>
      </c>
      <c r="Y201" s="177">
        <f t="shared" si="95"/>
        <v>0.99690691091174111</v>
      </c>
      <c r="Z201" s="177">
        <f t="shared" si="95"/>
        <v>0.99093181710212452</v>
      </c>
      <c r="AA201" s="177">
        <f t="shared" si="95"/>
        <v>0.9858796850499838</v>
      </c>
      <c r="AB201" s="177">
        <f t="shared" si="95"/>
        <v>0.99316298360013922</v>
      </c>
      <c r="AC201" s="177">
        <f t="shared" si="95"/>
        <v>0.96639934809692152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0.99311422409893513</v>
      </c>
      <c r="D202" s="177">
        <f t="shared" si="96"/>
        <v>0.99583611650293413</v>
      </c>
      <c r="E202" s="177">
        <f t="shared" si="96"/>
        <v>0.99695153221203903</v>
      </c>
      <c r="F202" s="177">
        <f t="shared" si="96"/>
        <v>1</v>
      </c>
      <c r="G202" s="177">
        <f t="shared" si="96"/>
        <v>0.99797873088835265</v>
      </c>
      <c r="H202" s="177">
        <f t="shared" si="96"/>
        <v>0.99935569374909439</v>
      </c>
      <c r="I202" s="177">
        <f t="shared" si="96"/>
        <v>0.99114285076262498</v>
      </c>
      <c r="J202" s="177">
        <f t="shared" si="96"/>
        <v>0.99678505050909694</v>
      </c>
      <c r="K202" s="177">
        <f t="shared" si="96"/>
        <v>0.99156609903386339</v>
      </c>
      <c r="L202" s="177">
        <f t="shared" si="96"/>
        <v>1</v>
      </c>
      <c r="M202" s="177">
        <f t="shared" si="96"/>
        <v>0.9993566286169</v>
      </c>
      <c r="N202" s="177">
        <f t="shared" si="96"/>
        <v>1</v>
      </c>
      <c r="O202" s="177">
        <f t="shared" si="96"/>
        <v>1</v>
      </c>
      <c r="P202" s="177">
        <f t="shared" si="96"/>
        <v>0.99897938788788587</v>
      </c>
      <c r="Q202" s="177">
        <f t="shared" si="96"/>
        <v>0.99616251404584222</v>
      </c>
      <c r="R202" s="177">
        <f t="shared" si="96"/>
        <v>0.99698748689239247</v>
      </c>
      <c r="S202" s="177">
        <f t="shared" si="96"/>
        <v>1</v>
      </c>
      <c r="T202" s="177">
        <f t="shared" si="96"/>
        <v>1</v>
      </c>
      <c r="U202" s="177">
        <f t="shared" si="96"/>
        <v>0.99960821046012238</v>
      </c>
      <c r="V202" s="177">
        <f t="shared" si="96"/>
        <v>0.98148608203866672</v>
      </c>
      <c r="W202" s="177">
        <f t="shared" si="96"/>
        <v>0.99851598788462248</v>
      </c>
      <c r="X202" s="177">
        <f t="shared" si="96"/>
        <v>1</v>
      </c>
      <c r="Y202" s="177">
        <f t="shared" si="96"/>
        <v>0.9888237177332595</v>
      </c>
      <c r="Z202" s="177">
        <f t="shared" si="96"/>
        <v>0.99513689780691339</v>
      </c>
      <c r="AA202" s="177">
        <f t="shared" si="96"/>
        <v>0.99838474321545845</v>
      </c>
      <c r="AB202" s="177">
        <f t="shared" si="96"/>
        <v>0.99782583418587101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1</v>
      </c>
      <c r="D203" s="177">
        <f t="shared" si="97"/>
        <v>0.99791097877200607</v>
      </c>
      <c r="E203" s="177">
        <f t="shared" si="97"/>
        <v>1</v>
      </c>
      <c r="F203" s="177">
        <f t="shared" si="97"/>
        <v>1</v>
      </c>
      <c r="G203" s="177">
        <f t="shared" si="97"/>
        <v>0.99556226225500521</v>
      </c>
      <c r="H203" s="177">
        <f t="shared" si="97"/>
        <v>0.99535077964631136</v>
      </c>
      <c r="I203" s="177">
        <f t="shared" si="97"/>
        <v>1</v>
      </c>
      <c r="J203" s="177">
        <f t="shared" si="97"/>
        <v>1</v>
      </c>
      <c r="K203" s="177">
        <f t="shared" si="97"/>
        <v>0.99923541257456061</v>
      </c>
      <c r="L203" s="177">
        <f t="shared" si="97"/>
        <v>0.99815805169301053</v>
      </c>
      <c r="M203" s="177">
        <f t="shared" si="97"/>
        <v>1</v>
      </c>
      <c r="N203" s="177">
        <f t="shared" si="97"/>
        <v>0.99710688295443117</v>
      </c>
      <c r="O203" s="177">
        <f t="shared" si="97"/>
        <v>1</v>
      </c>
      <c r="P203" s="177">
        <f t="shared" si="97"/>
        <v>1</v>
      </c>
      <c r="Q203" s="177">
        <f t="shared" si="97"/>
        <v>1</v>
      </c>
      <c r="R203" s="177">
        <f t="shared" si="97"/>
        <v>1</v>
      </c>
      <c r="S203" s="177">
        <f t="shared" si="97"/>
        <v>1</v>
      </c>
      <c r="T203" s="177">
        <f t="shared" si="97"/>
        <v>0.99853746527359599</v>
      </c>
      <c r="U203" s="177">
        <f t="shared" si="97"/>
        <v>1</v>
      </c>
      <c r="V203" s="177">
        <f t="shared" si="97"/>
        <v>0.99663465985305111</v>
      </c>
      <c r="W203" s="177">
        <f t="shared" si="97"/>
        <v>0.99858242000006203</v>
      </c>
      <c r="X203" s="177">
        <f t="shared" si="97"/>
        <v>0.99688676450554747</v>
      </c>
      <c r="Y203" s="177">
        <f t="shared" si="97"/>
        <v>1</v>
      </c>
      <c r="Z203" s="177">
        <f t="shared" si="97"/>
        <v>0.99493946234586961</v>
      </c>
      <c r="AA203" s="177">
        <f t="shared" si="97"/>
        <v>0.99960249046152949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1</v>
      </c>
      <c r="D204" s="177">
        <f t="shared" si="98"/>
        <v>1.0009290178369101</v>
      </c>
      <c r="E204" s="177">
        <f t="shared" si="98"/>
        <v>0.99708827913211939</v>
      </c>
      <c r="F204" s="177">
        <f t="shared" si="98"/>
        <v>0.99788757729642441</v>
      </c>
      <c r="G204" s="177">
        <f t="shared" si="98"/>
        <v>0.99887977499521918</v>
      </c>
      <c r="H204" s="177">
        <f t="shared" si="98"/>
        <v>0.99964369681214993</v>
      </c>
      <c r="I204" s="177">
        <f t="shared" si="98"/>
        <v>1</v>
      </c>
      <c r="J204" s="177">
        <f t="shared" si="98"/>
        <v>1</v>
      </c>
      <c r="K204" s="177">
        <f t="shared" si="98"/>
        <v>0.99881223124279073</v>
      </c>
      <c r="L204" s="177">
        <f t="shared" si="98"/>
        <v>1</v>
      </c>
      <c r="M204" s="177">
        <f t="shared" si="98"/>
        <v>0.960745024398306</v>
      </c>
      <c r="N204" s="177">
        <f t="shared" si="98"/>
        <v>1</v>
      </c>
      <c r="O204" s="177">
        <f t="shared" si="98"/>
        <v>0.99919584672363515</v>
      </c>
      <c r="P204" s="177">
        <f t="shared" si="98"/>
        <v>0.99816791466524291</v>
      </c>
      <c r="Q204" s="177">
        <f t="shared" si="98"/>
        <v>1</v>
      </c>
      <c r="R204" s="177">
        <f t="shared" si="98"/>
        <v>1</v>
      </c>
      <c r="S204" s="177">
        <f t="shared" si="98"/>
        <v>1</v>
      </c>
      <c r="T204" s="177">
        <f t="shared" si="98"/>
        <v>0.99908742594630551</v>
      </c>
      <c r="U204" s="177">
        <f t="shared" si="98"/>
        <v>0.99667534200051344</v>
      </c>
      <c r="V204" s="177">
        <f t="shared" si="98"/>
        <v>1</v>
      </c>
      <c r="W204" s="177">
        <f t="shared" si="98"/>
        <v>1</v>
      </c>
      <c r="X204" s="177">
        <f t="shared" si="98"/>
        <v>0.99600836179151253</v>
      </c>
      <c r="Y204" s="177">
        <f t="shared" si="98"/>
        <v>1</v>
      </c>
      <c r="Z204" s="177">
        <f t="shared" si="98"/>
        <v>0.99631878760403114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1</v>
      </c>
      <c r="D205" s="177">
        <f t="shared" si="99"/>
        <v>0.99922396383423273</v>
      </c>
      <c r="E205" s="177">
        <f t="shared" si="99"/>
        <v>0.73583289799717033</v>
      </c>
      <c r="F205" s="177">
        <f t="shared" si="99"/>
        <v>1</v>
      </c>
      <c r="G205" s="177">
        <f t="shared" si="99"/>
        <v>1</v>
      </c>
      <c r="H205" s="177">
        <f t="shared" si="99"/>
        <v>1</v>
      </c>
      <c r="I205" s="177">
        <f t="shared" si="99"/>
        <v>1</v>
      </c>
      <c r="J205" s="177">
        <f t="shared" si="99"/>
        <v>1</v>
      </c>
      <c r="K205" s="177">
        <f t="shared" si="99"/>
        <v>1</v>
      </c>
      <c r="L205" s="177">
        <f t="shared" si="99"/>
        <v>0.99496204069606009</v>
      </c>
      <c r="M205" s="177">
        <f t="shared" si="99"/>
        <v>1</v>
      </c>
      <c r="N205" s="177">
        <f t="shared" si="99"/>
        <v>1</v>
      </c>
      <c r="O205" s="177">
        <f t="shared" si="99"/>
        <v>1</v>
      </c>
      <c r="P205" s="177">
        <f t="shared" si="99"/>
        <v>1</v>
      </c>
      <c r="Q205" s="177">
        <f t="shared" si="99"/>
        <v>0.99805061620151903</v>
      </c>
      <c r="R205" s="177">
        <f t="shared" si="99"/>
        <v>1</v>
      </c>
      <c r="S205" s="177">
        <f t="shared" si="99"/>
        <v>1</v>
      </c>
      <c r="T205" s="177">
        <f t="shared" si="99"/>
        <v>1</v>
      </c>
      <c r="U205" s="177">
        <f t="shared" si="99"/>
        <v>1</v>
      </c>
      <c r="V205" s="177">
        <f t="shared" si="99"/>
        <v>0.99792500932093231</v>
      </c>
      <c r="W205" s="177">
        <f t="shared" si="99"/>
        <v>1</v>
      </c>
      <c r="X205" s="177">
        <f t="shared" si="99"/>
        <v>1</v>
      </c>
      <c r="Y205" s="177">
        <f t="shared" si="99"/>
        <v>1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1</v>
      </c>
      <c r="D206" s="177">
        <f t="shared" si="100"/>
        <v>1</v>
      </c>
      <c r="E206" s="177">
        <f t="shared" si="100"/>
        <v>0.83609920365989199</v>
      </c>
      <c r="F206" s="177">
        <f t="shared" si="100"/>
        <v>0.99870928585646912</v>
      </c>
      <c r="G206" s="177">
        <f t="shared" si="100"/>
        <v>1</v>
      </c>
      <c r="H206" s="177">
        <f t="shared" si="100"/>
        <v>1</v>
      </c>
      <c r="I206" s="177">
        <f t="shared" si="100"/>
        <v>1</v>
      </c>
      <c r="J206" s="177">
        <f t="shared" si="100"/>
        <v>1</v>
      </c>
      <c r="K206" s="177">
        <f t="shared" si="100"/>
        <v>1</v>
      </c>
      <c r="L206" s="177">
        <f t="shared" si="100"/>
        <v>1</v>
      </c>
      <c r="M206" s="177">
        <f t="shared" si="100"/>
        <v>1</v>
      </c>
      <c r="N206" s="177">
        <f t="shared" si="100"/>
        <v>1</v>
      </c>
      <c r="O206" s="177">
        <f t="shared" si="100"/>
        <v>1</v>
      </c>
      <c r="P206" s="177">
        <f t="shared" si="100"/>
        <v>1</v>
      </c>
      <c r="Q206" s="177">
        <f t="shared" si="100"/>
        <v>1</v>
      </c>
      <c r="R206" s="177">
        <f t="shared" si="100"/>
        <v>1</v>
      </c>
      <c r="S206" s="177">
        <f t="shared" si="100"/>
        <v>1</v>
      </c>
      <c r="T206" s="177">
        <f t="shared" si="100"/>
        <v>1</v>
      </c>
      <c r="U206" s="177">
        <f t="shared" si="100"/>
        <v>1</v>
      </c>
      <c r="V206" s="177">
        <f t="shared" si="100"/>
        <v>1</v>
      </c>
      <c r="W206" s="177">
        <f t="shared" si="100"/>
        <v>1</v>
      </c>
      <c r="X206" s="177">
        <f t="shared" si="100"/>
        <v>0.99424254388019351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1</v>
      </c>
      <c r="D207" s="177">
        <f t="shared" si="101"/>
        <v>1</v>
      </c>
      <c r="E207" s="177">
        <f t="shared" si="101"/>
        <v>1</v>
      </c>
      <c r="F207" s="177">
        <f t="shared" si="101"/>
        <v>1</v>
      </c>
      <c r="G207" s="177">
        <f t="shared" si="101"/>
        <v>1</v>
      </c>
      <c r="H207" s="177">
        <f t="shared" si="101"/>
        <v>1</v>
      </c>
      <c r="I207" s="177">
        <f t="shared" si="101"/>
        <v>1</v>
      </c>
      <c r="J207" s="177">
        <f t="shared" si="101"/>
        <v>1</v>
      </c>
      <c r="K207" s="177">
        <f t="shared" si="101"/>
        <v>1</v>
      </c>
      <c r="L207" s="177">
        <f t="shared" si="101"/>
        <v>1</v>
      </c>
      <c r="M207" s="177">
        <f t="shared" si="101"/>
        <v>1</v>
      </c>
      <c r="N207" s="177">
        <f t="shared" si="101"/>
        <v>1</v>
      </c>
      <c r="O207" s="177">
        <f t="shared" si="101"/>
        <v>0.99859431464311665</v>
      </c>
      <c r="P207" s="177">
        <f t="shared" si="101"/>
        <v>1</v>
      </c>
      <c r="Q207" s="177">
        <f t="shared" si="101"/>
        <v>1</v>
      </c>
      <c r="R207" s="177">
        <f t="shared" si="101"/>
        <v>1</v>
      </c>
      <c r="S207" s="177">
        <f t="shared" si="101"/>
        <v>1</v>
      </c>
      <c r="T207" s="177">
        <f t="shared" si="101"/>
        <v>1</v>
      </c>
      <c r="U207" s="177">
        <f t="shared" si="101"/>
        <v>1</v>
      </c>
      <c r="V207" s="177">
        <f t="shared" si="101"/>
        <v>1</v>
      </c>
      <c r="W207" s="177">
        <f t="shared" si="101"/>
        <v>1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1</v>
      </c>
      <c r="D208" s="177">
        <f t="shared" si="102"/>
        <v>1</v>
      </c>
      <c r="E208" s="177">
        <f t="shared" si="102"/>
        <v>0.99927119730817948</v>
      </c>
      <c r="F208" s="177">
        <f t="shared" si="102"/>
        <v>1</v>
      </c>
      <c r="G208" s="177">
        <f t="shared" si="102"/>
        <v>1</v>
      </c>
      <c r="H208" s="177">
        <f t="shared" si="102"/>
        <v>0.99792053361763289</v>
      </c>
      <c r="I208" s="177">
        <f t="shared" si="102"/>
        <v>1</v>
      </c>
      <c r="J208" s="177">
        <f t="shared" si="102"/>
        <v>1</v>
      </c>
      <c r="K208" s="177">
        <f t="shared" si="102"/>
        <v>1</v>
      </c>
      <c r="L208" s="177">
        <f t="shared" si="102"/>
        <v>1</v>
      </c>
      <c r="M208" s="177">
        <f t="shared" si="102"/>
        <v>1</v>
      </c>
      <c r="N208" s="177">
        <f t="shared" si="102"/>
        <v>1</v>
      </c>
      <c r="O208" s="177">
        <f t="shared" si="102"/>
        <v>1</v>
      </c>
      <c r="P208" s="177">
        <f t="shared" si="102"/>
        <v>1</v>
      </c>
      <c r="Q208" s="177">
        <f t="shared" si="102"/>
        <v>1</v>
      </c>
      <c r="R208" s="177">
        <f t="shared" si="102"/>
        <v>1</v>
      </c>
      <c r="S208" s="177">
        <f t="shared" si="102"/>
        <v>1</v>
      </c>
      <c r="T208" s="177">
        <f t="shared" si="102"/>
        <v>1</v>
      </c>
      <c r="U208" s="177">
        <f t="shared" si="102"/>
        <v>0.99989798860067358</v>
      </c>
      <c r="V208" s="177">
        <f t="shared" si="102"/>
        <v>1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1</v>
      </c>
      <c r="D209" s="177">
        <f t="shared" si="103"/>
        <v>1</v>
      </c>
      <c r="E209" s="177">
        <f t="shared" si="103"/>
        <v>1</v>
      </c>
      <c r="F209" s="177">
        <f t="shared" si="103"/>
        <v>1</v>
      </c>
      <c r="G209" s="177">
        <f t="shared" si="103"/>
        <v>1</v>
      </c>
      <c r="H209" s="177">
        <f t="shared" si="103"/>
        <v>1</v>
      </c>
      <c r="I209" s="177">
        <f t="shared" si="103"/>
        <v>1</v>
      </c>
      <c r="J209" s="177">
        <f t="shared" si="103"/>
        <v>1</v>
      </c>
      <c r="K209" s="177">
        <f t="shared" si="103"/>
        <v>1</v>
      </c>
      <c r="L209" s="177">
        <f t="shared" si="103"/>
        <v>1</v>
      </c>
      <c r="M209" s="177">
        <f t="shared" si="103"/>
        <v>1</v>
      </c>
      <c r="N209" s="177">
        <f t="shared" si="103"/>
        <v>1</v>
      </c>
      <c r="O209" s="177">
        <f t="shared" si="103"/>
        <v>1</v>
      </c>
      <c r="P209" s="177">
        <f t="shared" si="103"/>
        <v>1</v>
      </c>
      <c r="Q209" s="177">
        <f t="shared" si="103"/>
        <v>1</v>
      </c>
      <c r="R209" s="177">
        <f t="shared" si="103"/>
        <v>1</v>
      </c>
      <c r="S209" s="177">
        <f t="shared" si="103"/>
        <v>1</v>
      </c>
      <c r="T209" s="177">
        <f t="shared" si="103"/>
        <v>1</v>
      </c>
      <c r="U209" s="177">
        <f t="shared" si="103"/>
        <v>1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1</v>
      </c>
      <c r="D210" s="177">
        <f t="shared" si="104"/>
        <v>1</v>
      </c>
      <c r="E210" s="177">
        <f t="shared" si="104"/>
        <v>0.99958345493932854</v>
      </c>
      <c r="F210" s="177">
        <f t="shared" si="104"/>
        <v>1</v>
      </c>
      <c r="G210" s="177">
        <f t="shared" si="104"/>
        <v>1</v>
      </c>
      <c r="H210" s="177">
        <f t="shared" si="104"/>
        <v>1</v>
      </c>
      <c r="I210" s="177">
        <f t="shared" si="104"/>
        <v>0.99861491413367931</v>
      </c>
      <c r="J210" s="177">
        <f t="shared" si="104"/>
        <v>1</v>
      </c>
      <c r="K210" s="177">
        <f t="shared" si="104"/>
        <v>1</v>
      </c>
      <c r="L210" s="177">
        <f t="shared" si="104"/>
        <v>1</v>
      </c>
      <c r="M210" s="177">
        <f t="shared" si="104"/>
        <v>1</v>
      </c>
      <c r="N210" s="177">
        <f t="shared" si="104"/>
        <v>1</v>
      </c>
      <c r="O210" s="177">
        <f t="shared" si="104"/>
        <v>1</v>
      </c>
      <c r="P210" s="177">
        <f t="shared" si="104"/>
        <v>0.99231913353142942</v>
      </c>
      <c r="Q210" s="177">
        <f t="shared" si="104"/>
        <v>1</v>
      </c>
      <c r="R210" s="177">
        <f t="shared" si="104"/>
        <v>1</v>
      </c>
      <c r="S210" s="177">
        <f t="shared" si="104"/>
        <v>1</v>
      </c>
      <c r="T210" s="177">
        <f t="shared" si="104"/>
        <v>1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1</v>
      </c>
      <c r="D211" s="177">
        <f t="shared" si="105"/>
        <v>1</v>
      </c>
      <c r="E211" s="177">
        <f t="shared" si="105"/>
        <v>1</v>
      </c>
      <c r="F211" s="177">
        <f t="shared" si="105"/>
        <v>1</v>
      </c>
      <c r="G211" s="177">
        <f t="shared" si="105"/>
        <v>1</v>
      </c>
      <c r="H211" s="177">
        <f t="shared" si="105"/>
        <v>1</v>
      </c>
      <c r="I211" s="177">
        <f t="shared" si="105"/>
        <v>1</v>
      </c>
      <c r="J211" s="177">
        <f t="shared" si="105"/>
        <v>1</v>
      </c>
      <c r="K211" s="177">
        <f t="shared" si="105"/>
        <v>1</v>
      </c>
      <c r="L211" s="177">
        <f t="shared" si="105"/>
        <v>1</v>
      </c>
      <c r="M211" s="177">
        <f t="shared" si="105"/>
        <v>1</v>
      </c>
      <c r="N211" s="177">
        <f t="shared" si="105"/>
        <v>1</v>
      </c>
      <c r="O211" s="177">
        <f t="shared" si="105"/>
        <v>1</v>
      </c>
      <c r="P211" s="177">
        <f t="shared" si="105"/>
        <v>1</v>
      </c>
      <c r="Q211" s="177">
        <f t="shared" si="105"/>
        <v>1</v>
      </c>
      <c r="R211" s="177">
        <f t="shared" si="105"/>
        <v>1</v>
      </c>
      <c r="S211" s="177">
        <f t="shared" si="105"/>
        <v>1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1</v>
      </c>
      <c r="D212" s="177">
        <f t="shared" si="106"/>
        <v>1</v>
      </c>
      <c r="E212" s="177">
        <f t="shared" si="106"/>
        <v>1</v>
      </c>
      <c r="F212" s="177">
        <f t="shared" si="106"/>
        <v>1</v>
      </c>
      <c r="G212" s="177">
        <f t="shared" si="106"/>
        <v>1</v>
      </c>
      <c r="H212" s="177">
        <f t="shared" si="106"/>
        <v>1</v>
      </c>
      <c r="I212" s="177">
        <f t="shared" si="106"/>
        <v>1</v>
      </c>
      <c r="J212" s="177">
        <f t="shared" si="106"/>
        <v>1</v>
      </c>
      <c r="K212" s="177">
        <f t="shared" si="106"/>
        <v>1</v>
      </c>
      <c r="L212" s="177">
        <f t="shared" si="106"/>
        <v>1</v>
      </c>
      <c r="M212" s="177">
        <f t="shared" si="106"/>
        <v>1</v>
      </c>
      <c r="N212" s="177">
        <f t="shared" si="106"/>
        <v>1</v>
      </c>
      <c r="O212" s="177">
        <f t="shared" si="106"/>
        <v>1</v>
      </c>
      <c r="P212" s="177">
        <f t="shared" si="106"/>
        <v>1</v>
      </c>
      <c r="Q212" s="177">
        <f t="shared" si="106"/>
        <v>1</v>
      </c>
      <c r="R212" s="177">
        <f t="shared" si="106"/>
        <v>1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1</v>
      </c>
      <c r="D213" s="177">
        <f t="shared" si="107"/>
        <v>0.99982585219771258</v>
      </c>
      <c r="E213" s="177">
        <f t="shared" si="107"/>
        <v>1</v>
      </c>
      <c r="F213" s="177">
        <f t="shared" si="107"/>
        <v>0.99940127610554663</v>
      </c>
      <c r="G213" s="177">
        <f t="shared" si="107"/>
        <v>1</v>
      </c>
      <c r="H213" s="177">
        <f t="shared" si="107"/>
        <v>1</v>
      </c>
      <c r="I213" s="177">
        <f t="shared" si="107"/>
        <v>1</v>
      </c>
      <c r="J213" s="177">
        <f t="shared" si="107"/>
        <v>1</v>
      </c>
      <c r="K213" s="177">
        <f t="shared" si="107"/>
        <v>1</v>
      </c>
      <c r="L213" s="177">
        <f t="shared" si="107"/>
        <v>1</v>
      </c>
      <c r="M213" s="177">
        <f t="shared" si="107"/>
        <v>1</v>
      </c>
      <c r="N213" s="177">
        <f t="shared" si="107"/>
        <v>1</v>
      </c>
      <c r="O213" s="177">
        <f t="shared" si="107"/>
        <v>1</v>
      </c>
      <c r="P213" s="177">
        <f t="shared" si="107"/>
        <v>1</v>
      </c>
      <c r="Q213" s="177">
        <f t="shared" si="107"/>
        <v>1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1</v>
      </c>
      <c r="D214" s="177">
        <f t="shared" si="108"/>
        <v>1</v>
      </c>
      <c r="E214" s="177">
        <f t="shared" si="108"/>
        <v>1</v>
      </c>
      <c r="F214" s="177">
        <f t="shared" si="108"/>
        <v>1</v>
      </c>
      <c r="G214" s="177">
        <f t="shared" si="108"/>
        <v>1</v>
      </c>
      <c r="H214" s="177">
        <f t="shared" si="108"/>
        <v>1</v>
      </c>
      <c r="I214" s="177">
        <f t="shared" si="108"/>
        <v>1</v>
      </c>
      <c r="J214" s="177">
        <f t="shared" si="108"/>
        <v>1</v>
      </c>
      <c r="K214" s="177">
        <f t="shared" si="108"/>
        <v>1</v>
      </c>
      <c r="L214" s="177">
        <f t="shared" si="108"/>
        <v>1</v>
      </c>
      <c r="M214" s="177">
        <f t="shared" si="108"/>
        <v>1</v>
      </c>
      <c r="N214" s="177">
        <f t="shared" si="108"/>
        <v>1</v>
      </c>
      <c r="O214" s="177">
        <f t="shared" si="108"/>
        <v>1</v>
      </c>
      <c r="P214" s="177">
        <f t="shared" si="108"/>
        <v>1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1</v>
      </c>
      <c r="D215" s="177">
        <f t="shared" si="109"/>
        <v>1</v>
      </c>
      <c r="E215" s="177">
        <f t="shared" si="109"/>
        <v>1</v>
      </c>
      <c r="F215" s="177">
        <f t="shared" si="109"/>
        <v>1</v>
      </c>
      <c r="G215" s="177">
        <f t="shared" si="109"/>
        <v>1</v>
      </c>
      <c r="H215" s="177">
        <f t="shared" si="109"/>
        <v>1</v>
      </c>
      <c r="I215" s="177">
        <f t="shared" si="109"/>
        <v>1</v>
      </c>
      <c r="J215" s="177">
        <f t="shared" si="109"/>
        <v>1</v>
      </c>
      <c r="K215" s="177">
        <f t="shared" si="109"/>
        <v>1</v>
      </c>
      <c r="L215" s="177">
        <f t="shared" si="109"/>
        <v>1</v>
      </c>
      <c r="M215" s="177">
        <f t="shared" si="109"/>
        <v>1</v>
      </c>
      <c r="N215" s="177">
        <f t="shared" si="109"/>
        <v>1</v>
      </c>
      <c r="O215" s="177">
        <f t="shared" si="109"/>
        <v>1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1</v>
      </c>
      <c r="D216" s="177">
        <f t="shared" si="110"/>
        <v>1</v>
      </c>
      <c r="E216" s="177">
        <f t="shared" si="110"/>
        <v>1</v>
      </c>
      <c r="F216" s="177">
        <f t="shared" si="110"/>
        <v>1</v>
      </c>
      <c r="G216" s="177">
        <f t="shared" si="110"/>
        <v>1</v>
      </c>
      <c r="H216" s="177">
        <f t="shared" si="110"/>
        <v>1</v>
      </c>
      <c r="I216" s="177">
        <f t="shared" si="110"/>
        <v>1</v>
      </c>
      <c r="J216" s="177">
        <f t="shared" si="110"/>
        <v>0.99841209222573513</v>
      </c>
      <c r="K216" s="177">
        <f t="shared" si="110"/>
        <v>1</v>
      </c>
      <c r="L216" s="177">
        <f t="shared" si="110"/>
        <v>1</v>
      </c>
      <c r="M216" s="177">
        <f t="shared" si="110"/>
        <v>1</v>
      </c>
      <c r="N216" s="177">
        <f t="shared" si="110"/>
        <v>1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1</v>
      </c>
      <c r="D217" s="177">
        <f t="shared" si="111"/>
        <v>1</v>
      </c>
      <c r="E217" s="177">
        <f t="shared" si="111"/>
        <v>1</v>
      </c>
      <c r="F217" s="177">
        <f t="shared" si="111"/>
        <v>1</v>
      </c>
      <c r="G217" s="177">
        <f t="shared" si="111"/>
        <v>1</v>
      </c>
      <c r="H217" s="177">
        <f t="shared" si="111"/>
        <v>1</v>
      </c>
      <c r="I217" s="177">
        <f t="shared" si="111"/>
        <v>1</v>
      </c>
      <c r="J217" s="177">
        <f t="shared" si="111"/>
        <v>1</v>
      </c>
      <c r="K217" s="177">
        <f t="shared" si="111"/>
        <v>1</v>
      </c>
      <c r="L217" s="177">
        <f t="shared" si="111"/>
        <v>1</v>
      </c>
      <c r="M217" s="177">
        <f t="shared" si="111"/>
        <v>1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1</v>
      </c>
      <c r="D218" s="177">
        <f t="shared" si="112"/>
        <v>1</v>
      </c>
      <c r="E218" s="177">
        <f t="shared" si="112"/>
        <v>1</v>
      </c>
      <c r="F218" s="177">
        <f t="shared" si="112"/>
        <v>1</v>
      </c>
      <c r="G218" s="177">
        <f t="shared" si="112"/>
        <v>1</v>
      </c>
      <c r="H218" s="177">
        <f t="shared" si="112"/>
        <v>1</v>
      </c>
      <c r="I218" s="177">
        <f t="shared" si="112"/>
        <v>1</v>
      </c>
      <c r="J218" s="177">
        <f t="shared" si="112"/>
        <v>1</v>
      </c>
      <c r="K218" s="177">
        <f t="shared" si="112"/>
        <v>1</v>
      </c>
      <c r="L218" s="177">
        <f t="shared" si="112"/>
        <v>1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1</v>
      </c>
      <c r="D219" s="177">
        <f t="shared" si="113"/>
        <v>1</v>
      </c>
      <c r="E219" s="177">
        <f t="shared" si="113"/>
        <v>1</v>
      </c>
      <c r="F219" s="177">
        <f t="shared" si="113"/>
        <v>1</v>
      </c>
      <c r="G219" s="177">
        <f t="shared" si="113"/>
        <v>1</v>
      </c>
      <c r="H219" s="177">
        <f t="shared" si="113"/>
        <v>1</v>
      </c>
      <c r="I219" s="177">
        <f t="shared" si="113"/>
        <v>1</v>
      </c>
      <c r="J219" s="177">
        <f t="shared" si="113"/>
        <v>1</v>
      </c>
      <c r="K219" s="177">
        <f t="shared" si="113"/>
        <v>1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1</v>
      </c>
      <c r="D220" s="177">
        <f t="shared" si="114"/>
        <v>1</v>
      </c>
      <c r="E220" s="177">
        <f t="shared" si="114"/>
        <v>1</v>
      </c>
      <c r="F220" s="177">
        <f t="shared" si="114"/>
        <v>1</v>
      </c>
      <c r="G220" s="177">
        <f t="shared" si="114"/>
        <v>1</v>
      </c>
      <c r="H220" s="177">
        <f t="shared" si="114"/>
        <v>1</v>
      </c>
      <c r="I220" s="177">
        <f t="shared" si="114"/>
        <v>1</v>
      </c>
      <c r="J220" s="177">
        <f t="shared" si="114"/>
        <v>1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1</v>
      </c>
      <c r="D221" s="177">
        <f t="shared" si="115"/>
        <v>1</v>
      </c>
      <c r="E221" s="177">
        <f t="shared" si="115"/>
        <v>1</v>
      </c>
      <c r="F221" s="177">
        <f t="shared" si="115"/>
        <v>1</v>
      </c>
      <c r="G221" s="177">
        <f t="shared" si="115"/>
        <v>1</v>
      </c>
      <c r="H221" s="177">
        <f t="shared" si="115"/>
        <v>1</v>
      </c>
      <c r="I221" s="177">
        <f t="shared" si="115"/>
        <v>1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1</v>
      </c>
      <c r="D222" s="177">
        <f t="shared" si="116"/>
        <v>1</v>
      </c>
      <c r="E222" s="177">
        <f t="shared" si="116"/>
        <v>1</v>
      </c>
      <c r="F222" s="177">
        <f t="shared" si="116"/>
        <v>1</v>
      </c>
      <c r="G222" s="177">
        <f t="shared" si="116"/>
        <v>1</v>
      </c>
      <c r="H222" s="177">
        <f t="shared" si="116"/>
        <v>1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1</v>
      </c>
      <c r="D223" s="177">
        <f t="shared" si="117"/>
        <v>1</v>
      </c>
      <c r="E223" s="177">
        <f t="shared" si="117"/>
        <v>1</v>
      </c>
      <c r="F223" s="177">
        <f t="shared" si="117"/>
        <v>1</v>
      </c>
      <c r="G223" s="177">
        <f t="shared" si="117"/>
        <v>1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1</v>
      </c>
      <c r="D224" s="177">
        <f t="shared" si="118"/>
        <v>1</v>
      </c>
      <c r="E224" s="177">
        <f t="shared" si="118"/>
        <v>1</v>
      </c>
      <c r="F224" s="177">
        <f t="shared" si="118"/>
        <v>1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1</v>
      </c>
      <c r="D225" s="177">
        <f t="shared" si="119"/>
        <v>1</v>
      </c>
      <c r="E225" s="177">
        <f t="shared" si="119"/>
        <v>1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1</v>
      </c>
      <c r="D226" s="177">
        <f t="shared" si="120"/>
        <v>1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1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AAMG - Commercial</v>
      </c>
      <c r="K230" s="7" t="s">
        <v>478</v>
      </c>
      <c r="L230" s="7"/>
      <c r="M230" s="7">
        <f>+Numbmos</f>
        <v>36</v>
      </c>
      <c r="V230" s="3" t="str">
        <f>+$C$1</f>
        <v>AAMG - Commercial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0.27465967435584421</v>
      </c>
      <c r="D236" s="589">
        <f>IF(SUM(AF193:AK193)=0,1,AVERAGEIF(AF193:AK193,"&lt;&gt;0"))</f>
        <v>0.24110179217278951</v>
      </c>
      <c r="E236" s="589">
        <f>IF(SUM(Z193:AK193)=0,1,AVERAGEIF(Z193:AK193,"&lt;&gt;0"))</f>
        <v>0.25188063691533946</v>
      </c>
      <c r="F236" s="589">
        <f>IF(SUM($C193:AK193)=0,1,AVERAGEIF($C193:AK193,"&lt;&gt;0"))</f>
        <v>0.32287153569430116</v>
      </c>
      <c r="G236" s="589">
        <f>IF(SUM(AF193:AH193)=0,1,AVERAGEIF(AF193:AH193,"&lt;&gt;0"))</f>
        <v>0.20754390998973493</v>
      </c>
      <c r="H236" s="589">
        <f>IF(SUM(AC193:AE193)=0,1,AVERAGEIF(AC193:AE193,"&lt;&gt;0"))</f>
        <v>0.31950329000696148</v>
      </c>
      <c r="I236" s="589">
        <f>IF(SUM(Z193:AB193)=0,1,AVERAGEIF(Z193:AB193,"&lt;&gt;0"))</f>
        <v>0.20581567330881748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0.43330990557608612</v>
      </c>
      <c r="N236" s="589">
        <f>IF(SUM(AF193:AK193)=0,0,SMALL(AF193:AK193,COUNTIF(AF193:AK193,0)+1))</f>
        <v>0.12326472418516331</v>
      </c>
      <c r="O236" s="589">
        <f t="shared" ref="O236:O270" si="122">IF(K236&lt;3,D236,(K236*D236-M236-N236)/L236)</f>
        <v>0.22250903081887194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0.5533712174340536</v>
      </c>
      <c r="T236" s="589">
        <f>IF(SUM(Z193:AK193)=0,0,SMALL(Z193:AK193,COUNTIF(Z193:AK193,0)+1))</f>
        <v>0.12326472418516331</v>
      </c>
      <c r="U236" s="317">
        <f t="shared" ref="U236:U270" si="124">IF(Q236&lt;3,E236,(Q236*E236-S236-T236)/R236)</f>
        <v>0.23459317013648567</v>
      </c>
      <c r="V236" s="252" t="s">
        <v>979</v>
      </c>
      <c r="W236" s="7"/>
      <c r="X236" s="14">
        <f t="shared" ref="X236:X257" si="125">IF((C236&gt;C237),MIN((C236^2*C237)^(1/3),1),MIN(C236,1))</f>
        <v>0.27465967435584421</v>
      </c>
      <c r="Y236" s="14">
        <f t="shared" ref="Y236:Y257" si="126">IF((D236&gt;D237),MIN((D236^2*D237)^(1/3),1),MIN(D236,1))</f>
        <v>0.24110179217278951</v>
      </c>
      <c r="Z236" s="14">
        <f t="shared" ref="Z236:Z257" si="127">IF((E236&gt;E237),MIN((E236^2*E237)^(1/3),1),MIN(E236,1))</f>
        <v>0.25188063691533946</v>
      </c>
      <c r="AA236" s="14">
        <f t="shared" ref="AA236:AA257" si="128">IF((F236&gt;F237),MIN((F236^2*F237)^(1/3),1),MIN(F236,1))</f>
        <v>0.32287153569430116</v>
      </c>
      <c r="AB236" s="14">
        <f t="shared" ref="AB236:AB257" si="129">IF((O236&gt;O237),MIN((O236^2*O237)^(1/3),1),MIN(O236,1))</f>
        <v>0.22250903081887194</v>
      </c>
      <c r="AC236" s="14">
        <f t="shared" ref="AC236:AC257" si="130">IF((U236&gt;U237),MIN((U236^2*U237)^(1/3),1),MIN(U236,1))</f>
        <v>0.23459317013648567</v>
      </c>
      <c r="AD236" s="14">
        <f t="shared" ref="AD236:AD257" si="131">IF((G236&gt;G237),MIN((G236^2*G237)^(1/3),1),MIN(G236,1))</f>
        <v>0.20754390998973493</v>
      </c>
      <c r="AE236" s="14">
        <f t="shared" ref="AE236:AE257" si="132">IF((H236&gt;H237),MIN((H236^2*H237)^(1/3),1),MIN(H236,1))</f>
        <v>0.31950329000696148</v>
      </c>
      <c r="AF236" s="14">
        <f t="shared" ref="AF236:AF257" si="133">IF((I236&gt;I237),MIN((I236^2*I237)^(1/3),1),MIN(I236,1))</f>
        <v>0.20581567330881748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0.81531430810718641</v>
      </c>
      <c r="D237" s="589">
        <f>IF(SUM(AE194:AJ194)=0,1,AVERAGEIF(AE194:AJ194,"&lt;&gt;0"))</f>
        <v>0.79611900416321302</v>
      </c>
      <c r="E237" s="589">
        <f>IF(SUM(Y194:AJ194)=0,1,AVERAGEIF(Y194:AJ194,"&lt;&gt;0"))</f>
        <v>0.8137321164368484</v>
      </c>
      <c r="F237" s="589">
        <f>IF(SUM($C194:AJ194)=0,1,AVERAGEIF($C194:AJ194,"&lt;&gt;0"))</f>
        <v>0.87362490953265293</v>
      </c>
      <c r="G237" s="589">
        <f>IF(SUM(AE194:AG194)=0,1,AVERAGEIF(AE194:AG194,"&lt;&gt;0"))</f>
        <v>0.77692370021923995</v>
      </c>
      <c r="H237" s="589">
        <f>IF(SUM(AB194:AD194)=0,1,AVERAGEIF(AB194:AD194,"&lt;&gt;0"))</f>
        <v>0.85048939031175108</v>
      </c>
      <c r="I237" s="589">
        <f>IF(SUM(Y194:AA194)=0,1,AVERAGEIF(Y194:AA194,"&lt;&gt;0"))</f>
        <v>0.8122010671092158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0.89861489954603546</v>
      </c>
      <c r="N237" s="589">
        <f>IF(SUM(AE194:AJ194)=0,0,SMALL(AE194:AJ194,COUNTIF(AE194:AJ194,0)+1))</f>
        <v>0.72773198102016112</v>
      </c>
      <c r="O237" s="589">
        <f t="shared" si="122"/>
        <v>0.78759178610327052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0.91630918842284204</v>
      </c>
      <c r="T237" s="589">
        <f>IF(SUM(Y194:AJ194)=0,0,SMALL(Y194:AJ194,COUNTIF(Y194:AJ194,0)+1))</f>
        <v>0.72773198102016112</v>
      </c>
      <c r="U237" s="317">
        <f t="shared" si="124"/>
        <v>0.8120744227799177</v>
      </c>
      <c r="V237" s="568" t="s">
        <v>980</v>
      </c>
      <c r="W237" s="7"/>
      <c r="X237" s="14">
        <f t="shared" si="125"/>
        <v>0.81531430810718641</v>
      </c>
      <c r="Y237" s="14">
        <f t="shared" si="126"/>
        <v>0.79611900416321302</v>
      </c>
      <c r="Z237" s="14">
        <f t="shared" si="127"/>
        <v>0.8137321164368484</v>
      </c>
      <c r="AA237" s="14">
        <f t="shared" si="128"/>
        <v>0.87362490953265293</v>
      </c>
      <c r="AB237" s="14">
        <f t="shared" si="129"/>
        <v>0.78759178610327052</v>
      </c>
      <c r="AC237" s="14">
        <f t="shared" si="130"/>
        <v>0.8120744227799177</v>
      </c>
      <c r="AD237" s="14">
        <f t="shared" si="131"/>
        <v>0.77692370021923995</v>
      </c>
      <c r="AE237" s="14">
        <f t="shared" si="132"/>
        <v>0.85048939031175108</v>
      </c>
      <c r="AF237" s="14">
        <f t="shared" si="133"/>
        <v>0.8122010671092158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0.92060219218197414</v>
      </c>
      <c r="D238" s="589">
        <f>IF(SUM(AD195:AI195)=0,1,AVERAGEIF(AD195:AI195,"&lt;&gt;0"))</f>
        <v>0.92916470380572092</v>
      </c>
      <c r="E238" s="589">
        <f>IF(SUM(X195:AI195)=0,1,AVERAGEIF(X195:AI195,"&lt;&gt;0"))</f>
        <v>0.93473643680589091</v>
      </c>
      <c r="F238" s="589">
        <f>IF(SUM($C195:AI195)=0,1,AVERAGEIF($C195:AI195,"&lt;&gt;0"))</f>
        <v>0.95501619620015343</v>
      </c>
      <c r="G238" s="589">
        <f>IF(SUM(AD195:AF195)=0,1,AVERAGEIF(AD195:AF195,"&lt;&gt;0"))</f>
        <v>0.9377272154294678</v>
      </c>
      <c r="H238" s="589">
        <f>IF(SUM(AA195:AC195)=0,1,AVERAGEIF(AA195:AC195,"&lt;&gt;0"))</f>
        <v>0.94451307932692652</v>
      </c>
      <c r="I238" s="589">
        <f>IF(SUM(X195:Z195)=0,1,AVERAGEIF(X195:Z195,"&lt;&gt;0"))</f>
        <v>0.93610326028519486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0.94696437395622435</v>
      </c>
      <c r="N238" s="589">
        <f>IF(SUM(AD195:AI195)=0,0,SMALL(AD195:AI195,COUNTIF(AD195:AI195,0)+1))</f>
        <v>0.9054121953313824</v>
      </c>
      <c r="O238" s="589">
        <f t="shared" si="122"/>
        <v>0.93065291338667966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0.9598571899935554</v>
      </c>
      <c r="T238" s="589">
        <f>IF(SUM(X195:AI195)=0,0,SMALL(X195:AI195,COUNTIF(X195:AI195,0)+1))</f>
        <v>0.9054121953313824</v>
      </c>
      <c r="U238" s="317">
        <f t="shared" si="124"/>
        <v>0.93515678563457527</v>
      </c>
      <c r="V238" s="568" t="s">
        <v>981</v>
      </c>
      <c r="W238" s="7"/>
      <c r="X238" s="14">
        <f t="shared" si="125"/>
        <v>0.92060219218197414</v>
      </c>
      <c r="Y238" s="14">
        <f t="shared" si="126"/>
        <v>0.92916470380572092</v>
      </c>
      <c r="Z238" s="14">
        <f t="shared" si="127"/>
        <v>0.93473643680589091</v>
      </c>
      <c r="AA238" s="14">
        <f t="shared" si="128"/>
        <v>0.95501619620015343</v>
      </c>
      <c r="AB238" s="14">
        <f t="shared" si="129"/>
        <v>0.93065291338667966</v>
      </c>
      <c r="AC238" s="14">
        <f t="shared" si="130"/>
        <v>0.93515678563457527</v>
      </c>
      <c r="AD238" s="14">
        <f t="shared" si="131"/>
        <v>0.9377272154294678</v>
      </c>
      <c r="AE238" s="14">
        <f t="shared" si="132"/>
        <v>0.94451307932692652</v>
      </c>
      <c r="AF238" s="14">
        <f t="shared" si="133"/>
        <v>0.93610326028519486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0.97788278630965786</v>
      </c>
      <c r="D239" s="589">
        <f>IF(SUM(AC196:AH196)=0,1,AVERAGEIF(AC196:AH196,"&lt;&gt;0"))</f>
        <v>0.96622963416260266</v>
      </c>
      <c r="E239" s="589">
        <f>IF(SUM(W196:AH196)=0,1,AVERAGEIF(W196:AH196,"&lt;&gt;0"))</f>
        <v>0.97339963653013939</v>
      </c>
      <c r="F239" s="589">
        <f>IF(SUM($C196:AH196)=0,1,AVERAGEIF($C196:AH196,"&lt;&gt;0"))</f>
        <v>0.981552670848999</v>
      </c>
      <c r="G239" s="589">
        <f>IF(SUM(AC196:AE196)=0,1,AVERAGEIF(AC196:AE196,"&lt;&gt;0"))</f>
        <v>0.95457648201554768</v>
      </c>
      <c r="H239" s="589">
        <f>IF(SUM(Z196:AB196)=0,1,AVERAGEIF(Z196:AB196,"&lt;&gt;0"))</f>
        <v>0.97596561480499189</v>
      </c>
      <c r="I239" s="589">
        <f>IF(SUM(W196:Y196)=0,1,AVERAGEIF(W196:Y196,"&lt;&gt;0"))</f>
        <v>0.98517366299036002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0.99299886027710649</v>
      </c>
      <c r="N239" s="589">
        <f>IF(SUM(AC196:AH196)=0,0,SMALL(AC196:AH196,COUNTIF(AC196:AH196,0)+1))</f>
        <v>0.9390372323723476</v>
      </c>
      <c r="O239" s="589">
        <f t="shared" si="122"/>
        <v>0.96633542808154049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0.99796222987313432</v>
      </c>
      <c r="T239" s="589">
        <f>IF(SUM(W196:AH196)=0,0,SMALL(W196:AH196,COUNTIF(W196:AH196,0)+1))</f>
        <v>0.9390372323723476</v>
      </c>
      <c r="U239" s="317">
        <f t="shared" si="124"/>
        <v>0.97437961761161895</v>
      </c>
      <c r="V239" s="568" t="s">
        <v>982</v>
      </c>
      <c r="W239" s="7"/>
      <c r="X239" s="14">
        <f t="shared" si="125"/>
        <v>0.97551554451741163</v>
      </c>
      <c r="Y239" s="14">
        <f t="shared" si="126"/>
        <v>0.96622963416260266</v>
      </c>
      <c r="Z239" s="14">
        <f t="shared" si="127"/>
        <v>0.96443103567026323</v>
      </c>
      <c r="AA239" s="14">
        <f t="shared" si="128"/>
        <v>0.97954130401807149</v>
      </c>
      <c r="AB239" s="14">
        <f t="shared" si="129"/>
        <v>0.96633542808154049</v>
      </c>
      <c r="AC239" s="14">
        <f t="shared" si="130"/>
        <v>0.97281528672882789</v>
      </c>
      <c r="AD239" s="14">
        <f t="shared" si="131"/>
        <v>0.95457648201554768</v>
      </c>
      <c r="AE239" s="14">
        <f t="shared" si="132"/>
        <v>0.97188929337991736</v>
      </c>
      <c r="AF239" s="14">
        <f t="shared" si="133"/>
        <v>0.94540236587382509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0.97079823879480598</v>
      </c>
      <c r="D240" s="589">
        <f>IF(SUM(AB197:AG197)=0,1,AVERAGEIF(AB197:AG197,"&lt;&gt;0"))</f>
        <v>0.97628230173095132</v>
      </c>
      <c r="E240" s="589">
        <f>IF(SUM(V197:AG197)=0,1,AVERAGEIF(V197:AG197,"&lt;&gt;0"))</f>
        <v>0.94674097426649162</v>
      </c>
      <c r="F240" s="589">
        <f>IF(SUM($C197:AG197)=0,1,AVERAGEIF($C197:AG197,"&lt;&gt;0"))</f>
        <v>0.97553092679906128</v>
      </c>
      <c r="G240" s="589">
        <f>IF(SUM(AB197:AD197)=0,1,AVERAGEIF(AB197:AD197,"&lt;&gt;0"))</f>
        <v>0.98176636466709655</v>
      </c>
      <c r="H240" s="589">
        <f>IF(SUM(Y197:AA197)=0,1,AVERAGEIF(Y197:AA197,"&lt;&gt;0"))</f>
        <v>0.96378765620714502</v>
      </c>
      <c r="I240" s="589">
        <f>IF(SUM(V197:X197)=0,1,AVERAGEIF(V197:X197,"&lt;&gt;0"))</f>
        <v>0.8706116373969186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0.98782823240794793</v>
      </c>
      <c r="N240" s="589">
        <f>IF(SUM(AB197:AG197)=0,0,SMALL(AB197:AG197,COUNTIF(AB197:AG197,0)+1))</f>
        <v>0.9601881725816217</v>
      </c>
      <c r="O240" s="589">
        <f t="shared" si="122"/>
        <v>0.97741935134903479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0.98782823240794793</v>
      </c>
      <c r="T240" s="589">
        <f>IF(SUM(V197:AG197)=0,0,SMALL(V197:AG197,COUNTIF(V197:AG197,0)+1))</f>
        <v>0.67612190519566828</v>
      </c>
      <c r="U240" s="317">
        <f t="shared" si="124"/>
        <v>0.96969415535942838</v>
      </c>
      <c r="V240" s="568" t="s">
        <v>983</v>
      </c>
      <c r="W240" s="7"/>
      <c r="X240" s="567">
        <f t="shared" si="125"/>
        <v>0.97079823879480598</v>
      </c>
      <c r="Y240" s="14">
        <f t="shared" si="126"/>
        <v>0.97628230173095132</v>
      </c>
      <c r="Z240" s="14">
        <f t="shared" si="127"/>
        <v>0.94674097426649162</v>
      </c>
      <c r="AA240" s="14">
        <f t="shared" si="128"/>
        <v>0.97553092679906128</v>
      </c>
      <c r="AB240" s="14">
        <f t="shared" si="129"/>
        <v>0.97741935134903479</v>
      </c>
      <c r="AC240" s="14">
        <f t="shared" si="130"/>
        <v>0.96969415535942838</v>
      </c>
      <c r="AD240" s="14">
        <f t="shared" si="131"/>
        <v>0.98176636466709655</v>
      </c>
      <c r="AE240" s="14">
        <f t="shared" si="132"/>
        <v>0.96378765620714502</v>
      </c>
      <c r="AF240" s="14">
        <f t="shared" si="133"/>
        <v>0.8706116373969186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0.9767035381341248</v>
      </c>
      <c r="D241" s="589">
        <f>IF(SUM(AA198:AF198)=0,1,AVERAGEIF(AA198:AF198,"&lt;&gt;0"))</f>
        <v>0.98354240397579851</v>
      </c>
      <c r="E241" s="589">
        <f>IF(SUM(U198:AF198)=0,1,AVERAGEIF(U198:AF198,"&lt;&gt;0"))</f>
        <v>0.9865333696411408</v>
      </c>
      <c r="F241" s="589">
        <f>IF(SUM($C198:AF198)=0,1,AVERAGEIF($C198:AF198,"&lt;&gt;0"))</f>
        <v>0.98936534280508226</v>
      </c>
      <c r="G241" s="589">
        <f>IF(SUM(AA198:AC198)=0,1,AVERAGEIF(AA198:AC198,"&lt;&gt;0"))</f>
        <v>0.99038126981747254</v>
      </c>
      <c r="H241" s="589">
        <f>IF(SUM(X198:Z198)=0,1,AVERAGEIF(X198:Z198,"&lt;&gt;0"))</f>
        <v>0.98587177060032627</v>
      </c>
      <c r="I241" s="589">
        <f>IF(SUM(U198:W198)=0,1,AVERAGEIF(U198:W198,"&lt;&gt;0"))</f>
        <v>0.99317690001263947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0.99159296894864557</v>
      </c>
      <c r="N241" s="589">
        <f>IF(SUM(AA198:AF198)=0,0,SMALL(AA198:AF198,COUNTIF(AA198:AF198,0)+1))</f>
        <v>0.97207662570550957</v>
      </c>
      <c r="O241" s="589">
        <f t="shared" si="122"/>
        <v>0.98439620730015898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0.99923222396431044</v>
      </c>
      <c r="T241" s="589">
        <f>IF(SUM(U198:AF198)=0,0,SMALL(U198:AF198,COUNTIF(U198:AF198,0)+1))</f>
        <v>0.97207662570550957</v>
      </c>
      <c r="U241" s="317">
        <f t="shared" si="124"/>
        <v>0.98670915860238684</v>
      </c>
      <c r="V241" s="568" t="s">
        <v>984</v>
      </c>
      <c r="W241" s="7"/>
      <c r="X241" s="567">
        <f t="shared" si="125"/>
        <v>0.9767035381341248</v>
      </c>
      <c r="Y241" s="14">
        <f t="shared" si="126"/>
        <v>0.98354240397579851</v>
      </c>
      <c r="Z241" s="14">
        <f t="shared" si="127"/>
        <v>0.9865333696411408</v>
      </c>
      <c r="AA241" s="14">
        <f t="shared" si="128"/>
        <v>0.98936534280508226</v>
      </c>
      <c r="AB241" s="14">
        <f t="shared" si="129"/>
        <v>0.98439620730015898</v>
      </c>
      <c r="AC241" s="14">
        <f t="shared" si="130"/>
        <v>0.98670915860238684</v>
      </c>
      <c r="AD241" s="14">
        <f t="shared" si="131"/>
        <v>0.98903117121916917</v>
      </c>
      <c r="AE241" s="14">
        <f t="shared" si="132"/>
        <v>0.98587177060032627</v>
      </c>
      <c r="AF241" s="14">
        <f t="shared" si="133"/>
        <v>0.99317690001263947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0.99302968460270835</v>
      </c>
      <c r="D242" s="589">
        <f>IF(SUM(Z199:AE199)=0,1,AVERAGEIF(Z199:AE199,"&lt;&gt;0"))</f>
        <v>0.9896830887619642</v>
      </c>
      <c r="E242" s="589">
        <f>IF(SUM(T199:AE199)=0,1,AVERAGEIF(T199:AE199,"&lt;&gt;0"))</f>
        <v>0.99396498195509164</v>
      </c>
      <c r="F242" s="589">
        <f>IF(SUM($C199:AE199)=0,1,AVERAGEIF($C199:AE199,"&lt;&gt;0"))</f>
        <v>0.994157275041604</v>
      </c>
      <c r="G242" s="589">
        <f>IF(SUM(Z199:AB199)=0,1,AVERAGEIF(Z199:AB199,"&lt;&gt;0"))</f>
        <v>0.98633649292121994</v>
      </c>
      <c r="H242" s="589">
        <f>IF(SUM(W199:Y199)=0,1,AVERAGEIF(W199:Y199,"&lt;&gt;0"))</f>
        <v>0.99758830794217079</v>
      </c>
      <c r="I242" s="589">
        <f>IF(SUM(T199:V199)=0,1,AVERAGEIF(T199:V199,"&lt;&gt;0"))</f>
        <v>0.99890544235426748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0.99559318706927047</v>
      </c>
      <c r="N242" s="589">
        <f>IF(SUM(Z199:AE199)=0,0,SMALL(Z199:AE199,COUNTIF(Z199:AE199,0)+1))</f>
        <v>0.98207203000286425</v>
      </c>
      <c r="O242" s="589">
        <f t="shared" si="122"/>
        <v>0.99010832887491251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1</v>
      </c>
      <c r="T242" s="589">
        <f>IF(SUM(T199:AE199)=0,0,SMALL(T199:AE199,COUNTIF(T199:AE199,0)+1))</f>
        <v>0.98207203000286425</v>
      </c>
      <c r="U242" s="317">
        <f t="shared" si="124"/>
        <v>0.99455077534582359</v>
      </c>
      <c r="V242" s="568" t="s">
        <v>985</v>
      </c>
      <c r="W242" s="7"/>
      <c r="X242" s="14">
        <f t="shared" si="125"/>
        <v>0.99286529489491671</v>
      </c>
      <c r="Y242" s="14">
        <f t="shared" si="126"/>
        <v>0.9891501766839379</v>
      </c>
      <c r="Z242" s="14">
        <f t="shared" si="127"/>
        <v>0.99349636086180915</v>
      </c>
      <c r="AA242" s="14">
        <f t="shared" si="128"/>
        <v>0.99367971994845361</v>
      </c>
      <c r="AB242" s="14">
        <f t="shared" si="129"/>
        <v>0.99010832887491251</v>
      </c>
      <c r="AC242" s="14">
        <f t="shared" si="130"/>
        <v>0.99432695137078342</v>
      </c>
      <c r="AD242" s="14">
        <f t="shared" si="131"/>
        <v>0.9854347809726316</v>
      </c>
      <c r="AE242" s="14">
        <f t="shared" si="132"/>
        <v>0.99678398650633981</v>
      </c>
      <c r="AF242" s="14">
        <f t="shared" si="133"/>
        <v>0.99890076503742509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0.99253659711581987</v>
      </c>
      <c r="D243" s="589">
        <f>IF(SUM(Y200:AD200)=0,1,AVERAGEIF(Y200:AD200,"&lt;&gt;0"))</f>
        <v>0.98808521324070975</v>
      </c>
      <c r="E243" s="589">
        <f>IF(SUM(S200:AD200)=0,1,AVERAGEIF(S200:AD200,"&lt;&gt;0"))</f>
        <v>0.9925597813883803</v>
      </c>
      <c r="F243" s="589">
        <f>IF(SUM($C200:AD200)=0,1,AVERAGEIF($C200:AD200,"&lt;&gt;0"))</f>
        <v>0.99272529784950814</v>
      </c>
      <c r="G243" s="589">
        <f>IF(SUM(Y200:AA200)=0,1,AVERAGEIF(Y200:AA200,"&lt;&gt;0"))</f>
        <v>0.98363382936559918</v>
      </c>
      <c r="H243" s="589">
        <f>IF(SUM(V200:X200)=0,1,AVERAGEIF(V200:X200,"&lt;&gt;0"))</f>
        <v>0.99517728860265808</v>
      </c>
      <c r="I243" s="589">
        <f>IF(SUM(S200:U200)=0,1,AVERAGEIF(S200:U200,"&lt;&gt;0"))</f>
        <v>0.99889141046944407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0.99605017507531446</v>
      </c>
      <c r="N243" s="589">
        <f>IF(SUM(Y200:AD200)=0,0,SMALL(Y200:AD200,COUNTIF(Y200:AD200,0)+1))</f>
        <v>0.97192283141714775</v>
      </c>
      <c r="O243" s="589">
        <f t="shared" si="122"/>
        <v>0.99013456823794899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1</v>
      </c>
      <c r="T243" s="589">
        <f>IF(SUM(S200:AD200)=0,0,SMALL(S200:AD200,COUNTIF(S200:AD200,0)+1))</f>
        <v>0.97192283141714775</v>
      </c>
      <c r="U243" s="317">
        <f t="shared" si="124"/>
        <v>0.99387945452434168</v>
      </c>
      <c r="V243" s="568" t="s">
        <v>986</v>
      </c>
      <c r="W243" s="7"/>
      <c r="X243" s="14">
        <f t="shared" si="125"/>
        <v>0.98894945118196298</v>
      </c>
      <c r="Y243" s="14">
        <f t="shared" si="126"/>
        <v>0.98787748751761495</v>
      </c>
      <c r="Z243" s="14">
        <f t="shared" si="127"/>
        <v>0.9925597813883803</v>
      </c>
      <c r="AA243" s="14">
        <f t="shared" si="128"/>
        <v>0.99272529784950814</v>
      </c>
      <c r="AB243" s="14">
        <f t="shared" si="129"/>
        <v>0.99013456823794899</v>
      </c>
      <c r="AC243" s="14">
        <f t="shared" si="130"/>
        <v>0.99387945452434168</v>
      </c>
      <c r="AD243" s="14">
        <f t="shared" si="131"/>
        <v>0.98363382936559918</v>
      </c>
      <c r="AE243" s="14">
        <f t="shared" si="132"/>
        <v>0.99517728860265808</v>
      </c>
      <c r="AF243" s="14">
        <f t="shared" si="133"/>
        <v>0.99870653485060668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0.98181400558234821</v>
      </c>
      <c r="D244" s="589">
        <f>IF(SUM(X201:AC201)=0,1,AVERAGEIF(X201:AC201,"&lt;&gt;0"))</f>
        <v>0.9874621670731395</v>
      </c>
      <c r="E244" s="589">
        <f>IF(SUM(R201:AC201)=0,1,AVERAGEIF(R201:AC201,"&lt;&gt;0"))</f>
        <v>0.9928713748967285</v>
      </c>
      <c r="F244" s="589">
        <f>IF(SUM($C201:AC201)=0,1,AVERAGEIF($C201:AC201,"&lt;&gt;0"))</f>
        <v>0.99602499870547612</v>
      </c>
      <c r="G244" s="589">
        <f>IF(SUM(X201:Z201)=0,1,AVERAGEIF(X201:Z201,"&lt;&gt;0"))</f>
        <v>0.99311032856393089</v>
      </c>
      <c r="H244" s="589">
        <f>IF(SUM(U201:W201)=0,1,AVERAGEIF(U201:W201,"&lt;&gt;0"))</f>
        <v>0.99822427918325529</v>
      </c>
      <c r="I244" s="589">
        <f>IF(SUM(R201:T201)=0,1,AVERAGEIF(R201:T201,"&lt;&gt;0"))</f>
        <v>0.99833688625738004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0.99690691091174111</v>
      </c>
      <c r="N244" s="589">
        <f>IF(SUM(X201:AC201)=0,0,SMALL(X201:AC201,COUNTIF(X201:AC201,0)+1))</f>
        <v>0.96639934809692152</v>
      </c>
      <c r="O244" s="589">
        <f t="shared" si="122"/>
        <v>0.99036668585754362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1</v>
      </c>
      <c r="T244" s="589">
        <f>IF(SUM(R201:AC201)=0,0,SMALL(R201:AC201,COUNTIF(R201:AC201,0)+1))</f>
        <v>0.96639934809692152</v>
      </c>
      <c r="U244" s="317">
        <f t="shared" si="124"/>
        <v>0.99480571506638216</v>
      </c>
      <c r="V244" s="568" t="s">
        <v>987</v>
      </c>
      <c r="W244" s="7"/>
      <c r="X244" s="14">
        <f t="shared" si="125"/>
        <v>0.98181400558234821</v>
      </c>
      <c r="Y244" s="14">
        <f t="shared" si="126"/>
        <v>0.9874621670731395</v>
      </c>
      <c r="Z244" s="14">
        <f t="shared" si="127"/>
        <v>0.9928713748967285</v>
      </c>
      <c r="AA244" s="14">
        <f t="shared" si="128"/>
        <v>0.99602499870547612</v>
      </c>
      <c r="AB244" s="14">
        <f t="shared" si="129"/>
        <v>0.99036668585754362</v>
      </c>
      <c r="AC244" s="14">
        <f t="shared" si="130"/>
        <v>0.99480571506638216</v>
      </c>
      <c r="AD244" s="14">
        <f t="shared" si="131"/>
        <v>0.99311032856393089</v>
      </c>
      <c r="AE244" s="14">
        <f t="shared" si="132"/>
        <v>0.99671326588677522</v>
      </c>
      <c r="AF244" s="14">
        <f t="shared" si="133"/>
        <v>0.99813010367074462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0.99711582506941421</v>
      </c>
      <c r="D245" s="589">
        <f>IF(SUM(W202:AB202)=0,1,AVERAGEIF(W202:AB202,"&lt;&gt;0"))</f>
        <v>0.99644786347102077</v>
      </c>
      <c r="E245" s="589">
        <f>IF(SUM(Q202:AB202)=0,1,AVERAGEIF(Q202:AB202,"&lt;&gt;0"))</f>
        <v>0.99607762285526247</v>
      </c>
      <c r="F245" s="589">
        <f>IF(SUM($C202:AB202)=0,1,AVERAGEIF($C202:AB202,"&lt;&gt;0"))</f>
        <v>0.99669222263557189</v>
      </c>
      <c r="G245" s="589">
        <f>IF(SUM(W202:Y202)=0,1,AVERAGEIF(W202:Y202,"&lt;&gt;0"))</f>
        <v>0.99577990187262733</v>
      </c>
      <c r="H245" s="589">
        <f>IF(SUM(T202:V202)=0,1,AVERAGEIF(T202:V202,"&lt;&gt;0"))</f>
        <v>0.99369809749959648</v>
      </c>
      <c r="I245" s="589">
        <f>IF(SUM(Q202:S202)=0,1,AVERAGEIF(Q202:S202,"&lt;&gt;0"))</f>
        <v>0.99771666697941164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1</v>
      </c>
      <c r="N245" s="589">
        <f>IF(SUM(W202:AB202)=0,0,SMALL(W202:AB202,COUNTIF(W202:AB202,0)+1))</f>
        <v>0.9888237177332595</v>
      </c>
      <c r="O245" s="589">
        <f t="shared" si="122"/>
        <v>0.99746586577321628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1</v>
      </c>
      <c r="T245" s="589">
        <f>IF(SUM(Q202:AB202)=0,0,SMALL(Q202:AB202,COUNTIF(Q202:AB202,0)+1))</f>
        <v>0.98148608203866672</v>
      </c>
      <c r="U245" s="317">
        <f t="shared" si="124"/>
        <v>0.99714453922244828</v>
      </c>
      <c r="V245" s="568" t="s">
        <v>988</v>
      </c>
      <c r="W245" s="7"/>
      <c r="X245" s="14">
        <f t="shared" si="125"/>
        <v>0.99711582506941421</v>
      </c>
      <c r="Y245" s="14">
        <f t="shared" si="126"/>
        <v>0.99644786347102077</v>
      </c>
      <c r="Z245" s="14">
        <f t="shared" si="127"/>
        <v>0.99607762285526247</v>
      </c>
      <c r="AA245" s="14">
        <f t="shared" si="128"/>
        <v>0.99669222263557189</v>
      </c>
      <c r="AB245" s="14">
        <f t="shared" si="129"/>
        <v>0.99746586577321628</v>
      </c>
      <c r="AC245" s="14">
        <f t="shared" si="130"/>
        <v>0.99714453922244828</v>
      </c>
      <c r="AD245" s="14">
        <f t="shared" si="131"/>
        <v>0.99577990187262733</v>
      </c>
      <c r="AE245" s="14">
        <f t="shared" si="132"/>
        <v>0.99369809749959648</v>
      </c>
      <c r="AF245" s="14">
        <f t="shared" si="133"/>
        <v>0.99771666697941164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0.99818065093579966</v>
      </c>
      <c r="D246" s="589">
        <f>IF(SUM(V203:AA203)=0,1,AVERAGEIF(V203:AA203,"&lt;&gt;0"))</f>
        <v>0.9977742995276766</v>
      </c>
      <c r="E246" s="589">
        <f>IF(SUM(P203:AA203)=0,1,AVERAGEIF(P203:AA203,"&lt;&gt;0"))</f>
        <v>0.99876527186997122</v>
      </c>
      <c r="F246" s="589">
        <f>IF(SUM($C203:AA203)=0,1,AVERAGEIF($C203:AA203,"&lt;&gt;0"))</f>
        <v>0.99874030521339929</v>
      </c>
      <c r="G246" s="589">
        <f>IF(SUM(V203:X203)=0,1,AVERAGEIF(V203:X203,"&lt;&gt;0"))</f>
        <v>0.99736794811955354</v>
      </c>
      <c r="H246" s="589">
        <f>IF(SUM(S203:U203)=0,1,AVERAGEIF(S203:U203,"&lt;&gt;0"))</f>
        <v>0.999512488424532</v>
      </c>
      <c r="I246" s="589">
        <f>IF(SUM(P203:R203)=0,1,AVERAGEIF(P203:R203,"&lt;&gt;0"))</f>
        <v>1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1</v>
      </c>
      <c r="N246" s="589">
        <f>IF(SUM(V203:AA203)=0,0,SMALL(V203:AA203,COUNTIF(V203:AA203,0)+1))</f>
        <v>0.99493946234586961</v>
      </c>
      <c r="O246" s="589">
        <f t="shared" si="122"/>
        <v>0.9979265837050475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1</v>
      </c>
      <c r="T246" s="589">
        <f>IF(SUM(P203:AA203)=0,0,SMALL(P203:AA203,COUNTIF(P203:AA203,0)+1))</f>
        <v>0.99493946234586961</v>
      </c>
      <c r="U246" s="317">
        <f t="shared" si="124"/>
        <v>0.99902438000937865</v>
      </c>
      <c r="V246" s="568" t="s">
        <v>989</v>
      </c>
      <c r="W246" s="7"/>
      <c r="X246" s="14">
        <f t="shared" si="125"/>
        <v>0.99793450097256586</v>
      </c>
      <c r="Y246" s="14">
        <f t="shared" si="126"/>
        <v>0.9977742995276766</v>
      </c>
      <c r="Z246" s="14">
        <f t="shared" si="127"/>
        <v>0.99876527186997122</v>
      </c>
      <c r="AA246" s="14">
        <f t="shared" si="128"/>
        <v>0.9983189045932187</v>
      </c>
      <c r="AB246" s="14">
        <f t="shared" si="129"/>
        <v>0.9979265837050475</v>
      </c>
      <c r="AC246" s="14">
        <f t="shared" si="130"/>
        <v>0.99899776319510303</v>
      </c>
      <c r="AD246" s="14">
        <f t="shared" si="131"/>
        <v>0.99736794811955354</v>
      </c>
      <c r="AE246" s="14">
        <f t="shared" si="132"/>
        <v>0.999512488424532</v>
      </c>
      <c r="AF246" s="14">
        <f t="shared" si="133"/>
        <v>0.99970699875742075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0.99744238313184785</v>
      </c>
      <c r="D247" s="589">
        <f>IF(SUM(U204:Z204)=0,1,AVERAGEIF(U204:Z204,"&lt;&gt;0"))</f>
        <v>0.99816708189934289</v>
      </c>
      <c r="E247" s="589">
        <f>IF(SUM(O204:Z204)=0,1,AVERAGEIF(O204:Z204,"&lt;&gt;0"))</f>
        <v>0.99878780656093669</v>
      </c>
      <c r="F247" s="589">
        <f>IF(SUM($C204:Z204)=0,1,AVERAGEIF($C204:Z204,"&lt;&gt;0"))</f>
        <v>0.99747663668521536</v>
      </c>
      <c r="G247" s="589">
        <f>IF(SUM(U204:W204)=0,1,AVERAGEIF(U204:W204,"&lt;&gt;0"))</f>
        <v>0.99889178066683781</v>
      </c>
      <c r="H247" s="589">
        <f>IF(SUM(R204:T204)=0,1,AVERAGEIF(R204:T204,"&lt;&gt;0"))</f>
        <v>0.9996958086487685</v>
      </c>
      <c r="I247" s="589">
        <f>IF(SUM(O204:Q204)=0,1,AVERAGEIF(O204:Q204,"&lt;&gt;0"))</f>
        <v>0.99912125379629269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1</v>
      </c>
      <c r="N247" s="589">
        <f>IF(SUM(U204:Z204)=0,0,SMALL(U204:Z204,COUNTIF(U204:Z204,0)+1))</f>
        <v>0.99600836179151253</v>
      </c>
      <c r="O247" s="589">
        <f t="shared" si="122"/>
        <v>0.9982485324011362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1</v>
      </c>
      <c r="T247" s="589">
        <f>IF(SUM(O204:Z204)=0,0,SMALL(O204:Z204,COUNTIF(O204:Z204,0)+1))</f>
        <v>0.99600836179151253</v>
      </c>
      <c r="U247" s="317">
        <f t="shared" si="124"/>
        <v>0.99894453169397279</v>
      </c>
      <c r="V247" s="568" t="s">
        <v>990</v>
      </c>
      <c r="W247" s="7"/>
      <c r="X247" s="14">
        <f t="shared" si="125"/>
        <v>0.99744238313184785</v>
      </c>
      <c r="Y247" s="14">
        <f t="shared" si="126"/>
        <v>0.99816708189934289</v>
      </c>
      <c r="Z247" s="14">
        <f t="shared" si="127"/>
        <v>0.99878780656093669</v>
      </c>
      <c r="AA247" s="14">
        <f t="shared" si="128"/>
        <v>0.99433679079215642</v>
      </c>
      <c r="AB247" s="14">
        <f t="shared" si="129"/>
        <v>0.9982485324011362</v>
      </c>
      <c r="AC247" s="14">
        <f t="shared" si="130"/>
        <v>0.99894453169397279</v>
      </c>
      <c r="AD247" s="14">
        <f t="shared" si="131"/>
        <v>0.99889178066683781</v>
      </c>
      <c r="AE247" s="14">
        <f t="shared" si="132"/>
        <v>0.9995805942881365</v>
      </c>
      <c r="AF247" s="14">
        <f t="shared" si="133"/>
        <v>0.99912125379629269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1</v>
      </c>
      <c r="D248" s="589">
        <f>IF(SUM(T205:Y205)=0,1,AVERAGEIF(T205:Y205,"&lt;&gt;0"))</f>
        <v>0.99965416822015529</v>
      </c>
      <c r="E248" s="589">
        <f>IF(SUM(N205:Y205)=0,1,AVERAGEIF(N205:Y205,"&lt;&gt;0"))</f>
        <v>0.99966463546020423</v>
      </c>
      <c r="F248" s="589">
        <f>IF(SUM($C205:Y205)=0,1,AVERAGEIF($C205:Y205,"&lt;&gt;0"))</f>
        <v>0.98808671861086594</v>
      </c>
      <c r="G248" s="589">
        <f>IF(SUM(T205:V205)=0,1,AVERAGEIF(T205:V205,"&lt;&gt;0"))</f>
        <v>0.99930833644031081</v>
      </c>
      <c r="H248" s="589">
        <f>IF(SUM(Q205:S205)=0,1,AVERAGEIF(Q205:S205,"&lt;&gt;0"))</f>
        <v>0.99935020540050645</v>
      </c>
      <c r="I248" s="589">
        <f>IF(SUM(N205:P205)=0,1,AVERAGEIF(N205:P205,"&lt;&gt;0"))</f>
        <v>1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1</v>
      </c>
      <c r="N248" s="589">
        <f>IF(SUM(T205:Y205)=0,0,SMALL(T205:Y205,COUNTIF(T205:Y205,0)+1))</f>
        <v>0.99792500932093231</v>
      </c>
      <c r="O248" s="589">
        <f t="shared" si="122"/>
        <v>0.99999999999999989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1</v>
      </c>
      <c r="T248" s="589">
        <f>IF(SUM(N205:Y205)=0,0,SMALL(N205:Y205,COUNTIF(N205:Y205,0)+1))</f>
        <v>0.99792500932093231</v>
      </c>
      <c r="U248" s="317">
        <f t="shared" si="124"/>
        <v>0.99980506162015192</v>
      </c>
      <c r="V248" s="568" t="s">
        <v>991</v>
      </c>
      <c r="W248" s="7"/>
      <c r="X248" s="14">
        <f t="shared" si="125"/>
        <v>0.99935987297818418</v>
      </c>
      <c r="Y248" s="14">
        <f t="shared" si="126"/>
        <v>0.99944954492446048</v>
      </c>
      <c r="Z248" s="14">
        <f t="shared" si="127"/>
        <v>0.9996164919849404</v>
      </c>
      <c r="AA248" s="14">
        <f t="shared" si="128"/>
        <v>0.98808671861086594</v>
      </c>
      <c r="AB248" s="14">
        <f t="shared" si="129"/>
        <v>0.99999999999999989</v>
      </c>
      <c r="AC248" s="14">
        <f t="shared" si="130"/>
        <v>0.99980506162015192</v>
      </c>
      <c r="AD248" s="14">
        <f t="shared" si="131"/>
        <v>0.99930833644031081</v>
      </c>
      <c r="AE248" s="14">
        <f t="shared" si="132"/>
        <v>0.99935020540050645</v>
      </c>
      <c r="AF248" s="14">
        <f t="shared" si="133"/>
        <v>1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0.99808084796006458</v>
      </c>
      <c r="D249" s="589">
        <f>IF(SUM(S206:X206)=0,1,AVERAGEIF(S206:X206,"&lt;&gt;0"))</f>
        <v>0.99904042398003223</v>
      </c>
      <c r="E249" s="589">
        <f>IF(SUM(M206:X206)=0,1,AVERAGEIF(M206:X206,"&lt;&gt;0"))</f>
        <v>0.99952021199001617</v>
      </c>
      <c r="F249" s="589">
        <f>IF(SUM($C206:X206)=0,1,AVERAGEIF($C206:X206,"&lt;&gt;0"))</f>
        <v>0.99222959242711617</v>
      </c>
      <c r="G249" s="589">
        <f>IF(SUM(S206:U206)=0,1,AVERAGEIF(S206:U206,"&lt;&gt;0"))</f>
        <v>1</v>
      </c>
      <c r="H249" s="589">
        <f>IF(SUM(P206:R206)=0,1,AVERAGEIF(P206:R206,"&lt;&gt;0"))</f>
        <v>1</v>
      </c>
      <c r="I249" s="589">
        <f>IF(SUM(M206:O206)=0,1,AVERAGEIF(M206:O206,"&lt;&gt;0"))</f>
        <v>1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1</v>
      </c>
      <c r="N249" s="589">
        <f>IF(SUM(S206:X206)=0,0,SMALL(S206:X206,COUNTIF(S206:X206,0)+1))</f>
        <v>0.99424254388019351</v>
      </c>
      <c r="O249" s="589">
        <f t="shared" si="122"/>
        <v>0.99999999999999989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1</v>
      </c>
      <c r="T249" s="589">
        <f>IF(SUM(M206:X206)=0,0,SMALL(M206:X206,COUNTIF(M206:X206,0)+1))</f>
        <v>0.99424254388019351</v>
      </c>
      <c r="U249" s="317">
        <f t="shared" si="124"/>
        <v>1</v>
      </c>
      <c r="V249" s="568" t="s">
        <v>992</v>
      </c>
      <c r="W249" s="7"/>
      <c r="X249" s="14">
        <f t="shared" si="125"/>
        <v>0.99808084796006458</v>
      </c>
      <c r="Y249" s="14">
        <f t="shared" si="126"/>
        <v>0.99904042398003223</v>
      </c>
      <c r="Z249" s="14">
        <f t="shared" si="127"/>
        <v>0.99952021199001617</v>
      </c>
      <c r="AA249" s="14">
        <f t="shared" si="128"/>
        <v>0.99222959242711617</v>
      </c>
      <c r="AB249" s="14">
        <f t="shared" si="129"/>
        <v>0.99999999999999989</v>
      </c>
      <c r="AC249" s="14">
        <f t="shared" si="130"/>
        <v>1</v>
      </c>
      <c r="AD249" s="14">
        <f t="shared" si="131"/>
        <v>1</v>
      </c>
      <c r="AE249" s="14">
        <f t="shared" si="132"/>
        <v>0.99984378833731113</v>
      </c>
      <c r="AF249" s="14">
        <f t="shared" si="133"/>
        <v>1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1</v>
      </c>
      <c r="D250" s="589">
        <f>IF(SUM(R207:W207)=0,1,AVERAGEIF(R207:W207,"&lt;&gt;0"))</f>
        <v>1</v>
      </c>
      <c r="E250" s="589">
        <f>IF(SUM(L207:W207)=0,1,AVERAGEIF(L207:W207,"&lt;&gt;0"))</f>
        <v>0.99988285955359313</v>
      </c>
      <c r="F250" s="589">
        <f>IF(SUM($C207:W207)=0,1,AVERAGEIF($C207:W207,"&lt;&gt;0"))</f>
        <v>0.99993306260205317</v>
      </c>
      <c r="G250" s="589">
        <f>IF(SUM(R207:T207)=0,1,AVERAGEIF(R207:T207,"&lt;&gt;0"))</f>
        <v>1</v>
      </c>
      <c r="H250" s="589">
        <f>IF(SUM(O207:Q207)=0,1,AVERAGEIF(O207:Q207,"&lt;&gt;0"))</f>
        <v>0.99953143821437218</v>
      </c>
      <c r="I250" s="589">
        <f>IF(SUM(L207:N207)=0,1,AVERAGEIF(L207:N207,"&lt;&gt;0"))</f>
        <v>1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1</v>
      </c>
      <c r="N250" s="589">
        <f>IF(SUM(R207:W207)=0,0,SMALL(R207:W207,COUNTIF(R207:W207,0)+1))</f>
        <v>1</v>
      </c>
      <c r="O250" s="589">
        <f t="shared" si="122"/>
        <v>1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1</v>
      </c>
      <c r="T250" s="589">
        <f>IF(SUM(L207:W207)=0,0,SMALL(L207:W207,COUNTIF(L207:W207,0)+1))</f>
        <v>0.99859431464311665</v>
      </c>
      <c r="U250" s="317">
        <f t="shared" si="124"/>
        <v>1</v>
      </c>
      <c r="V250" s="568" t="s">
        <v>993</v>
      </c>
      <c r="W250" s="7"/>
      <c r="X250" s="14">
        <f t="shared" si="125"/>
        <v>0.99998866527159924</v>
      </c>
      <c r="Y250" s="14">
        <f t="shared" si="126"/>
        <v>0.99999433266791882</v>
      </c>
      <c r="Z250" s="14">
        <f t="shared" si="127"/>
        <v>0.99988285955359313</v>
      </c>
      <c r="AA250" s="14">
        <f t="shared" si="128"/>
        <v>0.99990686970736919</v>
      </c>
      <c r="AB250" s="14">
        <f t="shared" si="129"/>
        <v>1</v>
      </c>
      <c r="AC250" s="14">
        <f t="shared" si="130"/>
        <v>1</v>
      </c>
      <c r="AD250" s="14">
        <f t="shared" si="131"/>
        <v>1</v>
      </c>
      <c r="AE250" s="14">
        <f t="shared" si="132"/>
        <v>0.99953143821437218</v>
      </c>
      <c r="AF250" s="14">
        <f t="shared" si="133"/>
        <v>1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0.99996599620022453</v>
      </c>
      <c r="D251" s="589">
        <f>IF(SUM(Q208:V208)=0,1,AVERAGEIF(Q208:V208,"&lt;&gt;0"))</f>
        <v>0.99998299810011237</v>
      </c>
      <c r="E251" s="589">
        <f>IF(SUM(K208:V208)=0,1,AVERAGEIF(K208:V208,"&lt;&gt;0"))</f>
        <v>0.99999149905005613</v>
      </c>
      <c r="F251" s="589">
        <f>IF(SUM($C208:V208)=0,1,AVERAGEIF($C208:V208,"&lt;&gt;0"))</f>
        <v>0.99985448597632431</v>
      </c>
      <c r="G251" s="589">
        <f>IF(SUM(Q208:S208)=0,1,AVERAGEIF(Q208:S208,"&lt;&gt;0"))</f>
        <v>1</v>
      </c>
      <c r="H251" s="589">
        <f>IF(SUM(N208:P208)=0,1,AVERAGEIF(N208:P208,"&lt;&gt;0"))</f>
        <v>1</v>
      </c>
      <c r="I251" s="589">
        <f>IF(SUM(K208:M208)=0,1,AVERAGEIF(K208:M208,"&lt;&gt;0"))</f>
        <v>1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1</v>
      </c>
      <c r="N251" s="589">
        <f>IF(SUM(Q208:V208)=0,0,SMALL(Q208:V208,COUNTIF(Q208:V208,0)+1))</f>
        <v>0.99989798860067358</v>
      </c>
      <c r="O251" s="589">
        <f t="shared" si="122"/>
        <v>1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1</v>
      </c>
      <c r="T251" s="589">
        <f>IF(SUM(K208:V208)=0,0,SMALL(K208:V208,COUNTIF(K208:V208,0)+1))</f>
        <v>0.99989798860067358</v>
      </c>
      <c r="U251" s="317">
        <f t="shared" si="124"/>
        <v>1</v>
      </c>
      <c r="V251" s="568" t="s">
        <v>994</v>
      </c>
      <c r="W251" s="7"/>
      <c r="X251" s="14">
        <f t="shared" si="125"/>
        <v>0.99996599620022453</v>
      </c>
      <c r="Y251" s="14">
        <f t="shared" si="126"/>
        <v>0.99998299810011237</v>
      </c>
      <c r="Z251" s="14">
        <f t="shared" si="127"/>
        <v>0.99999149905005613</v>
      </c>
      <c r="AA251" s="14">
        <f t="shared" si="128"/>
        <v>0.99985448597632431</v>
      </c>
      <c r="AB251" s="14">
        <f t="shared" si="129"/>
        <v>1</v>
      </c>
      <c r="AC251" s="14">
        <f t="shared" si="130"/>
        <v>1</v>
      </c>
      <c r="AD251" s="14">
        <f t="shared" si="131"/>
        <v>1</v>
      </c>
      <c r="AE251" s="14">
        <f t="shared" si="132"/>
        <v>1</v>
      </c>
      <c r="AF251" s="14">
        <f t="shared" si="133"/>
        <v>1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1</v>
      </c>
      <c r="D252" s="589">
        <f>IF(SUM(P209:U209)=0,1,AVERAGEIF(P209:U209,"&lt;&gt;0"))</f>
        <v>1</v>
      </c>
      <c r="E252" s="589">
        <f>IF(SUM(J209:U209)=0,1,AVERAGEIF(J209:U209,"&lt;&gt;0"))</f>
        <v>1</v>
      </c>
      <c r="F252" s="589">
        <f>IF(SUM($C209:U209)=0,1,AVERAGEIF($C209:U209,"&lt;&gt;0"))</f>
        <v>1</v>
      </c>
      <c r="G252" s="589">
        <f>IF(SUM(P209:R209)=0,1,AVERAGEIF(P209:R209,"&lt;&gt;0"))</f>
        <v>1</v>
      </c>
      <c r="H252" s="589">
        <f>IF(SUM(M209:O209)=0,1,AVERAGEIF(M209:O209,"&lt;&gt;0"))</f>
        <v>1</v>
      </c>
      <c r="I252" s="589">
        <f>IF(SUM(J209:L209)=0,1,AVERAGEIF(J209:L209,"&lt;&gt;0"))</f>
        <v>1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1</v>
      </c>
      <c r="N252" s="589">
        <f>IF(SUM(P209:U209)=0,0,SMALL(P209:U209,COUNTIF(P209:U209,0)+1))</f>
        <v>1</v>
      </c>
      <c r="O252" s="589">
        <f t="shared" si="122"/>
        <v>1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1</v>
      </c>
      <c r="T252" s="589">
        <f>IF(SUM(J209:U209)=0,0,SMALL(J209:U209,COUNTIF(J209:U209,0)+1))</f>
        <v>1</v>
      </c>
      <c r="U252" s="317">
        <f t="shared" si="124"/>
        <v>1</v>
      </c>
      <c r="V252" s="568" t="s">
        <v>995</v>
      </c>
      <c r="W252" s="7"/>
      <c r="X252" s="14">
        <f t="shared" si="125"/>
        <v>1</v>
      </c>
      <c r="Y252" s="14">
        <f t="shared" si="126"/>
        <v>0.9995731029810585</v>
      </c>
      <c r="Z252" s="14">
        <f t="shared" si="127"/>
        <v>0.99974810454470475</v>
      </c>
      <c r="AA252" s="14">
        <f t="shared" si="128"/>
        <v>0.99982436735135716</v>
      </c>
      <c r="AB252" s="14">
        <f t="shared" si="129"/>
        <v>1</v>
      </c>
      <c r="AC252" s="14">
        <f t="shared" si="130"/>
        <v>0.99995382833933322</v>
      </c>
      <c r="AD252" s="14">
        <f t="shared" si="131"/>
        <v>0.99914584101253312</v>
      </c>
      <c r="AE252" s="14">
        <f t="shared" si="132"/>
        <v>1</v>
      </c>
      <c r="AF252" s="14">
        <f t="shared" si="133"/>
        <v>0.99984607787960522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1</v>
      </c>
      <c r="D253" s="589">
        <f>IF(SUM(O210:T210)=0,1,AVERAGEIF(O210:T210,"&lt;&gt;0"))</f>
        <v>0.99871985558857157</v>
      </c>
      <c r="E253" s="589">
        <f>IF(SUM(I210:T210)=0,1,AVERAGEIF(I210:T210,"&lt;&gt;0"))</f>
        <v>0.99924450397209241</v>
      </c>
      <c r="F253" s="589">
        <f>IF(SUM($C210:T210)=0,1,AVERAGEIF($C210:T210,"&lt;&gt;0"))</f>
        <v>0.99947319458913542</v>
      </c>
      <c r="G253" s="589">
        <f>IF(SUM(O210:Q210)=0,1,AVERAGEIF(O210:Q210,"&lt;&gt;0"))</f>
        <v>0.99743971117714325</v>
      </c>
      <c r="H253" s="589">
        <f>IF(SUM(L210:N210)=0,1,AVERAGEIF(L210:N210,"&lt;&gt;0"))</f>
        <v>1</v>
      </c>
      <c r="I253" s="589">
        <f>IF(SUM(I210:K210)=0,1,AVERAGEIF(I210:K210,"&lt;&gt;0"))</f>
        <v>0.9995383047112264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1</v>
      </c>
      <c r="N253" s="589">
        <f>IF(SUM(O210:T210)=0,0,SMALL(O210:T210,COUNTIF(O210:T210,0)+1))</f>
        <v>0.99231913353142942</v>
      </c>
      <c r="O253" s="589">
        <f t="shared" si="122"/>
        <v>1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1</v>
      </c>
      <c r="T253" s="589">
        <f>IF(SUM(I210:T210)=0,0,SMALL(I210:T210,COUNTIF(I210:T210,0)+1))</f>
        <v>0.99231913353142942</v>
      </c>
      <c r="U253" s="317">
        <f t="shared" si="124"/>
        <v>0.99986149141336789</v>
      </c>
      <c r="V253" s="568" t="s">
        <v>996</v>
      </c>
      <c r="W253" s="7"/>
      <c r="X253" s="14">
        <f t="shared" si="125"/>
        <v>1</v>
      </c>
      <c r="Y253" s="14">
        <f t="shared" si="126"/>
        <v>0.99871985558857157</v>
      </c>
      <c r="Z253" s="14">
        <f t="shared" si="127"/>
        <v>0.99924450397209241</v>
      </c>
      <c r="AA253" s="14">
        <f t="shared" si="128"/>
        <v>0.99947319458913542</v>
      </c>
      <c r="AB253" s="14">
        <f t="shared" si="129"/>
        <v>1</v>
      </c>
      <c r="AC253" s="14">
        <f t="shared" si="130"/>
        <v>0.99986149141336789</v>
      </c>
      <c r="AD253" s="14">
        <f t="shared" si="131"/>
        <v>0.99743971117714325</v>
      </c>
      <c r="AE253" s="14">
        <f t="shared" si="132"/>
        <v>1</v>
      </c>
      <c r="AF253" s="14">
        <f t="shared" si="133"/>
        <v>0.9995383047112264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1</v>
      </c>
      <c r="D254" s="589">
        <f>IF(SUM(N211:S211)=0,1,AVERAGEIF(N211:S211,"&lt;&gt;0"))</f>
        <v>1</v>
      </c>
      <c r="E254" s="589">
        <f>IF(SUM(H211:S211)=0,1,AVERAGEIF(H211:S211,"&lt;&gt;0"))</f>
        <v>1</v>
      </c>
      <c r="F254" s="589">
        <f>IF(SUM($C211:S211)=0,1,AVERAGEIF($C211:S211,"&lt;&gt;0"))</f>
        <v>1</v>
      </c>
      <c r="G254" s="589">
        <f>IF(SUM(N211:P211)=0,1,AVERAGEIF(N211:P211,"&lt;&gt;0"))</f>
        <v>1</v>
      </c>
      <c r="H254" s="589">
        <f>IF(SUM(K211:M211)=0,1,AVERAGEIF(K211:M211,"&lt;&gt;0"))</f>
        <v>1</v>
      </c>
      <c r="I254" s="589">
        <f>IF(SUM(H211:J211)=0,1,AVERAGEIF(H211:J211,"&lt;&gt;0"))</f>
        <v>1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1</v>
      </c>
      <c r="N254" s="589">
        <f>IF(SUM(N211:S211)=0,0,SMALL(N211:S211,COUNTIF(N211:S211,0)+1))</f>
        <v>1</v>
      </c>
      <c r="O254" s="589">
        <f t="shared" si="122"/>
        <v>1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1</v>
      </c>
      <c r="T254" s="589">
        <f>IF(SUM(H211:S211)=0,0,SMALL(H211:S211,COUNTIF(H211:S211,0)+1))</f>
        <v>1</v>
      </c>
      <c r="U254" s="317">
        <f t="shared" si="124"/>
        <v>1</v>
      </c>
      <c r="V254" s="568" t="s">
        <v>997</v>
      </c>
      <c r="W254" s="7"/>
      <c r="X254" s="14">
        <f t="shared" si="125"/>
        <v>1</v>
      </c>
      <c r="Y254" s="14">
        <f t="shared" si="126"/>
        <v>1</v>
      </c>
      <c r="Z254" s="14">
        <f t="shared" si="127"/>
        <v>1</v>
      </c>
      <c r="AA254" s="14">
        <f t="shared" si="128"/>
        <v>1</v>
      </c>
      <c r="AB254" s="14">
        <f t="shared" si="129"/>
        <v>1</v>
      </c>
      <c r="AC254" s="14">
        <f t="shared" si="130"/>
        <v>1</v>
      </c>
      <c r="AD254" s="14">
        <f t="shared" si="131"/>
        <v>1</v>
      </c>
      <c r="AE254" s="14">
        <f t="shared" si="132"/>
        <v>1</v>
      </c>
      <c r="AF254" s="14">
        <f t="shared" si="133"/>
        <v>1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1</v>
      </c>
      <c r="D255" s="589">
        <f>IF(SUM(M212:R212)=0,1,AVERAGEIF(M212:R212,"&lt;&gt;0"))</f>
        <v>1</v>
      </c>
      <c r="E255" s="589">
        <f>IF(SUM(G212:R212)=0,1,AVERAGEIF(G212:R212,"&lt;&gt;0"))</f>
        <v>1</v>
      </c>
      <c r="F255" s="589">
        <f>IF(SUM($C212:R212)=0,1,AVERAGEIF($C212:R212,"&lt;&gt;0"))</f>
        <v>1</v>
      </c>
      <c r="G255" s="589">
        <f>IF(SUM(M212:O212)=0,1,AVERAGEIF(M212:O212,"&lt;&gt;0"))</f>
        <v>1</v>
      </c>
      <c r="H255" s="589">
        <f>IF(SUM(J212:L212)=0,1,AVERAGEIF(J212:L212,"&lt;&gt;0"))</f>
        <v>1</v>
      </c>
      <c r="I255" s="589">
        <f>IF(SUM(G212:I212)=0,1,AVERAGEIF(G212:I212,"&lt;&gt;0"))</f>
        <v>1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1</v>
      </c>
      <c r="N255" s="589">
        <f>IF(SUM(M212:R212)=0,0,SMALL(M212:R212,COUNTIF(M212:R212,0)+1))</f>
        <v>1</v>
      </c>
      <c r="O255" s="589">
        <f t="shared" si="122"/>
        <v>1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1</v>
      </c>
      <c r="T255" s="589">
        <f>IF(SUM(G212:R212)=0,0,SMALL(G212:R212,COUNTIF(G212:R212,0)+1))</f>
        <v>1</v>
      </c>
      <c r="U255" s="317">
        <f t="shared" si="124"/>
        <v>1</v>
      </c>
      <c r="V255" s="568" t="s">
        <v>998</v>
      </c>
      <c r="W255" s="7"/>
      <c r="X255" s="14">
        <f t="shared" si="125"/>
        <v>1</v>
      </c>
      <c r="Y255" s="14">
        <f t="shared" si="126"/>
        <v>1</v>
      </c>
      <c r="Z255" s="14">
        <f t="shared" si="127"/>
        <v>0.99998336850410452</v>
      </c>
      <c r="AA255" s="14">
        <f t="shared" si="128"/>
        <v>0.99998282477841915</v>
      </c>
      <c r="AB255" s="14">
        <f t="shared" si="129"/>
        <v>1</v>
      </c>
      <c r="AC255" s="14">
        <f t="shared" si="130"/>
        <v>1</v>
      </c>
      <c r="AD255" s="14">
        <f t="shared" si="131"/>
        <v>1</v>
      </c>
      <c r="AE255" s="14">
        <f t="shared" si="132"/>
        <v>1</v>
      </c>
      <c r="AF255" s="14">
        <f t="shared" si="133"/>
        <v>0.99993347069678851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1</v>
      </c>
      <c r="D256" s="589">
        <f>IF(SUM(L213:Q213)=0,1,AVERAGEIF(L213:Q213,"&lt;&gt;0"))</f>
        <v>1</v>
      </c>
      <c r="E256" s="589">
        <f>IF(SUM(F213:Q213)=0,1,AVERAGEIF(F213:Q213,"&lt;&gt;0"))</f>
        <v>0.99995010634212889</v>
      </c>
      <c r="F256" s="589">
        <f>IF(SUM($C213:Q213)=0,1,AVERAGEIF($C213:Q213,"&lt;&gt;0"))</f>
        <v>0.99994847522021724</v>
      </c>
      <c r="G256" s="589">
        <f>IF(SUM(L213:N213)=0,1,AVERAGEIF(L213:N213,"&lt;&gt;0"))</f>
        <v>1</v>
      </c>
      <c r="H256" s="589">
        <f>IF(SUM(I213:K213)=0,1,AVERAGEIF(I213:K213,"&lt;&gt;0"))</f>
        <v>1</v>
      </c>
      <c r="I256" s="589">
        <f>IF(SUM(F213:H213)=0,1,AVERAGEIF(F213:H213,"&lt;&gt;0"))</f>
        <v>0.99980042536851554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1</v>
      </c>
      <c r="N256" s="589">
        <f>IF(SUM(L213:Q213)=0,0,SMALL(L213:Q213,COUNTIF(L213:Q213,0)+1))</f>
        <v>1</v>
      </c>
      <c r="O256" s="589">
        <f t="shared" si="122"/>
        <v>1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1</v>
      </c>
      <c r="T256" s="589">
        <f>IF(SUM(F213:Q213)=0,0,SMALL(F213:Q213,COUNTIF(F213:Q213,0)+1))</f>
        <v>0.99940127610554663</v>
      </c>
      <c r="U256" s="317">
        <f t="shared" si="124"/>
        <v>1</v>
      </c>
      <c r="V256" s="568" t="s">
        <v>999</v>
      </c>
      <c r="W256" s="7"/>
      <c r="X256" s="14">
        <f t="shared" si="125"/>
        <v>1</v>
      </c>
      <c r="Y256" s="14">
        <f t="shared" si="126"/>
        <v>1</v>
      </c>
      <c r="Z256" s="14">
        <f t="shared" si="127"/>
        <v>0.99995010634212889</v>
      </c>
      <c r="AA256" s="14">
        <f t="shared" si="128"/>
        <v>0.99994847522021724</v>
      </c>
      <c r="AB256" s="14">
        <f t="shared" si="129"/>
        <v>1</v>
      </c>
      <c r="AC256" s="14">
        <f t="shared" si="130"/>
        <v>1</v>
      </c>
      <c r="AD256" s="14">
        <f t="shared" si="131"/>
        <v>1</v>
      </c>
      <c r="AE256" s="14">
        <f t="shared" si="132"/>
        <v>1</v>
      </c>
      <c r="AF256" s="14">
        <f t="shared" si="133"/>
        <v>0.99980042536851554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1</v>
      </c>
      <c r="D257" s="589">
        <f>IF(SUM(K214:P214)=0,1,AVERAGEIF(K214:P214,"&lt;&gt;0"))</f>
        <v>1</v>
      </c>
      <c r="E257" s="589">
        <f>IF(SUM(E214:P214)=0,1,AVERAGEIF(E214:P214,"&lt;&gt;0"))</f>
        <v>1</v>
      </c>
      <c r="F257" s="589">
        <f>IF(SUM($C214:P214)=0,1,AVERAGEIF($C214:P214,"&lt;&gt;0"))</f>
        <v>1</v>
      </c>
      <c r="G257" s="589">
        <f>IF(SUM(K214:M214)=0,1,AVERAGEIF(K214:M214,"&lt;&gt;0"))</f>
        <v>1</v>
      </c>
      <c r="H257" s="589">
        <f>IF(SUM(H214:J214)=0,1,AVERAGEIF(H214:J214,"&lt;&gt;0"))</f>
        <v>1</v>
      </c>
      <c r="I257" s="589">
        <f>IF(SUM(E214:G214)=0,1,AVERAGEIF(E214:G214,"&lt;&gt;0"))</f>
        <v>1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1</v>
      </c>
      <c r="N257" s="589">
        <f>IF(SUM(K214:P214)=0,0,SMALL(K214:P214,COUNTIF(K214:P214,0)+1))</f>
        <v>1</v>
      </c>
      <c r="O257" s="589">
        <f t="shared" si="122"/>
        <v>1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1</v>
      </c>
      <c r="T257" s="589">
        <f>IF(SUM(E214:P214)=0,0,SMALL(E214:P214,COUNTIF(E214:P214,0)+1))</f>
        <v>1</v>
      </c>
      <c r="U257" s="317">
        <f t="shared" si="124"/>
        <v>1</v>
      </c>
      <c r="V257" s="568" t="s">
        <v>1000</v>
      </c>
      <c r="W257" s="7"/>
      <c r="X257" s="14">
        <f t="shared" si="125"/>
        <v>1</v>
      </c>
      <c r="Y257" s="14">
        <f t="shared" si="126"/>
        <v>1</v>
      </c>
      <c r="Z257" s="14">
        <f t="shared" si="127"/>
        <v>1</v>
      </c>
      <c r="AA257" s="14">
        <f t="shared" si="128"/>
        <v>1</v>
      </c>
      <c r="AB257" s="14">
        <f t="shared" si="129"/>
        <v>1</v>
      </c>
      <c r="AC257" s="14">
        <f t="shared" si="130"/>
        <v>1</v>
      </c>
      <c r="AD257" s="14">
        <f t="shared" si="131"/>
        <v>1</v>
      </c>
      <c r="AE257" s="14">
        <f t="shared" si="132"/>
        <v>1</v>
      </c>
      <c r="AF257" s="14">
        <f t="shared" si="133"/>
        <v>1</v>
      </c>
      <c r="AH257" s="212"/>
      <c r="AI257" s="212"/>
      <c r="AJ257" s="212"/>
      <c r="AK257" s="212"/>
      <c r="AL257" s="212"/>
      <c r="AM257" s="141">
        <f>+G281</f>
        <v>0.15788285920435713</v>
      </c>
      <c r="AN257" s="141">
        <f>+D281</f>
        <v>0.18197635214513916</v>
      </c>
      <c r="AO257" s="141">
        <f>+D281</f>
        <v>0.18197635214513916</v>
      </c>
      <c r="AP257" s="141">
        <f>+X281</f>
        <v>0.13319817079187476</v>
      </c>
      <c r="AQ257" s="141">
        <f>+AA281</f>
        <v>0.23235357760679382</v>
      </c>
      <c r="AR257" s="141">
        <f>+AD281</f>
        <v>0.12682243327293366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1</v>
      </c>
      <c r="D258" s="589">
        <f>IF(SUM(J215:O215)=0,1,AVERAGEIF(J215:O215,"&lt;&gt;0"))</f>
        <v>1</v>
      </c>
      <c r="E258" s="589">
        <f>IF(SUM(D215:O215)=0,1,AVERAGEIF(D215:O215,"&lt;&gt;0"))</f>
        <v>1</v>
      </c>
      <c r="F258" s="589">
        <f>IF(SUM($C215:O215)=0,1,AVERAGEIF($C215:O215,"&lt;&gt;0"))</f>
        <v>1</v>
      </c>
      <c r="G258" s="589">
        <f>IF(SUM(J215:L215)=0,1,AVERAGEIF(J215:L215,"&lt;&gt;0"))</f>
        <v>1</v>
      </c>
      <c r="H258" s="589">
        <f>IF(SUM(G215:I215)=0,1,AVERAGEIF(G215:I215,"&lt;&gt;0"))</f>
        <v>1</v>
      </c>
      <c r="I258" s="589">
        <f>IF(SUM(D215:F215)=0,1,AVERAGEIF(D215:F215,"&lt;&gt;0"))</f>
        <v>1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1</v>
      </c>
      <c r="N258" s="589">
        <f>IF(SUM(J215:O215)=0,0,SMALL(J215:O215,COUNTIF(J215:O215,0)+1))</f>
        <v>1</v>
      </c>
      <c r="O258" s="589">
        <f t="shared" si="122"/>
        <v>1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1</v>
      </c>
      <c r="T258" s="589">
        <f>IF(SUM(D215:O215)=0,0,SMALL(D215:O215,COUNTIF(D215:O215,0)+1))</f>
        <v>1</v>
      </c>
      <c r="U258" s="317">
        <f t="shared" si="124"/>
        <v>1</v>
      </c>
      <c r="V258" s="568" t="s">
        <v>1001</v>
      </c>
      <c r="W258" s="7"/>
      <c r="X258" s="14">
        <f t="shared" ref="X258:X269" si="137">IF((C258&gt;C259),MIN((C258^2*C259)^(1/3),1),MIN(C258,1))</f>
        <v>1</v>
      </c>
      <c r="Y258" s="14">
        <f t="shared" ref="Y258:Y269" si="138">IF((D258&gt;D259),MIN((D258^2*D259)^(1/3),1),MIN(D258,1))</f>
        <v>0.99991177511802887</v>
      </c>
      <c r="Z258" s="14">
        <f t="shared" ref="Z258:Z269" si="139">IF((E258&gt;E259),MIN((E258^2*E259)^(1/3),1),MIN(E258,1))</f>
        <v>0.99995588950500769</v>
      </c>
      <c r="AA258" s="14">
        <f t="shared" ref="AA258:AA269" si="140">IF((F258&gt;F259),MIN((F258^2*F259)^(1/3),1),MIN(F258,1))</f>
        <v>0.99995588950500769</v>
      </c>
      <c r="AB258" s="14">
        <f t="shared" ref="AB258:AB269" si="141">IF((O258&gt;O259),MIN((O258^2*O259)^(1/3),1),MIN(O258,1))</f>
        <v>1</v>
      </c>
      <c r="AC258" s="14">
        <f t="shared" ref="AC258:AC269" si="142">IF((U258&gt;U259),MIN((U258^2*U259)^(1/3),1),MIN(U258,1))</f>
        <v>1</v>
      </c>
      <c r="AD258" s="14">
        <f t="shared" ref="AD258:AD269" si="143">IF((G258&gt;G259),MIN((G258^2*G259)^(1/3),1),MIN(G258,1))</f>
        <v>0.99982353466467666</v>
      </c>
      <c r="AE258" s="14">
        <f t="shared" ref="AE258:AE269" si="144">IF((H258&gt;H259),MIN((H258^2*H259)^(1/3),1),MIN(H258,1))</f>
        <v>1</v>
      </c>
      <c r="AF258" s="14">
        <f t="shared" ref="AF258:AF269" si="145">IF((I258&gt;I259),MIN((I258^2*I259)^(1/3),1),MIN(I258,1))</f>
        <v>1</v>
      </c>
      <c r="AH258" s="212"/>
      <c r="AI258" s="212"/>
      <c r="AJ258" s="212"/>
      <c r="AK258" s="212"/>
      <c r="AL258" s="212"/>
      <c r="AM258" s="141">
        <f>+G282</f>
        <v>0.65483901128037991</v>
      </c>
      <c r="AN258" s="141">
        <f>+D282</f>
        <v>0.66255212954696008</v>
      </c>
      <c r="AO258" s="141">
        <f>+D282</f>
        <v>0.66255212954696008</v>
      </c>
      <c r="AP258" s="141">
        <f>+X282</f>
        <v>0.64178308483473545</v>
      </c>
      <c r="AQ258" s="141">
        <f>+AA282</f>
        <v>0.72723375587691508</v>
      </c>
      <c r="AR258" s="141">
        <f>+AD282</f>
        <v>0.61619424426750102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1</v>
      </c>
      <c r="D259" s="593">
        <f>IF(SUM(I216:N216)=0,1,AVERAGEIF(I216:N216,"&lt;&gt;0"))</f>
        <v>0.99973534870428915</v>
      </c>
      <c r="E259" s="593">
        <f>IF(SUM(C216:N216)=0,1,AVERAGEIF(C216:N216,"&lt;&gt;0"))</f>
        <v>0.99986767435214452</v>
      </c>
      <c r="F259" s="593">
        <f>IF(SUM(C216:N216)=0,1,AVERAGEIF(C216:N216,"&lt;&gt;0"))</f>
        <v>0.99986767435214452</v>
      </c>
      <c r="G259" s="593">
        <f>IF(SUM(I216:K216)=0,1,AVERAGEIF(I216:K216,"&lt;&gt;0"))</f>
        <v>0.99947069740857841</v>
      </c>
      <c r="H259" s="593">
        <f>IF(SUM(F216:H216)=0,1,AVERAGEIF(F216:H216,"&lt;&gt;0"))</f>
        <v>1</v>
      </c>
      <c r="I259" s="589">
        <f>IF(SUM(C216:E216)=0,1,AVERAGEIF(C216:E216,"&lt;&gt;0"))</f>
        <v>1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1</v>
      </c>
      <c r="N259" s="593">
        <f>IF(SUM(I216:N216)=0,0,SMALL(I216:N216,COUNTIF(I216:N216,0)+1))</f>
        <v>0.99841209222573513</v>
      </c>
      <c r="O259" s="589">
        <f t="shared" si="122"/>
        <v>0.99999999999999989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1</v>
      </c>
      <c r="T259" s="593">
        <f>IF(SUM(C216:N216)=0,0,SMALL(C216:N216,COUNTIF(C216:N216,0)+1))</f>
        <v>0.99841209222573513</v>
      </c>
      <c r="U259" s="317">
        <f t="shared" si="124"/>
        <v>1</v>
      </c>
      <c r="V259" s="568" t="s">
        <v>1043</v>
      </c>
      <c r="W259" s="7"/>
      <c r="X259" s="14">
        <f t="shared" si="137"/>
        <v>1</v>
      </c>
      <c r="Y259" s="14">
        <f t="shared" si="138"/>
        <v>0.99973534870428915</v>
      </c>
      <c r="Z259" s="14">
        <f t="shared" si="139"/>
        <v>0.99986767435214452</v>
      </c>
      <c r="AA259" s="14">
        <f t="shared" si="140"/>
        <v>0.99986767435214452</v>
      </c>
      <c r="AB259" s="14">
        <f t="shared" si="141"/>
        <v>0.99999999999999989</v>
      </c>
      <c r="AC259" s="14">
        <f t="shared" si="142"/>
        <v>1</v>
      </c>
      <c r="AD259" s="14">
        <f t="shared" si="143"/>
        <v>0.99947069740857841</v>
      </c>
      <c r="AE259" s="14">
        <f t="shared" si="144"/>
        <v>1</v>
      </c>
      <c r="AF259" s="14">
        <f t="shared" si="145"/>
        <v>1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1</v>
      </c>
      <c r="D260" s="593">
        <f>IF(SUM(H217:M217)=0,1,AVERAGEIF(H217:M217,"&lt;&gt;0"))</f>
        <v>1</v>
      </c>
      <c r="E260" s="600">
        <f>IF(SUM(C217:M217)=0,1,AVERAGEIF(C217:M217,"&lt;&gt;0"))</f>
        <v>1</v>
      </c>
      <c r="F260" s="600">
        <f>IF(SUM(C217:M217)=0,1,AVERAGEIF(C217:M217,"&lt;&gt;0"))</f>
        <v>1</v>
      </c>
      <c r="G260" s="593">
        <f>IF(SUM(H217:J217)=0,1,AVERAGEIF(H217:J217,"&lt;&gt;0"))</f>
        <v>1</v>
      </c>
      <c r="H260" s="593">
        <f>IF(SUM(E217:G217)=0,1,AVERAGEIF(E217:G217,"&lt;&gt;0"))</f>
        <v>1</v>
      </c>
      <c r="I260" s="600">
        <f>IF(SUM(C217:D217)=0,1,AVERAGEIF(C217:D217,"&lt;&gt;0"))</f>
        <v>1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1</v>
      </c>
      <c r="O260" s="589">
        <f t="shared" si="122"/>
        <v>1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1</v>
      </c>
      <c r="U260" s="317">
        <f t="shared" si="124"/>
        <v>1</v>
      </c>
      <c r="V260" s="568" t="s">
        <v>1044</v>
      </c>
      <c r="W260" s="7"/>
      <c r="X260" s="14">
        <f t="shared" si="137"/>
        <v>1</v>
      </c>
      <c r="Y260" s="14">
        <f t="shared" si="138"/>
        <v>1</v>
      </c>
      <c r="Z260" s="14">
        <f t="shared" si="139"/>
        <v>1</v>
      </c>
      <c r="AA260" s="14">
        <f t="shared" si="140"/>
        <v>1</v>
      </c>
      <c r="AB260" s="14">
        <f t="shared" si="141"/>
        <v>1</v>
      </c>
      <c r="AC260" s="14">
        <f t="shared" si="142"/>
        <v>1</v>
      </c>
      <c r="AD260" s="14">
        <f t="shared" si="143"/>
        <v>1</v>
      </c>
      <c r="AE260" s="14">
        <f t="shared" si="144"/>
        <v>1</v>
      </c>
      <c r="AF260" s="14">
        <f t="shared" si="145"/>
        <v>1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1</v>
      </c>
      <c r="D261" s="593">
        <f>IF(SUM(G218:L218)=0,1,AVERAGEIF(G218:L218,"&lt;&gt;0"))</f>
        <v>1</v>
      </c>
      <c r="E261" s="600">
        <f>IF(SUM(C218:L218)=0,1,AVERAGEIF(C218:L218,"&lt;&gt;0"))</f>
        <v>1</v>
      </c>
      <c r="F261" s="600">
        <f>IF(SUM(C218:L218)=0,1,AVERAGEIF(C218:L218,"&lt;&gt;0"))</f>
        <v>1</v>
      </c>
      <c r="G261" s="593">
        <f>IF(SUM(G218:I218)=0,1,AVERAGEIF(G218:I218,"&lt;&gt;0"))</f>
        <v>1</v>
      </c>
      <c r="H261" s="593">
        <f>IF(SUM(D218:F218)=0,1,AVERAGEIF(D218:F218,"&lt;&gt;0"))</f>
        <v>1</v>
      </c>
      <c r="I261" s="600">
        <f t="shared" ref="I261:I270" si="148">IF(SUM(C218:C218)=0,1,AVERAGEIF(C218:C218,"&lt;&gt;0"))</f>
        <v>1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1</v>
      </c>
      <c r="N261" s="593">
        <f>IF(SUM(G218:L218)=0,0,SMALL(G218:L218,COUNTIF(G218:L218,0)+1))</f>
        <v>1</v>
      </c>
      <c r="O261" s="589">
        <f t="shared" si="122"/>
        <v>1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1</v>
      </c>
      <c r="T261" s="600">
        <f>IF(SUM(C218:L218)=0,0,SMALL(C218:L218,COUNTIF(C218:L218,0)+1))</f>
        <v>1</v>
      </c>
      <c r="U261" s="317">
        <f t="shared" si="124"/>
        <v>1</v>
      </c>
      <c r="V261" s="568" t="s">
        <v>1045</v>
      </c>
      <c r="W261" s="7"/>
      <c r="X261" s="14">
        <f t="shared" si="137"/>
        <v>1</v>
      </c>
      <c r="Y261" s="14">
        <f t="shared" si="138"/>
        <v>1</v>
      </c>
      <c r="Z261" s="14">
        <f t="shared" si="139"/>
        <v>1</v>
      </c>
      <c r="AA261" s="14">
        <f t="shared" si="140"/>
        <v>1</v>
      </c>
      <c r="AB261" s="14">
        <f t="shared" si="141"/>
        <v>1</v>
      </c>
      <c r="AC261" s="14">
        <f t="shared" si="142"/>
        <v>1</v>
      </c>
      <c r="AD261" s="14">
        <f t="shared" si="143"/>
        <v>1</v>
      </c>
      <c r="AE261" s="14">
        <f t="shared" si="144"/>
        <v>1</v>
      </c>
      <c r="AF261" s="14">
        <f t="shared" si="145"/>
        <v>1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1</v>
      </c>
      <c r="D262" s="593">
        <f>IF(SUM(F219:K219)=0,1,AVERAGEIF(F219:K219,"&lt;&gt;0"))</f>
        <v>1</v>
      </c>
      <c r="E262" s="600">
        <f>IF(SUM(C219:K219)=0,1,AVERAGEIF(C219:K219,"&lt;&gt;0"))</f>
        <v>1</v>
      </c>
      <c r="F262" s="600">
        <f>IF(SUM(C219:K219)=0,1,AVERAGEIF(C219:K219,"&lt;&gt;0"))</f>
        <v>1</v>
      </c>
      <c r="G262" s="593">
        <f>IF(SUM(F219:H219)=0,1,AVERAGEIF(F219:H219,"&lt;&gt;0"))</f>
        <v>1</v>
      </c>
      <c r="H262" s="593">
        <f>IF(SUM(C219:E219)=0,1,AVERAGEIF(C219:E219,"&lt;&gt;0"))</f>
        <v>1</v>
      </c>
      <c r="I262" s="600">
        <f t="shared" si="148"/>
        <v>1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</v>
      </c>
      <c r="N262" s="593">
        <f>IF(SUM(F219:K219)=0,0,SMALL(F219:K219,COUNTIF(F219:K219,0)+1))</f>
        <v>1</v>
      </c>
      <c r="O262" s="589">
        <f t="shared" si="122"/>
        <v>1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</v>
      </c>
      <c r="T262" s="600">
        <f>IF(SUM(C219:K219)=0,0,SMALL(C219:K219,COUNTIF(C219:K219,0)+1))</f>
        <v>1</v>
      </c>
      <c r="U262" s="317">
        <f t="shared" si="124"/>
        <v>1</v>
      </c>
      <c r="V262" s="568" t="s">
        <v>1046</v>
      </c>
      <c r="W262" s="7"/>
      <c r="X262" s="14">
        <f t="shared" si="137"/>
        <v>1</v>
      </c>
      <c r="Y262" s="14">
        <f t="shared" si="138"/>
        <v>1</v>
      </c>
      <c r="Z262" s="14">
        <f t="shared" si="139"/>
        <v>1</v>
      </c>
      <c r="AA262" s="14">
        <f t="shared" si="140"/>
        <v>1</v>
      </c>
      <c r="AB262" s="14">
        <f t="shared" si="141"/>
        <v>1</v>
      </c>
      <c r="AC262" s="14">
        <f t="shared" si="142"/>
        <v>1</v>
      </c>
      <c r="AD262" s="14">
        <f t="shared" si="143"/>
        <v>1</v>
      </c>
      <c r="AE262" s="14">
        <f t="shared" si="144"/>
        <v>1</v>
      </c>
      <c r="AF262" s="14">
        <f t="shared" si="145"/>
        <v>1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1</v>
      </c>
      <c r="D263" s="593">
        <f>IF(SUM(E220:J220)=0,1,AVERAGEIF(E220:J220,"&lt;&gt;0"))</f>
        <v>1</v>
      </c>
      <c r="E263" s="600">
        <f>IF(SUM(C220:J220)=0,1,AVERAGEIF(C220:J220,"&lt;&gt;0"))</f>
        <v>1</v>
      </c>
      <c r="F263" s="600">
        <f>IF(SUM(C220:J220)=0,1,AVERAGEIF(C220:J220,"&lt;&gt;0"))</f>
        <v>1</v>
      </c>
      <c r="G263" s="593">
        <f>IF(SUM(E220:G220)=0,1,AVERAGEIF(E220:G220,"&lt;&gt;0"))</f>
        <v>1</v>
      </c>
      <c r="H263" s="600">
        <f>IF(SUM(C220:D220)=0,1,AVERAGEIF(C220:D220,"&lt;&gt;0"))</f>
        <v>1</v>
      </c>
      <c r="I263" s="600">
        <f t="shared" si="148"/>
        <v>1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1</v>
      </c>
      <c r="O263" s="589">
        <f t="shared" si="122"/>
        <v>1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1</v>
      </c>
      <c r="U263" s="317">
        <f t="shared" si="124"/>
        <v>1</v>
      </c>
      <c r="V263" s="568" t="s">
        <v>1047</v>
      </c>
      <c r="W263" s="7"/>
      <c r="X263" s="14">
        <f t="shared" si="137"/>
        <v>1</v>
      </c>
      <c r="Y263" s="14">
        <f t="shared" si="138"/>
        <v>1</v>
      </c>
      <c r="Z263" s="14">
        <f t="shared" si="139"/>
        <v>1</v>
      </c>
      <c r="AA263" s="14">
        <f t="shared" si="140"/>
        <v>1</v>
      </c>
      <c r="AB263" s="14">
        <f t="shared" si="141"/>
        <v>1</v>
      </c>
      <c r="AC263" s="14">
        <f t="shared" si="142"/>
        <v>1</v>
      </c>
      <c r="AD263" s="14">
        <f t="shared" si="143"/>
        <v>1</v>
      </c>
      <c r="AE263" s="14">
        <f t="shared" si="144"/>
        <v>1</v>
      </c>
      <c r="AF263" s="14">
        <f t="shared" si="145"/>
        <v>1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1</v>
      </c>
      <c r="D264" s="593">
        <f>IF(SUM(D221:I221)=0,1,AVERAGEIF(D221:I221,"&lt;&gt;0"))</f>
        <v>1</v>
      </c>
      <c r="E264" s="600">
        <f>IF(SUM(C221:I221)=0,1,AVERAGEIF(C221:I221,"&lt;&gt;0"))</f>
        <v>1</v>
      </c>
      <c r="F264" s="600">
        <f>IF(SUM(C221:I221)=0,1,AVERAGEIF(C221:I221,"&lt;&gt;0"))</f>
        <v>1</v>
      </c>
      <c r="G264" s="593">
        <f>IF(SUM(D221:F221)=0,1,AVERAGEIF(D221:F221,"&lt;&gt;0"))</f>
        <v>1</v>
      </c>
      <c r="H264" s="600">
        <f t="shared" ref="H264:H270" si="149">IF(SUM(C221:C221)=0,1,AVERAGEIF(C221:C221,"&lt;&gt;0"))</f>
        <v>1</v>
      </c>
      <c r="I264" s="600">
        <f t="shared" si="148"/>
        <v>1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</v>
      </c>
      <c r="N264" s="593">
        <f>IF(SUM(D221:I221)=0,0,SMALL(D221:I221,COUNTIF(D221:I221,0)+1))</f>
        <v>1</v>
      </c>
      <c r="O264" s="589">
        <f t="shared" si="122"/>
        <v>1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</v>
      </c>
      <c r="T264" s="600">
        <f>IF(SUM(C221:I221)=0,0,SMALL(C221:I221,COUNTIF(C221:I221,0)+1))</f>
        <v>1</v>
      </c>
      <c r="U264" s="317">
        <f t="shared" si="124"/>
        <v>1</v>
      </c>
      <c r="V264" s="568" t="s">
        <v>1048</v>
      </c>
      <c r="W264" s="7"/>
      <c r="X264" s="14">
        <f t="shared" si="137"/>
        <v>1</v>
      </c>
      <c r="Y264" s="14">
        <f t="shared" si="138"/>
        <v>1</v>
      </c>
      <c r="Z264" s="14">
        <f t="shared" si="139"/>
        <v>1</v>
      </c>
      <c r="AA264" s="14">
        <f t="shared" si="140"/>
        <v>1</v>
      </c>
      <c r="AB264" s="14">
        <f t="shared" si="141"/>
        <v>1</v>
      </c>
      <c r="AC264" s="14">
        <f t="shared" si="142"/>
        <v>1</v>
      </c>
      <c r="AD264" s="14">
        <f t="shared" si="143"/>
        <v>1</v>
      </c>
      <c r="AE264" s="14">
        <f t="shared" si="144"/>
        <v>1</v>
      </c>
      <c r="AF264" s="14">
        <f t="shared" si="145"/>
        <v>1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1</v>
      </c>
      <c r="D265" s="593">
        <f>IF(SUM(C222:H222)=0,1,AVERAGEIF(C222:H222,"&lt;&gt;0"))</f>
        <v>1</v>
      </c>
      <c r="E265" s="600">
        <f>IF(SUM(C222:H222)=0,1,AVERAGEIF(C222:H222,"&lt;&gt;0"))</f>
        <v>1</v>
      </c>
      <c r="F265" s="600">
        <f>IF(SUM(C222:H222)=0,1,AVERAGEIF(C222:H222,"&lt;&gt;0"))</f>
        <v>1</v>
      </c>
      <c r="G265" s="593">
        <f>IF(SUM(C222:E222)=0,1,AVERAGEIF(C222:E222,"&lt;&gt;0"))</f>
        <v>1</v>
      </c>
      <c r="H265" s="600">
        <f t="shared" si="149"/>
        <v>1</v>
      </c>
      <c r="I265" s="600">
        <f t="shared" si="148"/>
        <v>1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1</v>
      </c>
      <c r="O265" s="589">
        <f t="shared" si="122"/>
        <v>1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1</v>
      </c>
      <c r="U265" s="317">
        <f t="shared" si="124"/>
        <v>1</v>
      </c>
      <c r="V265" s="568" t="s">
        <v>1049</v>
      </c>
      <c r="W265" s="7"/>
      <c r="X265" s="14">
        <f t="shared" si="137"/>
        <v>1</v>
      </c>
      <c r="Y265" s="14">
        <f t="shared" si="138"/>
        <v>1</v>
      </c>
      <c r="Z265" s="14">
        <f t="shared" si="139"/>
        <v>1</v>
      </c>
      <c r="AA265" s="14">
        <f t="shared" si="140"/>
        <v>1</v>
      </c>
      <c r="AB265" s="14">
        <f t="shared" si="141"/>
        <v>1</v>
      </c>
      <c r="AC265" s="14">
        <f t="shared" si="142"/>
        <v>1</v>
      </c>
      <c r="AD265" s="14">
        <f t="shared" si="143"/>
        <v>1</v>
      </c>
      <c r="AE265" s="14">
        <f t="shared" si="144"/>
        <v>1</v>
      </c>
      <c r="AF265" s="14">
        <f t="shared" si="145"/>
        <v>1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1</v>
      </c>
      <c r="D266" s="600">
        <f>IF(SUM(C223:G223)=0,1,AVERAGEIF(C223:G223,"&lt;&gt;0"))</f>
        <v>1</v>
      </c>
      <c r="E266" s="600">
        <f>IF(SUM(C223:G223)=0,1,AVERAGEIF(C223:G223,"&lt;&gt;0"))</f>
        <v>1</v>
      </c>
      <c r="F266" s="600">
        <f>IF(SUM(C223:G223)=0,1,AVERAGEIF(C223:G223,"&lt;&gt;0"))</f>
        <v>1</v>
      </c>
      <c r="G266" s="600">
        <f>IF(SUM(C223:D223)=0,1,AVERAGEIF(C223:D223,"&lt;&gt;0"))</f>
        <v>1</v>
      </c>
      <c r="H266" s="600">
        <f t="shared" si="149"/>
        <v>1</v>
      </c>
      <c r="I266" s="600">
        <f t="shared" si="148"/>
        <v>1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</v>
      </c>
      <c r="N266" s="600">
        <f>IF(SUM(C223:G223)=0,0,SMALL(C223:G223,COUNTIF(C223:G223,0)+1))</f>
        <v>1</v>
      </c>
      <c r="O266" s="589">
        <f t="shared" si="122"/>
        <v>1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</v>
      </c>
      <c r="T266" s="600">
        <f>IF(SUM(C223:G223)=0,0,SMALL(C223:G223,COUNTIF(C223:G223,0)+1))</f>
        <v>1</v>
      </c>
      <c r="U266" s="317">
        <f t="shared" si="124"/>
        <v>1</v>
      </c>
      <c r="V266" s="568" t="s">
        <v>1050</v>
      </c>
      <c r="W266" s="7"/>
      <c r="X266" s="14">
        <f t="shared" si="137"/>
        <v>1</v>
      </c>
      <c r="Y266" s="14">
        <f t="shared" si="138"/>
        <v>1</v>
      </c>
      <c r="Z266" s="14">
        <f t="shared" si="139"/>
        <v>1</v>
      </c>
      <c r="AA266" s="14">
        <f t="shared" si="140"/>
        <v>1</v>
      </c>
      <c r="AB266" s="14">
        <f t="shared" si="141"/>
        <v>1</v>
      </c>
      <c r="AC266" s="14">
        <f t="shared" si="142"/>
        <v>1</v>
      </c>
      <c r="AD266" s="14">
        <f t="shared" si="143"/>
        <v>1</v>
      </c>
      <c r="AE266" s="14">
        <f t="shared" si="144"/>
        <v>1</v>
      </c>
      <c r="AF266" s="14">
        <f t="shared" si="145"/>
        <v>1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1</v>
      </c>
      <c r="D267" s="600">
        <f>IF(SUM(C224:F224)=0,1,AVERAGEIF(C224:F224,"&lt;&gt;0"))</f>
        <v>1</v>
      </c>
      <c r="E267" s="600">
        <f>IF(SUM(C224:F224)=0,1,AVERAGEIF(C224:F224,"&lt;&gt;0"))</f>
        <v>1</v>
      </c>
      <c r="F267" s="600">
        <f>IF(SUM(C224:F224)=0,1,AVERAGEIF(C224:F224,"&lt;&gt;0"))</f>
        <v>1</v>
      </c>
      <c r="G267" s="600">
        <f>IF(SUM(C224:C224)=0,1,AVERAGEIF(C224:C224,"&lt;&gt;0"))</f>
        <v>1</v>
      </c>
      <c r="H267" s="600">
        <f t="shared" si="149"/>
        <v>1</v>
      </c>
      <c r="I267" s="600">
        <f t="shared" si="148"/>
        <v>1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1</v>
      </c>
      <c r="N267" s="600">
        <f>IF(SUM(C224:F224)=0,0,SMALL(C224:F224,COUNTIF(C224:F224,0)+1))</f>
        <v>1</v>
      </c>
      <c r="O267" s="589">
        <f t="shared" si="122"/>
        <v>1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1</v>
      </c>
      <c r="T267" s="600">
        <f>IF(SUM(C224:F224)=0,0,SMALL(C224:F224,COUNTIF(C224:F224,0)+1))</f>
        <v>1</v>
      </c>
      <c r="U267" s="317">
        <f t="shared" si="124"/>
        <v>1</v>
      </c>
      <c r="V267" s="568" t="s">
        <v>1051</v>
      </c>
      <c r="W267" s="7"/>
      <c r="X267" s="14">
        <f t="shared" si="137"/>
        <v>1</v>
      </c>
      <c r="Y267" s="14">
        <f t="shared" si="138"/>
        <v>1</v>
      </c>
      <c r="Z267" s="14">
        <f t="shared" si="139"/>
        <v>1</v>
      </c>
      <c r="AA267" s="14">
        <f t="shared" si="140"/>
        <v>1</v>
      </c>
      <c r="AB267" s="14">
        <f t="shared" si="141"/>
        <v>1</v>
      </c>
      <c r="AC267" s="14">
        <f t="shared" si="142"/>
        <v>1</v>
      </c>
      <c r="AD267" s="14">
        <f t="shared" si="143"/>
        <v>1</v>
      </c>
      <c r="AE267" s="14">
        <f t="shared" si="144"/>
        <v>1</v>
      </c>
      <c r="AF267" s="14">
        <f t="shared" si="145"/>
        <v>1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1</v>
      </c>
      <c r="D268" s="600">
        <f>IF(SUM(C225:E225)=0,1,AVERAGEIF(C225:E225,"&lt;&gt;0"))</f>
        <v>1</v>
      </c>
      <c r="E268" s="600">
        <f>IF(SUM(C225:E225)=0,1,AVERAGEIF(C225:E225,"&lt;&gt;0"))</f>
        <v>1</v>
      </c>
      <c r="F268" s="600">
        <f>IF(SUM(C225:E225)=0,1,AVERAGEIF(C225:E225,"&lt;&gt;0"))</f>
        <v>1</v>
      </c>
      <c r="G268" s="600">
        <f>IF(SUM(C225:C225)=0,1,AVERAGEIF(C225:C225,"&lt;&gt;0"))</f>
        <v>1</v>
      </c>
      <c r="H268" s="600">
        <f t="shared" si="149"/>
        <v>1</v>
      </c>
      <c r="I268" s="600">
        <f t="shared" si="148"/>
        <v>1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1</v>
      </c>
      <c r="N268" s="600">
        <f>IF(SUM(C225:E225)=0,0,SMALL(C225:E225,COUNTIF(C225:E225,0)+1))</f>
        <v>1</v>
      </c>
      <c r="O268" s="589">
        <f t="shared" si="122"/>
        <v>1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1</v>
      </c>
      <c r="T268" s="600">
        <f>IF(SUM(C225:E225)=0,0,SMALL(C225:E225,COUNTIF(C225:E225,0)+1))</f>
        <v>1</v>
      </c>
      <c r="U268" s="317">
        <f t="shared" si="124"/>
        <v>1</v>
      </c>
      <c r="V268" s="568" t="s">
        <v>1052</v>
      </c>
      <c r="W268" s="7"/>
      <c r="X268" s="14">
        <f t="shared" si="137"/>
        <v>1</v>
      </c>
      <c r="Y268" s="14">
        <f t="shared" si="138"/>
        <v>1</v>
      </c>
      <c r="Z268" s="14">
        <f t="shared" si="139"/>
        <v>1</v>
      </c>
      <c r="AA268" s="14">
        <f t="shared" si="140"/>
        <v>1</v>
      </c>
      <c r="AB268" s="14">
        <f t="shared" si="141"/>
        <v>1</v>
      </c>
      <c r="AC268" s="14">
        <f t="shared" si="142"/>
        <v>1</v>
      </c>
      <c r="AD268" s="14">
        <f t="shared" si="143"/>
        <v>1</v>
      </c>
      <c r="AE268" s="14">
        <f t="shared" si="144"/>
        <v>1</v>
      </c>
      <c r="AF268" s="14">
        <f t="shared" si="145"/>
        <v>1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1</v>
      </c>
      <c r="D269" s="600">
        <f>IF(SUM(C226:D226)=0,1,AVERAGEIF(C226:D226,"&lt;&gt;0"))</f>
        <v>1</v>
      </c>
      <c r="E269" s="600">
        <f>IF(SUM(C226:D226)=0,1,AVERAGEIF(C226:D226,"&lt;&gt;0"))</f>
        <v>1</v>
      </c>
      <c r="F269" s="600">
        <f>IF(SUM(C226:D226)=0,1,AVERAGEIF(C226:D226,"&lt;&gt;0"))</f>
        <v>1</v>
      </c>
      <c r="G269" s="600">
        <f>IF(SUM(C226:C226)=0,1,AVERAGEIF(C226:C226,"&lt;&gt;0"))</f>
        <v>1</v>
      </c>
      <c r="H269" s="600">
        <f t="shared" si="149"/>
        <v>1</v>
      </c>
      <c r="I269" s="600">
        <f t="shared" si="148"/>
        <v>1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1</v>
      </c>
      <c r="N269" s="600">
        <f>IF(SUM(C226:D226)=0,0,SMALL(C226:D226,COUNTIF(C226:D226,0)+1))</f>
        <v>1</v>
      </c>
      <c r="O269" s="589">
        <f t="shared" si="122"/>
        <v>1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1</v>
      </c>
      <c r="T269" s="600">
        <f>IF(SUM(C226:D226)=0,0,SMALL(C226:D226,COUNTIF(C226:D226,0)+1))</f>
        <v>1</v>
      </c>
      <c r="U269" s="317">
        <f t="shared" si="124"/>
        <v>1</v>
      </c>
      <c r="V269" s="568" t="s">
        <v>1053</v>
      </c>
      <c r="W269" s="7"/>
      <c r="X269" s="14">
        <f t="shared" si="137"/>
        <v>1</v>
      </c>
      <c r="Y269" s="14">
        <f t="shared" si="138"/>
        <v>1</v>
      </c>
      <c r="Z269" s="14">
        <f t="shared" si="139"/>
        <v>1</v>
      </c>
      <c r="AA269" s="14">
        <f t="shared" si="140"/>
        <v>1</v>
      </c>
      <c r="AB269" s="14">
        <f t="shared" si="141"/>
        <v>1</v>
      </c>
      <c r="AC269" s="14">
        <f t="shared" si="142"/>
        <v>1</v>
      </c>
      <c r="AD269" s="14">
        <f t="shared" si="143"/>
        <v>1</v>
      </c>
      <c r="AE269" s="14">
        <f t="shared" si="144"/>
        <v>1</v>
      </c>
      <c r="AF269" s="14">
        <f t="shared" si="145"/>
        <v>1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1</v>
      </c>
      <c r="D270" s="600">
        <f>IF(SUM(C227:C227)=0,1,AVERAGEIF(C227:C227,"&lt;&gt;0"))</f>
        <v>1</v>
      </c>
      <c r="E270" s="600">
        <f>IF(SUM(C227:C227)=0,1,AVERAGEIF(C227:C227,"&lt;&gt;0"))</f>
        <v>1</v>
      </c>
      <c r="F270" s="600">
        <f>IF(SUM(C227:C227)=0,1,AVERAGEIF(C227:C227,"&lt;&gt;0"))</f>
        <v>1</v>
      </c>
      <c r="G270" s="600">
        <f>IF(SUM(C227:C227)=0,1,AVERAGEIF(C227:C227,"&lt;&gt;0"))</f>
        <v>1</v>
      </c>
      <c r="H270" s="600">
        <f t="shared" si="149"/>
        <v>1</v>
      </c>
      <c r="I270" s="600">
        <f t="shared" si="148"/>
        <v>1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1</v>
      </c>
      <c r="N270" s="600">
        <f>IF(SUM(C227:C227)=0,0,SMALL(C227:C227,COUNTIF(C227:C227,0)+1))</f>
        <v>1</v>
      </c>
      <c r="O270" s="589">
        <f t="shared" si="122"/>
        <v>1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1</v>
      </c>
      <c r="T270" s="600">
        <f>IF(SUM(C227:C227)=0,0,SMALL(C227:C227,COUNTIF(C227:C227,0)+1))</f>
        <v>1</v>
      </c>
      <c r="U270" s="317">
        <f t="shared" si="124"/>
        <v>1</v>
      </c>
      <c r="V270" s="568" t="s">
        <v>1054</v>
      </c>
      <c r="W270" s="7"/>
      <c r="X270" s="213">
        <f>MIN(+C270,1)</f>
        <v>1</v>
      </c>
      <c r="Y270" s="213">
        <f>MIN(+D270,1)</f>
        <v>1</v>
      </c>
      <c r="Z270" s="213">
        <f>MIN(+E270,1)</f>
        <v>1</v>
      </c>
      <c r="AA270" s="213">
        <f>MIN(+F270,1)</f>
        <v>1</v>
      </c>
      <c r="AB270" s="213">
        <f>MIN(+O270,1)</f>
        <v>1</v>
      </c>
      <c r="AC270" s="213">
        <f>MIN(+U270,1)</f>
        <v>1</v>
      </c>
      <c r="AD270" s="213">
        <f>MIN(+G270,1)</f>
        <v>1</v>
      </c>
      <c r="AE270" s="213">
        <f>MIN(+H270,1)</f>
        <v>1</v>
      </c>
      <c r="AF270" s="213">
        <f>MIN(+I270,1)</f>
        <v>1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0.8225391026416583</v>
      </c>
      <c r="AN271" s="141">
        <f t="shared" ref="AN271:AN291" si="151">+D283</f>
        <v>0.81263400256659879</v>
      </c>
      <c r="AO271" s="141">
        <f t="shared" ref="AO271:AO291" si="152">+D283</f>
        <v>0.81263400256659879</v>
      </c>
      <c r="AP271" s="141">
        <f t="shared" ref="AP271:AP291" si="153">+X283</f>
        <v>0.82605677321161752</v>
      </c>
      <c r="AQ271" s="141">
        <f t="shared" ref="AQ271:AQ291" si="154">+AA283</f>
        <v>0.85507681125844959</v>
      </c>
      <c r="AR271" s="141">
        <f t="shared" ref="AR271:AR291" si="155">+AD283</f>
        <v>0.75867204467073435</v>
      </c>
    </row>
    <row r="272" spans="1:44" x14ac:dyDescent="0.2">
      <c r="A272" s="3" t="str">
        <f>+$C$1</f>
        <v>AAMG - Commercial</v>
      </c>
      <c r="G272" s="354"/>
      <c r="N272" s="208" t="s">
        <v>1055</v>
      </c>
      <c r="O272" s="3" t="str">
        <f>+$C$1</f>
        <v>AAMG - Commercial</v>
      </c>
      <c r="AB272" s="208" t="s">
        <v>1058</v>
      </c>
      <c r="AM272" s="141">
        <f t="shared" si="150"/>
        <v>0.88524574736067785</v>
      </c>
      <c r="AN272" s="141">
        <f t="shared" si="151"/>
        <v>0.8827200385440388</v>
      </c>
      <c r="AO272" s="141">
        <f t="shared" si="152"/>
        <v>0.8827200385440388</v>
      </c>
      <c r="AP272" s="141">
        <f t="shared" si="153"/>
        <v>0.88091372375632016</v>
      </c>
      <c r="AQ272" s="141">
        <f t="shared" si="154"/>
        <v>0.90530965634461036</v>
      </c>
      <c r="AR272" s="141">
        <f t="shared" si="155"/>
        <v>0.81045764592209191</v>
      </c>
    </row>
    <row r="273" spans="1:44" x14ac:dyDescent="0.2">
      <c r="A273" s="1" t="s">
        <v>738</v>
      </c>
      <c r="O273" s="1" t="s">
        <v>738</v>
      </c>
      <c r="AM273" s="141">
        <f t="shared" si="150"/>
        <v>0.91618567270283457</v>
      </c>
      <c r="AN273" s="141">
        <f t="shared" si="151"/>
        <v>0.90487542049442293</v>
      </c>
      <c r="AO273" s="141">
        <f t="shared" si="152"/>
        <v>0.90487542049442293</v>
      </c>
      <c r="AP273" s="141">
        <f t="shared" si="153"/>
        <v>0.92283199969090823</v>
      </c>
      <c r="AQ273" s="141">
        <f t="shared" si="154"/>
        <v>0.93149462856642395</v>
      </c>
      <c r="AR273" s="141">
        <f t="shared" si="155"/>
        <v>0.8572621300487171</v>
      </c>
    </row>
    <row r="274" spans="1:44" x14ac:dyDescent="0.2">
      <c r="A274" s="1"/>
      <c r="O274" s="1"/>
      <c r="AM274" s="141">
        <f t="shared" si="150"/>
        <v>0.93844338986626585</v>
      </c>
      <c r="AN274" s="141">
        <f t="shared" si="151"/>
        <v>0.93209421312689777</v>
      </c>
      <c r="AO274" s="141">
        <f t="shared" si="152"/>
        <v>0.93209421312689777</v>
      </c>
      <c r="AP274" s="141">
        <f t="shared" si="153"/>
        <v>0.93997108976515797</v>
      </c>
      <c r="AQ274" s="141">
        <f t="shared" si="154"/>
        <v>0.96649362810081441</v>
      </c>
      <c r="AR274" s="141">
        <f t="shared" si="155"/>
        <v>0.98466651860051424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0.95414634495957895</v>
      </c>
      <c r="AN275" s="141">
        <f t="shared" si="151"/>
        <v>0.95432664747744456</v>
      </c>
      <c r="AO275" s="141">
        <f t="shared" si="152"/>
        <v>0.95432664747744456</v>
      </c>
      <c r="AP275" s="141">
        <f t="shared" si="153"/>
        <v>0.95039581877532198</v>
      </c>
      <c r="AQ275" s="141">
        <f t="shared" si="154"/>
        <v>0.98034415521634022</v>
      </c>
      <c r="AR275" s="141">
        <f t="shared" si="155"/>
        <v>0.99143115248450009</v>
      </c>
    </row>
    <row r="276" spans="1:44" x14ac:dyDescent="0.2">
      <c r="C276" s="16" t="s">
        <v>67</v>
      </c>
      <c r="D276" s="16"/>
      <c r="E276" s="14">
        <f>Final!$M$5</f>
        <v>0</v>
      </c>
      <c r="Q276" s="16" t="s">
        <v>67</v>
      </c>
      <c r="R276" s="16"/>
      <c r="S276" s="14">
        <f>Final!$M$5</f>
        <v>0</v>
      </c>
      <c r="AM276" s="141">
        <f t="shared" si="150"/>
        <v>0.96461221708344935</v>
      </c>
      <c r="AN276" s="141">
        <f t="shared" si="151"/>
        <v>0.96118441482885042</v>
      </c>
      <c r="AO276" s="141">
        <f t="shared" si="152"/>
        <v>0.96118441482885042</v>
      </c>
      <c r="AP276" s="141">
        <f t="shared" si="153"/>
        <v>0.96444314441314327</v>
      </c>
      <c r="AQ276" s="141">
        <f t="shared" si="154"/>
        <v>0.98350712740919921</v>
      </c>
      <c r="AR276" s="141">
        <f t="shared" si="155"/>
        <v>0.99252216755220413</v>
      </c>
    </row>
    <row r="277" spans="1:44" x14ac:dyDescent="0.2">
      <c r="C277" s="28" t="s">
        <v>68</v>
      </c>
      <c r="Q277" s="28" t="s">
        <v>68</v>
      </c>
      <c r="AM277" s="141">
        <f t="shared" si="150"/>
        <v>0.97644923512466342</v>
      </c>
      <c r="AN277" s="141">
        <f t="shared" si="151"/>
        <v>0.97192471635438127</v>
      </c>
      <c r="AO277" s="141">
        <f t="shared" si="152"/>
        <v>0.97192471635438127</v>
      </c>
      <c r="AP277" s="141">
        <f t="shared" si="153"/>
        <v>0.98049001124246304</v>
      </c>
      <c r="AQ277" s="141">
        <f t="shared" si="154"/>
        <v>0.98827328424079586</v>
      </c>
      <c r="AR277" s="141">
        <f t="shared" si="155"/>
        <v>0.99380762307785675</v>
      </c>
    </row>
    <row r="278" spans="1:44" ht="12" thickBot="1" x14ac:dyDescent="0.25">
      <c r="AM278" s="141">
        <f t="shared" si="150"/>
        <v>0.9888472365669273</v>
      </c>
      <c r="AN278" s="141">
        <f t="shared" si="151"/>
        <v>0.9899275329423507</v>
      </c>
      <c r="AO278" s="141">
        <f t="shared" si="152"/>
        <v>0.9899275329423507</v>
      </c>
      <c r="AP278" s="141">
        <f t="shared" si="153"/>
        <v>0.98729212962701007</v>
      </c>
      <c r="AQ278" s="141">
        <f t="shared" si="154"/>
        <v>0.99153218690385314</v>
      </c>
      <c r="AR278" s="141">
        <f t="shared" si="155"/>
        <v>0.99566942167459793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0.99237227838733333</v>
      </c>
      <c r="AN279" s="141">
        <f t="shared" si="151"/>
        <v>0.99279091561247346</v>
      </c>
      <c r="AO279" s="141">
        <f t="shared" si="152"/>
        <v>0.99279091561247346</v>
      </c>
      <c r="AP279" s="141">
        <f t="shared" si="153"/>
        <v>0.99147625672133421</v>
      </c>
      <c r="AQ279" s="141">
        <f t="shared" si="154"/>
        <v>0.99782035348443021</v>
      </c>
      <c r="AR279" s="141">
        <f t="shared" si="155"/>
        <v>0.99794806945441561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0.99458592875873786</v>
      </c>
      <c r="AN280" s="141">
        <f t="shared" si="151"/>
        <v>0.99484576857992224</v>
      </c>
      <c r="AO280" s="141">
        <f t="shared" si="152"/>
        <v>0.99484576857992224</v>
      </c>
      <c r="AP280" s="141">
        <f t="shared" si="153"/>
        <v>0.99409276044079065</v>
      </c>
      <c r="AQ280" s="141">
        <f t="shared" si="154"/>
        <v>0.99830703972216595</v>
      </c>
      <c r="AR280" s="141">
        <f t="shared" si="155"/>
        <v>0.99824055517747556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0.18197635214513916</v>
      </c>
      <c r="E281" s="33">
        <f t="shared" ref="E281:E311" si="157">MIN(SUMPRODUCT(D276:D286,$G$329:$G$339),$E$275)</f>
        <v>0.18197635214513916</v>
      </c>
      <c r="F281" s="24"/>
      <c r="G281" s="601">
        <f t="shared" ref="G281:G314" si="158">F282*G282</f>
        <v>0.15788285920435713</v>
      </c>
      <c r="H281" s="33">
        <f t="shared" ref="H281:H311" si="159">MIN(SUMPRODUCT(G276:G286,$G$329:$G$339),$E$275)</f>
        <v>0.15788285920435713</v>
      </c>
      <c r="I281" s="24"/>
      <c r="J281" s="601">
        <f t="shared" ref="J281:J314" si="160">I282*J282</f>
        <v>0.16751457382033497</v>
      </c>
      <c r="K281" s="33">
        <f t="shared" ref="K281:K311" si="161">MIN(SUMPRODUCT(J276:J286,$G$329:$G$339),$E$275)</f>
        <v>0.16751457382033497</v>
      </c>
      <c r="L281" s="24"/>
      <c r="M281" s="601">
        <f t="shared" ref="M281:M314" si="162">L282*M282</f>
        <v>0.24243069793189542</v>
      </c>
      <c r="N281" s="33">
        <f t="shared" ref="N281:N311" si="163">MIN(SUMPRODUCT(M276:M286,$G$329:$G$339),$E$275)</f>
        <v>0.24243069793189542</v>
      </c>
      <c r="O281" s="252" t="s">
        <v>978</v>
      </c>
      <c r="P281" s="7"/>
      <c r="Q281" s="24"/>
      <c r="R281" s="601">
        <f t="shared" ref="R281:R314" si="164">Q282*R282</f>
        <v>0.14629301935399505</v>
      </c>
      <c r="S281" s="33">
        <f t="shared" ref="S281:S311" si="165">MIN(SUMPRODUCT(R276:R286,$G$329:$G$339),$E$275)</f>
        <v>0.14629301935399505</v>
      </c>
      <c r="T281" s="24"/>
      <c r="U281" s="601">
        <f t="shared" ref="U281:U314" si="166">T282*U282</f>
        <v>0.16216244019286249</v>
      </c>
      <c r="V281" s="33">
        <f t="shared" ref="V281:V311" si="167">MIN(SUMPRODUCT(U276:U286,$G$329:$G$339),$E$275)</f>
        <v>0.16216244019286249</v>
      </c>
      <c r="W281" s="24"/>
      <c r="X281" s="601">
        <f t="shared" ref="X281:X314" si="168">W282*X282</f>
        <v>0.13319817079187476</v>
      </c>
      <c r="Y281" s="33">
        <f t="shared" ref="Y281:Y311" si="169">MIN(SUMPRODUCT(X276:X286,$G$329:$G$339),$E$275)</f>
        <v>0.13319817079187476</v>
      </c>
      <c r="Z281" s="24"/>
      <c r="AA281" s="601">
        <f t="shared" ref="AA281:AA314" si="170">Z282*AA282</f>
        <v>0.23235357760679382</v>
      </c>
      <c r="AB281" s="33">
        <f t="shared" ref="AB281:AB311" si="171">MIN(SUMPRODUCT(AA276:AA286,$G$329:$G$339),$E$275)</f>
        <v>0.23235357760679382</v>
      </c>
      <c r="AC281" s="24"/>
      <c r="AD281" s="601">
        <f t="shared" ref="AD281:AD314" si="172">AC282*AD282</f>
        <v>0.12682243327293366</v>
      </c>
      <c r="AE281" s="33">
        <f t="shared" ref="AE281:AE311" si="173">MIN(SUMPRODUCT(AD276:AD286,$G$329:$G$339),$E$275)</f>
        <v>0.12682243327293366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0.24243069793189542</v>
      </c>
      <c r="AL281" s="141">
        <f t="shared" ref="AL281:AL303" si="178">+J281</f>
        <v>0.16751457382033497</v>
      </c>
      <c r="AM281" s="141">
        <f t="shared" si="150"/>
        <v>0.99641227084568773</v>
      </c>
      <c r="AN281" s="141">
        <f t="shared" si="151"/>
        <v>0.99739672727383755</v>
      </c>
      <c r="AO281" s="141">
        <f t="shared" si="152"/>
        <v>0.99739672727383755</v>
      </c>
      <c r="AP281" s="141">
        <f t="shared" si="153"/>
        <v>0.99519565550650202</v>
      </c>
      <c r="AQ281" s="141">
        <f t="shared" si="154"/>
        <v>0.99872591107385644</v>
      </c>
      <c r="AR281" s="141">
        <f t="shared" si="155"/>
        <v>0.99911852678994584</v>
      </c>
    </row>
    <row r="282" spans="1:44" x14ac:dyDescent="0.2">
      <c r="A282" s="252" t="s">
        <v>979</v>
      </c>
      <c r="B282" s="7"/>
      <c r="C282" s="214">
        <f>+X236</f>
        <v>0.27465967435584421</v>
      </c>
      <c r="D282" s="601">
        <f t="shared" si="156"/>
        <v>0.66255212954696008</v>
      </c>
      <c r="E282" s="33">
        <f t="shared" si="157"/>
        <v>0.66255212954696008</v>
      </c>
      <c r="F282" s="214">
        <f>+Y236</f>
        <v>0.24110179217278951</v>
      </c>
      <c r="G282" s="601">
        <f t="shared" si="158"/>
        <v>0.65483901128037991</v>
      </c>
      <c r="H282" s="33">
        <f t="shared" si="159"/>
        <v>0.65483901128037991</v>
      </c>
      <c r="I282" s="214">
        <f>+Z236</f>
        <v>0.25188063691533946</v>
      </c>
      <c r="J282" s="601">
        <f t="shared" si="160"/>
        <v>0.66505538445433943</v>
      </c>
      <c r="K282" s="33">
        <f t="shared" si="161"/>
        <v>0.66505538445433943</v>
      </c>
      <c r="L282" s="214">
        <f>+AA236</f>
        <v>0.32287153569430116</v>
      </c>
      <c r="M282" s="601">
        <f t="shared" si="162"/>
        <v>0.75085806932647003</v>
      </c>
      <c r="N282" s="33">
        <f t="shared" si="163"/>
        <v>0.75085806932647003</v>
      </c>
      <c r="O282" s="252" t="s">
        <v>979</v>
      </c>
      <c r="P282" s="7"/>
      <c r="Q282" s="214">
        <f>+AB236</f>
        <v>0.22250903081887194</v>
      </c>
      <c r="R282" s="601">
        <f t="shared" si="164"/>
        <v>0.65747003083700151</v>
      </c>
      <c r="S282" s="33">
        <f t="shared" si="165"/>
        <v>0.65747003083700151</v>
      </c>
      <c r="T282" s="214">
        <f>+AC236</f>
        <v>0.23459317013648567</v>
      </c>
      <c r="U282" s="601">
        <f t="shared" si="166"/>
        <v>0.69124962205215446</v>
      </c>
      <c r="V282" s="33">
        <f t="shared" si="167"/>
        <v>0.69124962205215446</v>
      </c>
      <c r="W282" s="214">
        <f>+AD236</f>
        <v>0.20754390998973493</v>
      </c>
      <c r="X282" s="601">
        <f t="shared" si="168"/>
        <v>0.64178308483473545</v>
      </c>
      <c r="Y282" s="33">
        <f t="shared" si="169"/>
        <v>0.64178308483473545</v>
      </c>
      <c r="Z282" s="214">
        <f>+AE236</f>
        <v>0.31950329000696148</v>
      </c>
      <c r="AA282" s="601">
        <f t="shared" si="170"/>
        <v>0.72723375587691508</v>
      </c>
      <c r="AB282" s="33">
        <f t="shared" si="171"/>
        <v>0.72723375587691508</v>
      </c>
      <c r="AC282" s="214">
        <f>+AF236</f>
        <v>0.20581567330881748</v>
      </c>
      <c r="AD282" s="601">
        <f t="shared" si="172"/>
        <v>0.61619424426750102</v>
      </c>
      <c r="AE282" s="33">
        <f t="shared" si="173"/>
        <v>0.61619424426750102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0.75085806932647003</v>
      </c>
      <c r="AL282" s="141">
        <f t="shared" si="178"/>
        <v>0.66505538445433943</v>
      </c>
      <c r="AM282" s="141">
        <f t="shared" si="150"/>
        <v>0.9969610531174915</v>
      </c>
      <c r="AN282" s="141">
        <f t="shared" si="151"/>
        <v>0.99803559682810128</v>
      </c>
      <c r="AO282" s="141">
        <f t="shared" si="152"/>
        <v>0.99803559682810128</v>
      </c>
      <c r="AP282" s="141">
        <f t="shared" si="153"/>
        <v>0.99588447250579459</v>
      </c>
      <c r="AQ282" s="141">
        <f t="shared" si="154"/>
        <v>0.99937529974649897</v>
      </c>
      <c r="AR282" s="141">
        <f t="shared" si="155"/>
        <v>0.99911852678994584</v>
      </c>
    </row>
    <row r="283" spans="1:44" x14ac:dyDescent="0.2">
      <c r="A283" s="568" t="s">
        <v>980</v>
      </c>
      <c r="B283" s="7"/>
      <c r="C283" s="214">
        <f>+X237</f>
        <v>0.81531430810718641</v>
      </c>
      <c r="D283" s="601">
        <f t="shared" si="156"/>
        <v>0.81263400256659879</v>
      </c>
      <c r="E283" s="33">
        <f t="shared" si="157"/>
        <v>0.81263400256659879</v>
      </c>
      <c r="F283" s="214">
        <f>+Y237</f>
        <v>0.79611900416321302</v>
      </c>
      <c r="G283" s="601">
        <f t="shared" si="158"/>
        <v>0.8225391026416583</v>
      </c>
      <c r="H283" s="33">
        <f t="shared" si="159"/>
        <v>0.8225391026416583</v>
      </c>
      <c r="I283" s="214">
        <f>+Z237</f>
        <v>0.8137321164368484</v>
      </c>
      <c r="J283" s="601">
        <f t="shared" si="160"/>
        <v>0.81729032321652573</v>
      </c>
      <c r="K283" s="33">
        <f t="shared" si="161"/>
        <v>0.81729032321652573</v>
      </c>
      <c r="L283" s="214">
        <f>+AA237</f>
        <v>0.87362490953265293</v>
      </c>
      <c r="M283" s="601">
        <f t="shared" si="162"/>
        <v>0.85947419897647237</v>
      </c>
      <c r="N283" s="33">
        <f t="shared" si="163"/>
        <v>0.85947419897647237</v>
      </c>
      <c r="O283" s="568" t="s">
        <v>980</v>
      </c>
      <c r="P283" s="7"/>
      <c r="Q283" s="214">
        <f>+AB237</f>
        <v>0.78759178610327052</v>
      </c>
      <c r="R283" s="601">
        <f t="shared" si="164"/>
        <v>0.83478528145898268</v>
      </c>
      <c r="S283" s="33">
        <f t="shared" si="165"/>
        <v>0.83478528145898268</v>
      </c>
      <c r="T283" s="214">
        <f>+AC237</f>
        <v>0.8120744227799177</v>
      </c>
      <c r="U283" s="601">
        <f t="shared" si="166"/>
        <v>0.85121462105141532</v>
      </c>
      <c r="V283" s="33">
        <f t="shared" si="167"/>
        <v>0.85121462105141532</v>
      </c>
      <c r="W283" s="214">
        <f>+AD237</f>
        <v>0.77692370021923995</v>
      </c>
      <c r="X283" s="601">
        <f t="shared" si="168"/>
        <v>0.82605677321161752</v>
      </c>
      <c r="Y283" s="33">
        <f t="shared" si="169"/>
        <v>0.82605677321161752</v>
      </c>
      <c r="Z283" s="214">
        <f>+AE237</f>
        <v>0.85048939031175108</v>
      </c>
      <c r="AA283" s="601">
        <f t="shared" si="170"/>
        <v>0.85507681125844959</v>
      </c>
      <c r="AB283" s="33">
        <f t="shared" si="171"/>
        <v>0.85507681125844959</v>
      </c>
      <c r="AC283" s="214">
        <f>+AF237</f>
        <v>0.8122010671092158</v>
      </c>
      <c r="AD283" s="601">
        <f t="shared" si="172"/>
        <v>0.75867204467073435</v>
      </c>
      <c r="AE283" s="33">
        <f t="shared" si="173"/>
        <v>0.75867204467073435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0.85947419897647237</v>
      </c>
      <c r="AL283" s="141">
        <f t="shared" si="178"/>
        <v>0.81729032321652573</v>
      </c>
      <c r="AM283" s="141">
        <f t="shared" si="150"/>
        <v>0.99791863190654806</v>
      </c>
      <c r="AN283" s="141">
        <f t="shared" si="151"/>
        <v>0.99995466185724757</v>
      </c>
      <c r="AO283" s="141">
        <f t="shared" si="152"/>
        <v>0.99995466185724757</v>
      </c>
      <c r="AP283" s="141">
        <f t="shared" si="153"/>
        <v>0.99588447250579459</v>
      </c>
      <c r="AQ283" s="141">
        <f t="shared" si="154"/>
        <v>0.99953143821437218</v>
      </c>
      <c r="AR283" s="141">
        <f t="shared" si="155"/>
        <v>0.99911852678994584</v>
      </c>
    </row>
    <row r="284" spans="1:44" x14ac:dyDescent="0.2">
      <c r="A284" s="568" t="s">
        <v>981</v>
      </c>
      <c r="B284" s="7"/>
      <c r="C284" s="214">
        <f>+X238</f>
        <v>0.92060219218197414</v>
      </c>
      <c r="D284" s="601">
        <f t="shared" si="156"/>
        <v>0.8827200385440388</v>
      </c>
      <c r="E284" s="33">
        <f t="shared" si="157"/>
        <v>0.8827200385440388</v>
      </c>
      <c r="F284" s="214">
        <f>+Y238</f>
        <v>0.92916470380572092</v>
      </c>
      <c r="G284" s="601">
        <f t="shared" si="158"/>
        <v>0.88524574736067785</v>
      </c>
      <c r="H284" s="33">
        <f t="shared" si="159"/>
        <v>0.88524574736067785</v>
      </c>
      <c r="I284" s="214">
        <f>+Z238</f>
        <v>0.93473643680589091</v>
      </c>
      <c r="J284" s="601">
        <f t="shared" si="160"/>
        <v>0.87435376544141896</v>
      </c>
      <c r="K284" s="33">
        <f t="shared" si="161"/>
        <v>0.87435376544141896</v>
      </c>
      <c r="L284" s="214">
        <f>+AA238</f>
        <v>0.95501619620015343</v>
      </c>
      <c r="M284" s="601">
        <f t="shared" si="162"/>
        <v>0.89995772050377121</v>
      </c>
      <c r="N284" s="33">
        <f t="shared" si="163"/>
        <v>0.89995772050377121</v>
      </c>
      <c r="O284" s="568" t="s">
        <v>981</v>
      </c>
      <c r="P284" s="7"/>
      <c r="Q284" s="214">
        <f>+AB238</f>
        <v>0.93065291338667966</v>
      </c>
      <c r="R284" s="601">
        <f t="shared" si="164"/>
        <v>0.8969888445534101</v>
      </c>
      <c r="S284" s="33">
        <f t="shared" si="165"/>
        <v>0.8969888445534101</v>
      </c>
      <c r="T284" s="214">
        <f>+AC238</f>
        <v>0.93515678563457527</v>
      </c>
      <c r="U284" s="601">
        <f t="shared" si="166"/>
        <v>0.91023733573595489</v>
      </c>
      <c r="V284" s="33">
        <f t="shared" si="167"/>
        <v>0.91023733573595489</v>
      </c>
      <c r="W284" s="214">
        <f>+AD238</f>
        <v>0.9377272154294678</v>
      </c>
      <c r="X284" s="601">
        <f t="shared" si="168"/>
        <v>0.88091372375632016</v>
      </c>
      <c r="Y284" s="33">
        <f t="shared" si="169"/>
        <v>0.88091372375632016</v>
      </c>
      <c r="Z284" s="214">
        <f>+AE238</f>
        <v>0.94451307932692652</v>
      </c>
      <c r="AA284" s="601">
        <f t="shared" si="170"/>
        <v>0.90530965634461036</v>
      </c>
      <c r="AB284" s="33">
        <f t="shared" si="171"/>
        <v>0.90530965634461036</v>
      </c>
      <c r="AC284" s="214">
        <f>+AF238</f>
        <v>0.93610326028519486</v>
      </c>
      <c r="AD284" s="601">
        <f t="shared" si="172"/>
        <v>0.81045764592209191</v>
      </c>
      <c r="AE284" s="33">
        <f t="shared" si="173"/>
        <v>0.81045764592209191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0.89995772050377121</v>
      </c>
      <c r="AL284" s="141">
        <f t="shared" si="178"/>
        <v>0.87435376544141896</v>
      </c>
      <c r="AM284" s="141">
        <f t="shared" si="150"/>
        <v>0.99792428747487705</v>
      </c>
      <c r="AN284" s="141">
        <f t="shared" si="151"/>
        <v>0.99996599620022453</v>
      </c>
      <c r="AO284" s="141">
        <f t="shared" si="152"/>
        <v>0.99996599620022453</v>
      </c>
      <c r="AP284" s="141">
        <f t="shared" si="153"/>
        <v>0.99588447250579459</v>
      </c>
      <c r="AQ284" s="141">
        <f t="shared" si="154"/>
        <v>1</v>
      </c>
      <c r="AR284" s="141">
        <f t="shared" si="155"/>
        <v>0.99911852678994584</v>
      </c>
    </row>
    <row r="285" spans="1:44" x14ac:dyDescent="0.2">
      <c r="A285" s="568" t="s">
        <v>982</v>
      </c>
      <c r="B285" s="7"/>
      <c r="C285" s="214">
        <f>+X239</f>
        <v>0.97551554451741163</v>
      </c>
      <c r="D285" s="601">
        <f t="shared" si="156"/>
        <v>0.90487542049442293</v>
      </c>
      <c r="E285" s="33">
        <f t="shared" si="157"/>
        <v>0.90487542049442293</v>
      </c>
      <c r="F285" s="214">
        <f>+Y239</f>
        <v>0.96622963416260266</v>
      </c>
      <c r="G285" s="601">
        <f t="shared" si="158"/>
        <v>0.91618567270283457</v>
      </c>
      <c r="H285" s="33">
        <f t="shared" si="159"/>
        <v>0.91618567270283457</v>
      </c>
      <c r="I285" s="214">
        <f>+Z239</f>
        <v>0.96443103567026323</v>
      </c>
      <c r="J285" s="601">
        <f t="shared" si="160"/>
        <v>0.90660061020719629</v>
      </c>
      <c r="K285" s="33">
        <f t="shared" si="161"/>
        <v>0.90660061020719629</v>
      </c>
      <c r="L285" s="214">
        <f>+AA239</f>
        <v>0.97954130401807149</v>
      </c>
      <c r="M285" s="601">
        <f t="shared" si="162"/>
        <v>0.91875423406052503</v>
      </c>
      <c r="N285" s="33">
        <f t="shared" si="163"/>
        <v>0.91875423406052503</v>
      </c>
      <c r="O285" s="568" t="s">
        <v>982</v>
      </c>
      <c r="P285" s="7"/>
      <c r="Q285" s="214">
        <f>+AB239</f>
        <v>0.96633542808154049</v>
      </c>
      <c r="R285" s="601">
        <f t="shared" si="164"/>
        <v>0.92823756481141984</v>
      </c>
      <c r="S285" s="33">
        <f t="shared" si="165"/>
        <v>0.92823756481141984</v>
      </c>
      <c r="T285" s="214">
        <f>+AC239</f>
        <v>0.97281528672882789</v>
      </c>
      <c r="U285" s="601">
        <f t="shared" si="166"/>
        <v>0.93567334740051578</v>
      </c>
      <c r="V285" s="33">
        <f t="shared" si="167"/>
        <v>0.93567334740051578</v>
      </c>
      <c r="W285" s="214">
        <f>+AD239</f>
        <v>0.95457648201554768</v>
      </c>
      <c r="X285" s="601">
        <f t="shared" si="168"/>
        <v>0.92283199969090823</v>
      </c>
      <c r="Y285" s="33">
        <f t="shared" si="169"/>
        <v>0.92283199969090823</v>
      </c>
      <c r="Z285" s="214">
        <f>+AE239</f>
        <v>0.97188929337991736</v>
      </c>
      <c r="AA285" s="601">
        <f t="shared" si="170"/>
        <v>0.93149462856642395</v>
      </c>
      <c r="AB285" s="33">
        <f t="shared" si="171"/>
        <v>0.93149462856642395</v>
      </c>
      <c r="AC285" s="214">
        <f>+AF239</f>
        <v>0.94540236587382509</v>
      </c>
      <c r="AD285" s="601">
        <f t="shared" si="172"/>
        <v>0.8572621300487171</v>
      </c>
      <c r="AE285" s="33">
        <f t="shared" si="173"/>
        <v>0.8572621300487171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0.91875423406052503</v>
      </c>
      <c r="AL285" s="141">
        <f t="shared" si="178"/>
        <v>0.90660061020719629</v>
      </c>
      <c r="AM285" s="141">
        <f t="shared" si="150"/>
        <v>0.99794125437217762</v>
      </c>
      <c r="AN285" s="141">
        <f t="shared" si="151"/>
        <v>1</v>
      </c>
      <c r="AO285" s="141">
        <f t="shared" si="152"/>
        <v>1</v>
      </c>
      <c r="AP285" s="141">
        <f t="shared" si="153"/>
        <v>0.99588447250579459</v>
      </c>
      <c r="AQ285" s="141">
        <f t="shared" si="154"/>
        <v>1</v>
      </c>
      <c r="AR285" s="141">
        <f t="shared" si="155"/>
        <v>0.99911852678994584</v>
      </c>
    </row>
    <row r="286" spans="1:44" x14ac:dyDescent="0.2">
      <c r="A286" s="568" t="s">
        <v>983</v>
      </c>
      <c r="B286" s="7"/>
      <c r="C286" s="24">
        <f t="shared" ref="C286:C304" si="179">IF(+X240=0,1,X240)</f>
        <v>0.97079823879480598</v>
      </c>
      <c r="D286" s="601">
        <f t="shared" si="156"/>
        <v>0.93209421312689777</v>
      </c>
      <c r="E286" s="33">
        <f t="shared" si="157"/>
        <v>0.93209421312689777</v>
      </c>
      <c r="F286" s="24">
        <f t="shared" ref="F286:F298" si="180">IF(+Y240=0,1,Y240)</f>
        <v>0.97628230173095132</v>
      </c>
      <c r="G286" s="601">
        <f t="shared" si="158"/>
        <v>0.93844338986626585</v>
      </c>
      <c r="H286" s="33">
        <f t="shared" si="159"/>
        <v>0.93844338986626585</v>
      </c>
      <c r="I286" s="24">
        <f t="shared" ref="I286:I296" si="181">IF(+Z240=0,1,Z240)</f>
        <v>0.94674097426649162</v>
      </c>
      <c r="J286" s="601">
        <f t="shared" si="160"/>
        <v>0.95760153500233269</v>
      </c>
      <c r="K286" s="33">
        <f t="shared" si="161"/>
        <v>0.95760153500233269</v>
      </c>
      <c r="L286" s="24">
        <f t="shared" ref="L286:L297" si="182">IF(+AA240=0,1,AA240)</f>
        <v>0.97553092679906128</v>
      </c>
      <c r="M286" s="601">
        <f t="shared" si="162"/>
        <v>0.94179918731553347</v>
      </c>
      <c r="N286" s="33">
        <f t="shared" si="163"/>
        <v>0.94179918731553347</v>
      </c>
      <c r="O286" s="568" t="s">
        <v>983</v>
      </c>
      <c r="P286" s="7"/>
      <c r="Q286" s="24">
        <f t="shared" ref="Q286:Q296" si="183">IF(+AB240=0,1,AB240)</f>
        <v>0.97741935134903479</v>
      </c>
      <c r="R286" s="601">
        <f t="shared" si="164"/>
        <v>0.94968200039242701</v>
      </c>
      <c r="S286" s="33">
        <f t="shared" si="165"/>
        <v>0.94968200039242701</v>
      </c>
      <c r="T286" s="24">
        <f t="shared" ref="T286:T296" si="184">IF(+AC240=0,1,AC240)</f>
        <v>0.96969415535942838</v>
      </c>
      <c r="U286" s="601">
        <f t="shared" si="166"/>
        <v>0.96491593996840952</v>
      </c>
      <c r="V286" s="33">
        <f t="shared" si="167"/>
        <v>0.96491593996840952</v>
      </c>
      <c r="W286" s="24">
        <f t="shared" ref="W286:W296" si="185">IF(+AD240=0,1,AD240)</f>
        <v>0.98176636466709655</v>
      </c>
      <c r="X286" s="601">
        <f t="shared" si="168"/>
        <v>0.93997108976515797</v>
      </c>
      <c r="Y286" s="33">
        <f t="shared" si="169"/>
        <v>0.93997108976515797</v>
      </c>
      <c r="Z286" s="24">
        <f t="shared" ref="Z286:Z296" si="186">IF(+AE240=0,1,AE240)</f>
        <v>0.96378765620714502</v>
      </c>
      <c r="AA286" s="601">
        <f t="shared" si="170"/>
        <v>0.96649362810081441</v>
      </c>
      <c r="AB286" s="33">
        <f t="shared" si="171"/>
        <v>0.96649362810081441</v>
      </c>
      <c r="AC286" s="24">
        <f t="shared" ref="AC286:AC296" si="187">IF(+AF240=0,1,AF240)</f>
        <v>0.8706116373969186</v>
      </c>
      <c r="AD286" s="601">
        <f t="shared" si="172"/>
        <v>0.98466651860051424</v>
      </c>
      <c r="AE286" s="33">
        <f t="shared" si="173"/>
        <v>0.98466651860051424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0.94179918731553347</v>
      </c>
      <c r="AL286" s="141">
        <f t="shared" si="178"/>
        <v>0.95760153500233269</v>
      </c>
      <c r="AM286" s="141">
        <f t="shared" si="150"/>
        <v>0.9983674544622958</v>
      </c>
      <c r="AN286" s="141">
        <f t="shared" si="151"/>
        <v>1</v>
      </c>
      <c r="AO286" s="141">
        <f t="shared" si="152"/>
        <v>1</v>
      </c>
      <c r="AP286" s="141">
        <f t="shared" si="153"/>
        <v>0.9967358433845519</v>
      </c>
      <c r="AQ286" s="141">
        <f t="shared" si="154"/>
        <v>1</v>
      </c>
      <c r="AR286" s="141">
        <f t="shared" si="155"/>
        <v>0.99927233690689443</v>
      </c>
    </row>
    <row r="287" spans="1:44" x14ac:dyDescent="0.2">
      <c r="A287" s="568" t="s">
        <v>984</v>
      </c>
      <c r="B287" s="7"/>
      <c r="C287" s="24">
        <f t="shared" si="179"/>
        <v>0.9767035381341248</v>
      </c>
      <c r="D287" s="601">
        <f t="shared" si="156"/>
        <v>0.95432664747744456</v>
      </c>
      <c r="E287" s="33">
        <f t="shared" si="157"/>
        <v>0.95432664747744456</v>
      </c>
      <c r="F287" s="24">
        <f t="shared" si="180"/>
        <v>0.98354240397579851</v>
      </c>
      <c r="G287" s="601">
        <f t="shared" si="158"/>
        <v>0.95414634495957895</v>
      </c>
      <c r="H287" s="33">
        <f t="shared" si="159"/>
        <v>0.95414634495957895</v>
      </c>
      <c r="I287" s="24">
        <f t="shared" si="181"/>
        <v>0.9865333696411408</v>
      </c>
      <c r="J287" s="601">
        <f t="shared" si="160"/>
        <v>0.970673232625337</v>
      </c>
      <c r="K287" s="33">
        <f t="shared" si="161"/>
        <v>0.970673232625337</v>
      </c>
      <c r="L287" s="24">
        <f t="shared" si="182"/>
        <v>0.98936534280508226</v>
      </c>
      <c r="M287" s="601">
        <f t="shared" si="162"/>
        <v>0.95192255738947995</v>
      </c>
      <c r="N287" s="33">
        <f t="shared" si="163"/>
        <v>0.95192255738947995</v>
      </c>
      <c r="O287" s="568" t="s">
        <v>984</v>
      </c>
      <c r="P287" s="7"/>
      <c r="Q287" s="24">
        <f t="shared" si="183"/>
        <v>0.98439620730015898</v>
      </c>
      <c r="R287" s="601">
        <f t="shared" si="164"/>
        <v>0.96473553366998388</v>
      </c>
      <c r="S287" s="33">
        <f t="shared" si="165"/>
        <v>0.96473553366998388</v>
      </c>
      <c r="T287" s="24">
        <f t="shared" si="184"/>
        <v>0.98670915860238684</v>
      </c>
      <c r="U287" s="601">
        <f t="shared" si="166"/>
        <v>0.97791322960369997</v>
      </c>
      <c r="V287" s="33">
        <f t="shared" si="167"/>
        <v>0.97791322960369997</v>
      </c>
      <c r="W287" s="24">
        <f t="shared" si="185"/>
        <v>0.98903117121916917</v>
      </c>
      <c r="X287" s="601">
        <f t="shared" si="168"/>
        <v>0.95039581877532198</v>
      </c>
      <c r="Y287" s="33">
        <f t="shared" si="169"/>
        <v>0.95039581877532198</v>
      </c>
      <c r="Z287" s="24">
        <f t="shared" si="186"/>
        <v>0.98587177060032627</v>
      </c>
      <c r="AA287" s="601">
        <f t="shared" si="170"/>
        <v>0.98034415521634022</v>
      </c>
      <c r="AB287" s="33">
        <f t="shared" si="171"/>
        <v>0.98034415521634022</v>
      </c>
      <c r="AC287" s="24">
        <f t="shared" si="187"/>
        <v>0.99317690001263947</v>
      </c>
      <c r="AD287" s="601">
        <f t="shared" si="172"/>
        <v>0.99143115248450009</v>
      </c>
      <c r="AE287" s="33">
        <f t="shared" si="173"/>
        <v>0.99143115248450009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0.95192255738947995</v>
      </c>
      <c r="AL287" s="141">
        <f t="shared" si="178"/>
        <v>0.970673232625337</v>
      </c>
      <c r="AM287" s="141">
        <f t="shared" si="150"/>
        <v>0.99964714717114733</v>
      </c>
      <c r="AN287" s="141">
        <f t="shared" si="151"/>
        <v>1</v>
      </c>
      <c r="AO287" s="141">
        <f t="shared" si="152"/>
        <v>1</v>
      </c>
      <c r="AP287" s="141">
        <f t="shared" si="153"/>
        <v>0.9992943254768144</v>
      </c>
      <c r="AQ287" s="141">
        <f t="shared" si="154"/>
        <v>1</v>
      </c>
      <c r="AR287" s="141">
        <f t="shared" si="155"/>
        <v>0.99973390934286521</v>
      </c>
    </row>
    <row r="288" spans="1:44" x14ac:dyDescent="0.2">
      <c r="A288" s="568" t="s">
        <v>985</v>
      </c>
      <c r="B288" s="7"/>
      <c r="C288" s="24">
        <f t="shared" si="179"/>
        <v>0.99286529489491671</v>
      </c>
      <c r="D288" s="601">
        <f t="shared" si="156"/>
        <v>0.96118441482885042</v>
      </c>
      <c r="E288" s="33">
        <f t="shared" si="157"/>
        <v>0.96118441482885042</v>
      </c>
      <c r="F288" s="24">
        <f t="shared" si="180"/>
        <v>0.9891501766839379</v>
      </c>
      <c r="G288" s="601">
        <f t="shared" si="158"/>
        <v>0.96461221708344935</v>
      </c>
      <c r="H288" s="33">
        <f t="shared" si="159"/>
        <v>0.96461221708344935</v>
      </c>
      <c r="I288" s="24">
        <f t="shared" si="181"/>
        <v>0.99349636086180915</v>
      </c>
      <c r="J288" s="601">
        <f t="shared" si="160"/>
        <v>0.97702746669683405</v>
      </c>
      <c r="K288" s="33">
        <f t="shared" si="161"/>
        <v>0.97702746669683405</v>
      </c>
      <c r="L288" s="24">
        <f t="shared" si="182"/>
        <v>0.99367971994845361</v>
      </c>
      <c r="M288" s="601">
        <f t="shared" si="162"/>
        <v>0.95797724184092259</v>
      </c>
      <c r="N288" s="33">
        <f t="shared" si="163"/>
        <v>0.95797724184092259</v>
      </c>
      <c r="O288" s="568" t="s">
        <v>985</v>
      </c>
      <c r="P288" s="7"/>
      <c r="Q288" s="24">
        <f t="shared" si="183"/>
        <v>0.99010832887491251</v>
      </c>
      <c r="R288" s="601">
        <f t="shared" si="164"/>
        <v>0.97437371804178197</v>
      </c>
      <c r="S288" s="33">
        <f t="shared" si="165"/>
        <v>0.97437371804178197</v>
      </c>
      <c r="T288" s="24">
        <f t="shared" si="184"/>
        <v>0.99432695137078342</v>
      </c>
      <c r="U288" s="601">
        <f t="shared" si="166"/>
        <v>0.98349263112655705</v>
      </c>
      <c r="V288" s="33">
        <f t="shared" si="167"/>
        <v>0.98349263112655705</v>
      </c>
      <c r="W288" s="24">
        <f t="shared" si="185"/>
        <v>0.9854347809726316</v>
      </c>
      <c r="X288" s="601">
        <f t="shared" si="168"/>
        <v>0.96444314441314327</v>
      </c>
      <c r="Y288" s="33">
        <f t="shared" si="169"/>
        <v>0.96444314441314327</v>
      </c>
      <c r="Z288" s="24">
        <f t="shared" si="186"/>
        <v>0.99678398650633981</v>
      </c>
      <c r="AA288" s="601">
        <f t="shared" si="170"/>
        <v>0.98350712740919921</v>
      </c>
      <c r="AB288" s="33">
        <f t="shared" si="171"/>
        <v>0.98350712740919921</v>
      </c>
      <c r="AC288" s="24">
        <f t="shared" si="187"/>
        <v>0.99890076503742509</v>
      </c>
      <c r="AD288" s="601">
        <f t="shared" si="172"/>
        <v>0.99252216755220413</v>
      </c>
      <c r="AE288" s="33">
        <f t="shared" si="173"/>
        <v>0.99252216755220413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0.95797724184092259</v>
      </c>
      <c r="AL288" s="141">
        <f t="shared" si="178"/>
        <v>0.97702746669683405</v>
      </c>
      <c r="AM288" s="141">
        <f t="shared" si="150"/>
        <v>0.99964714717114733</v>
      </c>
      <c r="AN288" s="141">
        <f t="shared" si="151"/>
        <v>1</v>
      </c>
      <c r="AO288" s="141">
        <f t="shared" si="152"/>
        <v>1</v>
      </c>
      <c r="AP288" s="141">
        <f t="shared" si="153"/>
        <v>0.9992943254768144</v>
      </c>
      <c r="AQ288" s="141">
        <f t="shared" si="154"/>
        <v>1</v>
      </c>
      <c r="AR288" s="141">
        <f t="shared" si="155"/>
        <v>0.99973390934286521</v>
      </c>
    </row>
    <row r="289" spans="1:44" x14ac:dyDescent="0.2">
      <c r="A289" s="568" t="s">
        <v>986</v>
      </c>
      <c r="B289" s="7"/>
      <c r="C289" s="24">
        <f t="shared" si="179"/>
        <v>0.98894945118196298</v>
      </c>
      <c r="D289" s="601">
        <f t="shared" si="156"/>
        <v>0.97192471635438127</v>
      </c>
      <c r="E289" s="33">
        <f t="shared" si="157"/>
        <v>0.97192471635438127</v>
      </c>
      <c r="F289" s="24">
        <f t="shared" si="180"/>
        <v>0.98787748751761495</v>
      </c>
      <c r="G289" s="601">
        <f t="shared" si="158"/>
        <v>0.97644923512466342</v>
      </c>
      <c r="H289" s="33">
        <f t="shared" si="159"/>
        <v>0.97644923512466342</v>
      </c>
      <c r="I289" s="24">
        <f t="shared" si="181"/>
        <v>0.9925597813883803</v>
      </c>
      <c r="J289" s="601">
        <f t="shared" si="160"/>
        <v>0.98435125522634026</v>
      </c>
      <c r="K289" s="33">
        <f t="shared" si="161"/>
        <v>0.98435125522634026</v>
      </c>
      <c r="L289" s="24">
        <f t="shared" si="182"/>
        <v>0.99272529784950814</v>
      </c>
      <c r="M289" s="601">
        <f t="shared" si="162"/>
        <v>0.96499730984607868</v>
      </c>
      <c r="N289" s="33">
        <f t="shared" si="163"/>
        <v>0.96499730984607868</v>
      </c>
      <c r="O289" s="568" t="s">
        <v>986</v>
      </c>
      <c r="P289" s="7"/>
      <c r="Q289" s="24">
        <f t="shared" si="183"/>
        <v>0.99013456823794899</v>
      </c>
      <c r="R289" s="601">
        <f t="shared" si="164"/>
        <v>0.98408211297559767</v>
      </c>
      <c r="S289" s="33">
        <f t="shared" si="165"/>
        <v>0.98408211297559767</v>
      </c>
      <c r="T289" s="24">
        <f t="shared" si="184"/>
        <v>0.99387945452434168</v>
      </c>
      <c r="U289" s="601">
        <f t="shared" si="166"/>
        <v>0.98954921207949142</v>
      </c>
      <c r="V289" s="33">
        <f t="shared" si="167"/>
        <v>0.98954921207949142</v>
      </c>
      <c r="W289" s="24">
        <f t="shared" si="185"/>
        <v>0.98363382936559918</v>
      </c>
      <c r="X289" s="601">
        <f t="shared" si="168"/>
        <v>0.98049001124246304</v>
      </c>
      <c r="Y289" s="33">
        <f t="shared" si="169"/>
        <v>0.98049001124246304</v>
      </c>
      <c r="Z289" s="24">
        <f t="shared" si="186"/>
        <v>0.99517728860265808</v>
      </c>
      <c r="AA289" s="601">
        <f t="shared" si="170"/>
        <v>0.98827328424079586</v>
      </c>
      <c r="AB289" s="33">
        <f t="shared" si="171"/>
        <v>0.98827328424079586</v>
      </c>
      <c r="AC289" s="24">
        <f t="shared" si="187"/>
        <v>0.99870653485060668</v>
      </c>
      <c r="AD289" s="601">
        <f t="shared" si="172"/>
        <v>0.99380762307785675</v>
      </c>
      <c r="AE289" s="33">
        <f t="shared" si="173"/>
        <v>0.99380762307785675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0.96499730984607868</v>
      </c>
      <c r="AL289" s="141">
        <f t="shared" si="178"/>
        <v>0.98435125522634026</v>
      </c>
      <c r="AM289" s="141">
        <f t="shared" si="150"/>
        <v>0.99964714717114733</v>
      </c>
      <c r="AN289" s="141">
        <f t="shared" si="151"/>
        <v>1</v>
      </c>
      <c r="AO289" s="141">
        <f t="shared" si="152"/>
        <v>1</v>
      </c>
      <c r="AP289" s="141">
        <f t="shared" si="153"/>
        <v>0.9992943254768144</v>
      </c>
      <c r="AQ289" s="141">
        <f t="shared" si="154"/>
        <v>1</v>
      </c>
      <c r="AR289" s="141">
        <f t="shared" si="155"/>
        <v>0.99980042536851554</v>
      </c>
    </row>
    <row r="290" spans="1:44" x14ac:dyDescent="0.2">
      <c r="A290" s="568" t="s">
        <v>987</v>
      </c>
      <c r="B290" s="7"/>
      <c r="C290" s="24">
        <f t="shared" si="179"/>
        <v>0.98181400558234821</v>
      </c>
      <c r="D290" s="601">
        <f t="shared" si="156"/>
        <v>0.9899275329423507</v>
      </c>
      <c r="E290" s="33">
        <f t="shared" si="157"/>
        <v>0.9899275329423507</v>
      </c>
      <c r="F290" s="24">
        <f t="shared" si="180"/>
        <v>0.9874621670731395</v>
      </c>
      <c r="G290" s="601">
        <f t="shared" si="158"/>
        <v>0.9888472365669273</v>
      </c>
      <c r="H290" s="33">
        <f t="shared" si="159"/>
        <v>0.9888472365669273</v>
      </c>
      <c r="I290" s="24">
        <f t="shared" si="181"/>
        <v>0.9928713748967285</v>
      </c>
      <c r="J290" s="601">
        <f t="shared" si="160"/>
        <v>0.99141870751256733</v>
      </c>
      <c r="K290" s="33">
        <f t="shared" si="161"/>
        <v>0.99141870751256733</v>
      </c>
      <c r="L290" s="24">
        <f t="shared" si="182"/>
        <v>0.99602499870547612</v>
      </c>
      <c r="M290" s="601">
        <f t="shared" si="162"/>
        <v>0.96884848382347444</v>
      </c>
      <c r="N290" s="33">
        <f t="shared" si="163"/>
        <v>0.96884848382347444</v>
      </c>
      <c r="O290" s="568" t="s">
        <v>987</v>
      </c>
      <c r="P290" s="7"/>
      <c r="Q290" s="24">
        <f t="shared" si="183"/>
        <v>0.99036668585754362</v>
      </c>
      <c r="R290" s="601">
        <f t="shared" si="164"/>
        <v>0.99365429696728513</v>
      </c>
      <c r="S290" s="33">
        <f t="shared" si="165"/>
        <v>0.99365429696728513</v>
      </c>
      <c r="T290" s="24">
        <f t="shared" si="184"/>
        <v>0.99480571506638216</v>
      </c>
      <c r="U290" s="601">
        <f t="shared" si="166"/>
        <v>0.99471605067473912</v>
      </c>
      <c r="V290" s="33">
        <f t="shared" si="167"/>
        <v>0.99471605067473912</v>
      </c>
      <c r="W290" s="24">
        <f t="shared" si="185"/>
        <v>0.99311032856393089</v>
      </c>
      <c r="X290" s="601">
        <f t="shared" si="168"/>
        <v>0.98729212962701007</v>
      </c>
      <c r="Y290" s="33">
        <f t="shared" si="169"/>
        <v>0.98729212962701007</v>
      </c>
      <c r="Z290" s="24">
        <f t="shared" si="186"/>
        <v>0.99671326588677522</v>
      </c>
      <c r="AA290" s="601">
        <f t="shared" si="170"/>
        <v>0.99153218690385314</v>
      </c>
      <c r="AB290" s="33">
        <f t="shared" si="171"/>
        <v>0.99153218690385314</v>
      </c>
      <c r="AC290" s="24">
        <f t="shared" si="187"/>
        <v>0.99813010367074462</v>
      </c>
      <c r="AD290" s="601">
        <f t="shared" si="172"/>
        <v>0.99566942167459793</v>
      </c>
      <c r="AE290" s="33">
        <f t="shared" si="173"/>
        <v>0.99566942167459793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0.96884848382347444</v>
      </c>
      <c r="AL290" s="141">
        <f t="shared" si="178"/>
        <v>0.99141870751256733</v>
      </c>
      <c r="AM290" s="141">
        <f t="shared" si="150"/>
        <v>0.99964714717114733</v>
      </c>
      <c r="AN290" s="141">
        <f t="shared" si="151"/>
        <v>1</v>
      </c>
      <c r="AO290" s="141">
        <f t="shared" si="152"/>
        <v>1</v>
      </c>
      <c r="AP290" s="141">
        <f t="shared" si="153"/>
        <v>0.9992943254768144</v>
      </c>
      <c r="AQ290" s="141">
        <f t="shared" si="154"/>
        <v>1</v>
      </c>
      <c r="AR290" s="141">
        <f t="shared" si="155"/>
        <v>1</v>
      </c>
    </row>
    <row r="291" spans="1:44" x14ac:dyDescent="0.2">
      <c r="A291" s="568" t="s">
        <v>988</v>
      </c>
      <c r="B291" s="7"/>
      <c r="C291" s="24">
        <f t="shared" si="179"/>
        <v>0.99711582506941421</v>
      </c>
      <c r="D291" s="601">
        <f t="shared" si="156"/>
        <v>0.99279091561247346</v>
      </c>
      <c r="E291" s="33">
        <f t="shared" si="157"/>
        <v>0.99279091561247346</v>
      </c>
      <c r="F291" s="24">
        <f t="shared" si="180"/>
        <v>0.99644786347102077</v>
      </c>
      <c r="G291" s="601">
        <f t="shared" si="158"/>
        <v>0.99237227838733333</v>
      </c>
      <c r="H291" s="33">
        <f t="shared" si="159"/>
        <v>0.99237227838733333</v>
      </c>
      <c r="I291" s="24">
        <f t="shared" si="181"/>
        <v>0.99607762285526247</v>
      </c>
      <c r="J291" s="601">
        <f t="shared" si="160"/>
        <v>0.99532273867438126</v>
      </c>
      <c r="K291" s="33">
        <f t="shared" si="161"/>
        <v>0.99532273867438126</v>
      </c>
      <c r="L291" s="24">
        <f t="shared" si="182"/>
        <v>0.99669222263557189</v>
      </c>
      <c r="M291" s="601">
        <f t="shared" si="162"/>
        <v>0.97206385463862688</v>
      </c>
      <c r="N291" s="33">
        <f t="shared" si="163"/>
        <v>0.97206385463862688</v>
      </c>
      <c r="O291" s="568" t="s">
        <v>988</v>
      </c>
      <c r="P291" s="7"/>
      <c r="Q291" s="24">
        <f t="shared" si="183"/>
        <v>0.99746586577321628</v>
      </c>
      <c r="R291" s="601">
        <f t="shared" si="164"/>
        <v>0.99617874762764291</v>
      </c>
      <c r="S291" s="33">
        <f t="shared" si="165"/>
        <v>0.99617874762764291</v>
      </c>
      <c r="T291" s="24">
        <f t="shared" si="184"/>
        <v>0.99714453922244828</v>
      </c>
      <c r="U291" s="601">
        <f t="shared" si="166"/>
        <v>0.99756455714073022</v>
      </c>
      <c r="V291" s="33">
        <f t="shared" si="167"/>
        <v>0.99756455714073022</v>
      </c>
      <c r="W291" s="24">
        <f t="shared" si="185"/>
        <v>0.99577990187262733</v>
      </c>
      <c r="X291" s="601">
        <f t="shared" si="168"/>
        <v>0.99147625672133421</v>
      </c>
      <c r="Y291" s="33">
        <f t="shared" si="169"/>
        <v>0.99147625672133421</v>
      </c>
      <c r="Z291" s="24">
        <f t="shared" si="186"/>
        <v>0.99369809749959648</v>
      </c>
      <c r="AA291" s="601">
        <f t="shared" si="170"/>
        <v>0.99782035348443021</v>
      </c>
      <c r="AB291" s="33">
        <f t="shared" si="171"/>
        <v>0.99782035348443021</v>
      </c>
      <c r="AC291" s="24">
        <f t="shared" si="187"/>
        <v>0.99771666697941164</v>
      </c>
      <c r="AD291" s="601">
        <f t="shared" si="172"/>
        <v>0.99794806945441561</v>
      </c>
      <c r="AE291" s="33">
        <f t="shared" si="173"/>
        <v>0.99794806945441561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0.97206385463862688</v>
      </c>
      <c r="AL291" s="141">
        <f t="shared" si="178"/>
        <v>0.99532273867438126</v>
      </c>
      <c r="AM291" s="141">
        <f t="shared" si="150"/>
        <v>0.99964714717114733</v>
      </c>
      <c r="AN291" s="141">
        <f t="shared" si="151"/>
        <v>1</v>
      </c>
      <c r="AO291" s="141">
        <f t="shared" si="152"/>
        <v>1</v>
      </c>
      <c r="AP291" s="141">
        <f t="shared" si="153"/>
        <v>0.9992943254768144</v>
      </c>
      <c r="AQ291" s="141">
        <f t="shared" si="154"/>
        <v>1</v>
      </c>
      <c r="AR291" s="141">
        <f t="shared" si="155"/>
        <v>1</v>
      </c>
    </row>
    <row r="292" spans="1:44" x14ac:dyDescent="0.2">
      <c r="A292" s="568" t="s">
        <v>989</v>
      </c>
      <c r="B292" s="7"/>
      <c r="C292" s="24">
        <f t="shared" si="179"/>
        <v>0.99793450097256586</v>
      </c>
      <c r="D292" s="601">
        <f t="shared" si="156"/>
        <v>0.99484576857992224</v>
      </c>
      <c r="E292" s="33">
        <f t="shared" si="157"/>
        <v>0.99484576857992224</v>
      </c>
      <c r="F292" s="24">
        <f t="shared" si="180"/>
        <v>0.9977742995276766</v>
      </c>
      <c r="G292" s="601">
        <f t="shared" si="158"/>
        <v>0.99458592875873786</v>
      </c>
      <c r="H292" s="33">
        <f t="shared" si="159"/>
        <v>0.99458592875873786</v>
      </c>
      <c r="I292" s="24">
        <f t="shared" si="181"/>
        <v>0.99876527186997122</v>
      </c>
      <c r="J292" s="601">
        <f t="shared" si="160"/>
        <v>0.99655321095702043</v>
      </c>
      <c r="K292" s="33">
        <f t="shared" si="161"/>
        <v>0.99655321095702043</v>
      </c>
      <c r="L292" s="24">
        <f t="shared" si="182"/>
        <v>0.9983189045932187</v>
      </c>
      <c r="M292" s="601">
        <f t="shared" si="162"/>
        <v>0.97370073847766125</v>
      </c>
      <c r="N292" s="33">
        <f t="shared" si="163"/>
        <v>0.97370073847766125</v>
      </c>
      <c r="O292" s="568" t="s">
        <v>989</v>
      </c>
      <c r="P292" s="7"/>
      <c r="Q292" s="24">
        <f t="shared" si="183"/>
        <v>0.9979265837050475</v>
      </c>
      <c r="R292" s="601">
        <f t="shared" si="164"/>
        <v>0.99824853240113587</v>
      </c>
      <c r="S292" s="33">
        <f t="shared" si="165"/>
        <v>0.99824853240113587</v>
      </c>
      <c r="T292" s="24">
        <f t="shared" si="184"/>
        <v>0.99899776319510303</v>
      </c>
      <c r="U292" s="601">
        <f t="shared" si="166"/>
        <v>0.99856535609270136</v>
      </c>
      <c r="V292" s="33">
        <f t="shared" si="167"/>
        <v>0.99856535609270136</v>
      </c>
      <c r="W292" s="24">
        <f t="shared" si="185"/>
        <v>0.99736794811955354</v>
      </c>
      <c r="X292" s="601">
        <f t="shared" si="168"/>
        <v>0.99409276044079065</v>
      </c>
      <c r="Y292" s="33">
        <f t="shared" si="169"/>
        <v>0.99409276044079065</v>
      </c>
      <c r="Z292" s="24">
        <f t="shared" si="186"/>
        <v>0.999512488424532</v>
      </c>
      <c r="AA292" s="601">
        <f t="shared" si="170"/>
        <v>0.99830703972216595</v>
      </c>
      <c r="AB292" s="33">
        <f t="shared" si="171"/>
        <v>0.99830703972216595</v>
      </c>
      <c r="AC292" s="24">
        <f t="shared" si="187"/>
        <v>0.99970699875742075</v>
      </c>
      <c r="AD292" s="601">
        <f t="shared" si="172"/>
        <v>0.99824055517747556</v>
      </c>
      <c r="AE292" s="33">
        <f t="shared" si="173"/>
        <v>0.99824055517747556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0.97370073847766125</v>
      </c>
      <c r="AL292" s="141">
        <f t="shared" si="178"/>
        <v>0.99655321095702043</v>
      </c>
    </row>
    <row r="293" spans="1:44" x14ac:dyDescent="0.2">
      <c r="A293" s="568" t="s">
        <v>990</v>
      </c>
      <c r="B293" s="7"/>
      <c r="C293" s="24">
        <f t="shared" si="179"/>
        <v>0.99744238313184785</v>
      </c>
      <c r="D293" s="601">
        <f t="shared" si="156"/>
        <v>0.99739672727383755</v>
      </c>
      <c r="E293" s="33">
        <f t="shared" si="157"/>
        <v>0.99739672727383755</v>
      </c>
      <c r="F293" s="24">
        <f t="shared" si="180"/>
        <v>0.99816708189934289</v>
      </c>
      <c r="G293" s="601">
        <f t="shared" si="158"/>
        <v>0.99641227084568773</v>
      </c>
      <c r="H293" s="33">
        <f t="shared" si="159"/>
        <v>0.99641227084568773</v>
      </c>
      <c r="I293" s="24">
        <f t="shared" si="181"/>
        <v>0.99878780656093669</v>
      </c>
      <c r="J293" s="601">
        <f t="shared" si="160"/>
        <v>0.9977626923464249</v>
      </c>
      <c r="K293" s="33">
        <f t="shared" si="161"/>
        <v>0.9977626923464249</v>
      </c>
      <c r="L293" s="24">
        <f t="shared" si="182"/>
        <v>0.99433679079215642</v>
      </c>
      <c r="M293" s="601">
        <f t="shared" si="162"/>
        <v>0.97924641579634697</v>
      </c>
      <c r="N293" s="33">
        <f t="shared" si="163"/>
        <v>0.97924641579634697</v>
      </c>
      <c r="O293" s="568" t="s">
        <v>990</v>
      </c>
      <c r="P293" s="7"/>
      <c r="Q293" s="24">
        <f t="shared" si="183"/>
        <v>0.9982485324011362</v>
      </c>
      <c r="R293" s="601">
        <f t="shared" si="164"/>
        <v>0.99999999999999967</v>
      </c>
      <c r="S293" s="33">
        <f t="shared" si="165"/>
        <v>0.99999999999999967</v>
      </c>
      <c r="T293" s="24">
        <f t="shared" si="184"/>
        <v>0.99894453169397279</v>
      </c>
      <c r="U293" s="601">
        <f t="shared" si="166"/>
        <v>0.99962042376804605</v>
      </c>
      <c r="V293" s="33">
        <f t="shared" si="167"/>
        <v>0.99962042376804605</v>
      </c>
      <c r="W293" s="24">
        <f t="shared" si="185"/>
        <v>0.99889178066683781</v>
      </c>
      <c r="X293" s="601">
        <f t="shared" si="168"/>
        <v>0.99519565550650202</v>
      </c>
      <c r="Y293" s="33">
        <f t="shared" si="169"/>
        <v>0.99519565550650202</v>
      </c>
      <c r="Z293" s="24">
        <f t="shared" si="186"/>
        <v>0.9995805942881365</v>
      </c>
      <c r="AA293" s="601">
        <f t="shared" si="170"/>
        <v>0.99872591107385644</v>
      </c>
      <c r="AB293" s="33">
        <f t="shared" si="171"/>
        <v>0.99872591107385644</v>
      </c>
      <c r="AC293" s="24">
        <f t="shared" si="187"/>
        <v>0.99912125379629269</v>
      </c>
      <c r="AD293" s="601">
        <f t="shared" si="172"/>
        <v>0.99911852678994584</v>
      </c>
      <c r="AE293" s="33">
        <f t="shared" si="173"/>
        <v>0.99911852678994584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0.97924641579634697</v>
      </c>
      <c r="AL293" s="141">
        <f t="shared" si="178"/>
        <v>0.9977626923464249</v>
      </c>
    </row>
    <row r="294" spans="1:44" x14ac:dyDescent="0.2">
      <c r="A294" s="568" t="s">
        <v>991</v>
      </c>
      <c r="B294" s="7"/>
      <c r="C294" s="24">
        <f t="shared" si="179"/>
        <v>0.99935987297818418</v>
      </c>
      <c r="D294" s="601">
        <f t="shared" si="156"/>
        <v>0.99803559682810128</v>
      </c>
      <c r="E294" s="33">
        <f t="shared" si="157"/>
        <v>0.99803559682810128</v>
      </c>
      <c r="F294" s="24">
        <f t="shared" si="180"/>
        <v>0.99944954492446048</v>
      </c>
      <c r="G294" s="601">
        <f t="shared" si="158"/>
        <v>0.9969610531174915</v>
      </c>
      <c r="H294" s="33">
        <f t="shared" si="159"/>
        <v>0.9969610531174915</v>
      </c>
      <c r="I294" s="24">
        <f t="shared" si="181"/>
        <v>0.9996164919849404</v>
      </c>
      <c r="J294" s="601">
        <f t="shared" si="160"/>
        <v>0.99814548914170631</v>
      </c>
      <c r="K294" s="33">
        <f t="shared" si="161"/>
        <v>0.99814548914170631</v>
      </c>
      <c r="L294" s="24">
        <f t="shared" si="182"/>
        <v>0.98808671861086594</v>
      </c>
      <c r="M294" s="601">
        <f t="shared" si="162"/>
        <v>0.99105311037178256</v>
      </c>
      <c r="N294" s="33">
        <f t="shared" si="163"/>
        <v>0.99105311037178256</v>
      </c>
      <c r="O294" s="568" t="s">
        <v>991</v>
      </c>
      <c r="P294" s="7"/>
      <c r="Q294" s="24">
        <f t="shared" si="183"/>
        <v>0.99999999999999989</v>
      </c>
      <c r="R294" s="601">
        <f t="shared" si="164"/>
        <v>0.99999999999999978</v>
      </c>
      <c r="S294" s="33">
        <f t="shared" si="165"/>
        <v>0.99999999999999978</v>
      </c>
      <c r="T294" s="24">
        <f t="shared" si="184"/>
        <v>0.99980506162015192</v>
      </c>
      <c r="U294" s="601">
        <f t="shared" si="166"/>
        <v>0.99981532614787261</v>
      </c>
      <c r="V294" s="33">
        <f t="shared" si="167"/>
        <v>0.99981532614787261</v>
      </c>
      <c r="W294" s="24">
        <f t="shared" si="185"/>
        <v>0.99930833644031081</v>
      </c>
      <c r="X294" s="601">
        <f t="shared" si="168"/>
        <v>0.99588447250579459</v>
      </c>
      <c r="Y294" s="33">
        <f t="shared" si="169"/>
        <v>0.99588447250579459</v>
      </c>
      <c r="Z294" s="24">
        <f t="shared" si="186"/>
        <v>0.99935020540050645</v>
      </c>
      <c r="AA294" s="601">
        <f t="shared" si="170"/>
        <v>0.99937529974649897</v>
      </c>
      <c r="AB294" s="33">
        <f t="shared" si="171"/>
        <v>0.99937529974649897</v>
      </c>
      <c r="AC294" s="24">
        <f t="shared" si="187"/>
        <v>1</v>
      </c>
      <c r="AD294" s="601">
        <f t="shared" si="172"/>
        <v>0.99911852678994584</v>
      </c>
      <c r="AE294" s="33">
        <f t="shared" si="173"/>
        <v>0.99911852678994584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0.99105311037178256</v>
      </c>
      <c r="AL294" s="141">
        <f t="shared" si="178"/>
        <v>0.99814548914170631</v>
      </c>
    </row>
    <row r="295" spans="1:44" x14ac:dyDescent="0.2">
      <c r="A295" s="568" t="s">
        <v>992</v>
      </c>
      <c r="B295" s="7"/>
      <c r="C295" s="24">
        <f t="shared" si="179"/>
        <v>0.99808084796006458</v>
      </c>
      <c r="D295" s="601">
        <f t="shared" si="156"/>
        <v>0.99995466185724757</v>
      </c>
      <c r="E295" s="33">
        <f t="shared" si="157"/>
        <v>0.99995466185724757</v>
      </c>
      <c r="F295" s="24">
        <f t="shared" si="180"/>
        <v>0.99904042398003223</v>
      </c>
      <c r="G295" s="601">
        <f t="shared" si="158"/>
        <v>0.99791863190654806</v>
      </c>
      <c r="H295" s="33">
        <f t="shared" si="159"/>
        <v>0.99791863190654806</v>
      </c>
      <c r="I295" s="24">
        <f t="shared" si="181"/>
        <v>0.99952021199001617</v>
      </c>
      <c r="J295" s="601">
        <f t="shared" si="160"/>
        <v>0.9986246172595421</v>
      </c>
      <c r="K295" s="33">
        <f t="shared" si="161"/>
        <v>0.9986246172595421</v>
      </c>
      <c r="L295" s="24">
        <f t="shared" si="182"/>
        <v>0.99222959242711617</v>
      </c>
      <c r="M295" s="601">
        <f t="shared" si="162"/>
        <v>0.99881430460821496</v>
      </c>
      <c r="N295" s="33">
        <f t="shared" si="163"/>
        <v>0.99881430460821496</v>
      </c>
      <c r="O295" s="568" t="s">
        <v>992</v>
      </c>
      <c r="P295" s="7"/>
      <c r="Q295" s="24">
        <f t="shared" si="183"/>
        <v>0.99999999999999989</v>
      </c>
      <c r="R295" s="601">
        <f t="shared" si="164"/>
        <v>0.99999999999999989</v>
      </c>
      <c r="S295" s="33">
        <f t="shared" si="165"/>
        <v>0.99999999999999989</v>
      </c>
      <c r="T295" s="24">
        <f t="shared" si="184"/>
        <v>1</v>
      </c>
      <c r="U295" s="601">
        <f t="shared" si="166"/>
        <v>0.99981532614787261</v>
      </c>
      <c r="V295" s="33">
        <f t="shared" si="167"/>
        <v>0.99981532614787261</v>
      </c>
      <c r="W295" s="24">
        <f t="shared" si="185"/>
        <v>1</v>
      </c>
      <c r="X295" s="601">
        <f t="shared" si="168"/>
        <v>0.99588447250579459</v>
      </c>
      <c r="Y295" s="33">
        <f t="shared" si="169"/>
        <v>0.99588447250579459</v>
      </c>
      <c r="Z295" s="24">
        <f t="shared" si="186"/>
        <v>0.99984378833731113</v>
      </c>
      <c r="AA295" s="601">
        <f t="shared" si="170"/>
        <v>0.99953143821437218</v>
      </c>
      <c r="AB295" s="33">
        <f t="shared" si="171"/>
        <v>0.99953143821437218</v>
      </c>
      <c r="AC295" s="24">
        <f t="shared" si="187"/>
        <v>1</v>
      </c>
      <c r="AD295" s="601">
        <f t="shared" si="172"/>
        <v>0.99911852678994584</v>
      </c>
      <c r="AE295" s="33">
        <f t="shared" si="173"/>
        <v>0.99911852678994584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0.99881430460821496</v>
      </c>
      <c r="AL295" s="141">
        <f t="shared" si="178"/>
        <v>0.9986246172595421</v>
      </c>
    </row>
    <row r="296" spans="1:44" x14ac:dyDescent="0.2">
      <c r="A296" s="568" t="s">
        <v>993</v>
      </c>
      <c r="B296" s="7"/>
      <c r="C296" s="24">
        <f t="shared" si="179"/>
        <v>0.99998866527159924</v>
      </c>
      <c r="D296" s="601">
        <f t="shared" si="156"/>
        <v>0.99996599620022453</v>
      </c>
      <c r="E296" s="33">
        <f t="shared" si="157"/>
        <v>0.99996599620022453</v>
      </c>
      <c r="F296" s="24">
        <f t="shared" si="180"/>
        <v>0.99999433266791882</v>
      </c>
      <c r="G296" s="601">
        <f t="shared" si="158"/>
        <v>0.99792428747487705</v>
      </c>
      <c r="H296" s="33">
        <f t="shared" si="159"/>
        <v>0.99792428747487705</v>
      </c>
      <c r="I296" s="24">
        <f t="shared" si="181"/>
        <v>0.99988285955359313</v>
      </c>
      <c r="J296" s="601">
        <f t="shared" si="160"/>
        <v>0.99874161029761743</v>
      </c>
      <c r="K296" s="33">
        <f t="shared" si="161"/>
        <v>0.99874161029761743</v>
      </c>
      <c r="L296" s="24">
        <f t="shared" si="182"/>
        <v>0.99990686970736919</v>
      </c>
      <c r="M296" s="601">
        <f t="shared" si="162"/>
        <v>0.99890733314046143</v>
      </c>
      <c r="N296" s="33">
        <f t="shared" si="163"/>
        <v>0.99890733314046143</v>
      </c>
      <c r="O296" s="568" t="s">
        <v>993</v>
      </c>
      <c r="P296" s="7"/>
      <c r="Q296" s="24">
        <f t="shared" si="183"/>
        <v>1</v>
      </c>
      <c r="R296" s="601">
        <f t="shared" si="164"/>
        <v>0.99999999999999989</v>
      </c>
      <c r="S296" s="33">
        <f t="shared" si="165"/>
        <v>0.99999999999999989</v>
      </c>
      <c r="T296" s="24">
        <f t="shared" si="184"/>
        <v>1</v>
      </c>
      <c r="U296" s="601">
        <f t="shared" si="166"/>
        <v>0.99981532614787261</v>
      </c>
      <c r="V296" s="33">
        <f t="shared" si="167"/>
        <v>0.99981532614787261</v>
      </c>
      <c r="W296" s="24">
        <f t="shared" si="185"/>
        <v>1</v>
      </c>
      <c r="X296" s="601">
        <f t="shared" si="168"/>
        <v>0.99588447250579459</v>
      </c>
      <c r="Y296" s="33">
        <f t="shared" si="169"/>
        <v>0.99588447250579459</v>
      </c>
      <c r="Z296" s="24">
        <f t="shared" si="186"/>
        <v>0.99953143821437218</v>
      </c>
      <c r="AA296" s="601">
        <f t="shared" si="170"/>
        <v>1</v>
      </c>
      <c r="AB296" s="33">
        <f t="shared" si="171"/>
        <v>1</v>
      </c>
      <c r="AC296" s="24">
        <f t="shared" si="187"/>
        <v>1</v>
      </c>
      <c r="AD296" s="601">
        <f t="shared" si="172"/>
        <v>0.99911852678994584</v>
      </c>
      <c r="AE296" s="33">
        <f t="shared" si="173"/>
        <v>0.99911852678994584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0.99890733314046143</v>
      </c>
      <c r="AL296" s="141">
        <f t="shared" si="178"/>
        <v>0.99874161029761743</v>
      </c>
    </row>
    <row r="297" spans="1:44" x14ac:dyDescent="0.2">
      <c r="A297" s="568" t="s">
        <v>994</v>
      </c>
      <c r="B297" s="7"/>
      <c r="C297" s="24">
        <f t="shared" si="179"/>
        <v>0.99996599620022453</v>
      </c>
      <c r="D297" s="601">
        <f t="shared" si="156"/>
        <v>1</v>
      </c>
      <c r="E297" s="33">
        <f t="shared" si="157"/>
        <v>1</v>
      </c>
      <c r="F297" s="24">
        <f t="shared" si="180"/>
        <v>0.99998299810011237</v>
      </c>
      <c r="G297" s="601">
        <f t="shared" si="158"/>
        <v>0.99794125437217762</v>
      </c>
      <c r="H297" s="33">
        <f t="shared" si="159"/>
        <v>0.99794125437217762</v>
      </c>
      <c r="I297" s="24">
        <f t="shared" ref="I297:I316" si="188">IF(+Z251=0,1,Z251)</f>
        <v>0.99999149905005613</v>
      </c>
      <c r="J297" s="601">
        <f t="shared" si="160"/>
        <v>0.99875010062222924</v>
      </c>
      <c r="K297" s="33">
        <f t="shared" si="161"/>
        <v>0.99875010062222924</v>
      </c>
      <c r="L297" s="24">
        <f t="shared" si="182"/>
        <v>0.99985448597632431</v>
      </c>
      <c r="M297" s="601">
        <f t="shared" si="162"/>
        <v>0.99905270932005874</v>
      </c>
      <c r="N297" s="33">
        <f t="shared" si="163"/>
        <v>0.99905270932005874</v>
      </c>
      <c r="O297" s="568" t="s">
        <v>994</v>
      </c>
      <c r="P297" s="7"/>
      <c r="Q297" s="24">
        <f t="shared" ref="Q297:Q316" si="189">IF(+AB251=0,1,AB251)</f>
        <v>1</v>
      </c>
      <c r="R297" s="601">
        <f t="shared" si="164"/>
        <v>0.99999999999999989</v>
      </c>
      <c r="S297" s="33">
        <f t="shared" si="165"/>
        <v>0.99999999999999989</v>
      </c>
      <c r="T297" s="24">
        <f t="shared" ref="T297:T316" si="190">IF(+AC251=0,1,AC251)</f>
        <v>1</v>
      </c>
      <c r="U297" s="601">
        <f t="shared" si="166"/>
        <v>0.99981532614787261</v>
      </c>
      <c r="V297" s="33">
        <f t="shared" si="167"/>
        <v>0.99981532614787261</v>
      </c>
      <c r="W297" s="24">
        <f t="shared" ref="W297:W316" si="191">IF(+AD251=0,1,AD251)</f>
        <v>1</v>
      </c>
      <c r="X297" s="601">
        <f t="shared" si="168"/>
        <v>0.99588447250579459</v>
      </c>
      <c r="Y297" s="33">
        <f t="shared" si="169"/>
        <v>0.99588447250579459</v>
      </c>
      <c r="Z297" s="24">
        <f t="shared" ref="Z297:Z316" si="192">IF(+AE251=0,1,AE251)</f>
        <v>1</v>
      </c>
      <c r="AA297" s="601">
        <f t="shared" si="170"/>
        <v>1</v>
      </c>
      <c r="AB297" s="33">
        <f t="shared" si="171"/>
        <v>1</v>
      </c>
      <c r="AC297" s="24">
        <f t="shared" ref="AC297:AC316" si="193">IF(+AF251=0,1,AF251)</f>
        <v>1</v>
      </c>
      <c r="AD297" s="601">
        <f t="shared" si="172"/>
        <v>0.99911852678994584</v>
      </c>
      <c r="AE297" s="33">
        <f t="shared" si="173"/>
        <v>0.99911852678994584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0.99905270932005874</v>
      </c>
      <c r="AL297" s="141">
        <f t="shared" si="178"/>
        <v>0.99875010062222924</v>
      </c>
    </row>
    <row r="298" spans="1:44" x14ac:dyDescent="0.2">
      <c r="A298" s="568" t="s">
        <v>995</v>
      </c>
      <c r="B298" s="7"/>
      <c r="C298" s="24">
        <f t="shared" si="179"/>
        <v>1</v>
      </c>
      <c r="D298" s="601">
        <f t="shared" si="156"/>
        <v>1</v>
      </c>
      <c r="E298" s="33">
        <f t="shared" si="157"/>
        <v>1</v>
      </c>
      <c r="F298" s="24">
        <f t="shared" si="180"/>
        <v>0.9995731029810585</v>
      </c>
      <c r="G298" s="601">
        <f t="shared" si="158"/>
        <v>0.9983674544622958</v>
      </c>
      <c r="H298" s="33">
        <f t="shared" si="159"/>
        <v>0.9983674544622958</v>
      </c>
      <c r="I298" s="24">
        <f t="shared" si="188"/>
        <v>0.99974810454470475</v>
      </c>
      <c r="J298" s="601">
        <f t="shared" si="160"/>
        <v>0.99900174462153146</v>
      </c>
      <c r="K298" s="33">
        <f t="shared" si="161"/>
        <v>0.99900174462153146</v>
      </c>
      <c r="L298" s="24">
        <f t="shared" ref="L298:L316" si="194">IF(+AA252=0,1,AA252)</f>
        <v>0.99982436735135716</v>
      </c>
      <c r="M298" s="601">
        <f t="shared" si="162"/>
        <v>0.9992282064165503</v>
      </c>
      <c r="N298" s="33">
        <f t="shared" si="163"/>
        <v>0.9992282064165503</v>
      </c>
      <c r="O298" s="568" t="s">
        <v>995</v>
      </c>
      <c r="P298" s="7"/>
      <c r="Q298" s="24">
        <f t="shared" si="189"/>
        <v>1</v>
      </c>
      <c r="R298" s="601">
        <f t="shared" si="164"/>
        <v>0.99999999999999989</v>
      </c>
      <c r="S298" s="33">
        <f t="shared" si="165"/>
        <v>0.99999999999999989</v>
      </c>
      <c r="T298" s="24">
        <f t="shared" si="190"/>
        <v>0.99995382833933322</v>
      </c>
      <c r="U298" s="601">
        <f t="shared" si="166"/>
        <v>0.99986149141336789</v>
      </c>
      <c r="V298" s="33">
        <f t="shared" si="167"/>
        <v>0.99986149141336789</v>
      </c>
      <c r="W298" s="24">
        <f t="shared" si="191"/>
        <v>0.99914584101253312</v>
      </c>
      <c r="X298" s="601">
        <f t="shared" si="168"/>
        <v>0.9967358433845519</v>
      </c>
      <c r="Y298" s="33">
        <f t="shared" si="169"/>
        <v>0.9967358433845519</v>
      </c>
      <c r="Z298" s="24">
        <f t="shared" si="192"/>
        <v>1</v>
      </c>
      <c r="AA298" s="601">
        <f t="shared" si="170"/>
        <v>1</v>
      </c>
      <c r="AB298" s="33">
        <f t="shared" si="171"/>
        <v>1</v>
      </c>
      <c r="AC298" s="24">
        <f t="shared" si="193"/>
        <v>0.99984607787960522</v>
      </c>
      <c r="AD298" s="601">
        <f t="shared" si="172"/>
        <v>0.99927233690689443</v>
      </c>
      <c r="AE298" s="33">
        <f t="shared" si="173"/>
        <v>0.99927233690689443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0.9992282064165503</v>
      </c>
      <c r="AL298" s="141">
        <f t="shared" si="178"/>
        <v>0.99900174462153146</v>
      </c>
    </row>
    <row r="299" spans="1:44" x14ac:dyDescent="0.2">
      <c r="A299" s="568" t="s">
        <v>996</v>
      </c>
      <c r="B299" s="7"/>
      <c r="C299" s="24">
        <f t="shared" si="179"/>
        <v>1</v>
      </c>
      <c r="D299" s="601">
        <f t="shared" si="156"/>
        <v>1</v>
      </c>
      <c r="E299" s="33">
        <f t="shared" si="157"/>
        <v>1</v>
      </c>
      <c r="F299" s="24">
        <f t="shared" ref="F299:F316" si="195">IF(+Y253=0,1,Y253)</f>
        <v>0.99871985558857157</v>
      </c>
      <c r="G299" s="601">
        <f t="shared" si="158"/>
        <v>0.99964714717114733</v>
      </c>
      <c r="H299" s="33">
        <f t="shared" si="159"/>
        <v>0.99964714717114733</v>
      </c>
      <c r="I299" s="24">
        <f t="shared" si="188"/>
        <v>0.99924450397209241</v>
      </c>
      <c r="J299" s="601">
        <f t="shared" si="160"/>
        <v>0.99975705710704843</v>
      </c>
      <c r="K299" s="33">
        <f t="shared" si="161"/>
        <v>0.99975705710704843</v>
      </c>
      <c r="L299" s="24">
        <f t="shared" si="194"/>
        <v>0.99947319458913542</v>
      </c>
      <c r="M299" s="601">
        <f t="shared" si="162"/>
        <v>0.99975488269829405</v>
      </c>
      <c r="N299" s="33">
        <f t="shared" si="163"/>
        <v>0.99975488269829405</v>
      </c>
      <c r="O299" s="568" t="s">
        <v>996</v>
      </c>
      <c r="P299" s="7"/>
      <c r="Q299" s="24">
        <f t="shared" si="189"/>
        <v>1</v>
      </c>
      <c r="R299" s="601">
        <f t="shared" si="164"/>
        <v>0.99999999999999989</v>
      </c>
      <c r="S299" s="33">
        <f t="shared" si="165"/>
        <v>0.99999999999999989</v>
      </c>
      <c r="T299" s="24">
        <f t="shared" si="190"/>
        <v>0.99986149141336789</v>
      </c>
      <c r="U299" s="601">
        <f t="shared" si="166"/>
        <v>1</v>
      </c>
      <c r="V299" s="33">
        <f t="shared" si="167"/>
        <v>1</v>
      </c>
      <c r="W299" s="24">
        <f t="shared" si="191"/>
        <v>0.99743971117714325</v>
      </c>
      <c r="X299" s="601">
        <f t="shared" si="168"/>
        <v>0.9992943254768144</v>
      </c>
      <c r="Y299" s="33">
        <f t="shared" si="169"/>
        <v>0.9992943254768144</v>
      </c>
      <c r="Z299" s="24">
        <f t="shared" si="192"/>
        <v>1</v>
      </c>
      <c r="AA299" s="601">
        <f t="shared" si="170"/>
        <v>1</v>
      </c>
      <c r="AB299" s="33">
        <f t="shared" si="171"/>
        <v>1</v>
      </c>
      <c r="AC299" s="24">
        <f t="shared" si="193"/>
        <v>0.9995383047112264</v>
      </c>
      <c r="AD299" s="601">
        <f t="shared" si="172"/>
        <v>0.99973390934286521</v>
      </c>
      <c r="AE299" s="33">
        <f t="shared" si="173"/>
        <v>0.99973390934286521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0.99975488269829405</v>
      </c>
      <c r="AL299" s="141">
        <f t="shared" si="178"/>
        <v>0.99975705710704843</v>
      </c>
    </row>
    <row r="300" spans="1:44" x14ac:dyDescent="0.2">
      <c r="A300" s="568" t="s">
        <v>997</v>
      </c>
      <c r="B300" s="7"/>
      <c r="C300" s="24">
        <f t="shared" si="179"/>
        <v>1</v>
      </c>
      <c r="D300" s="601">
        <f t="shared" si="156"/>
        <v>1</v>
      </c>
      <c r="E300" s="33">
        <f t="shared" si="157"/>
        <v>1</v>
      </c>
      <c r="F300" s="24">
        <f t="shared" si="195"/>
        <v>1</v>
      </c>
      <c r="G300" s="601">
        <f t="shared" si="158"/>
        <v>0.99964714717114733</v>
      </c>
      <c r="H300" s="33">
        <f t="shared" si="159"/>
        <v>0.99964714717114733</v>
      </c>
      <c r="I300" s="24">
        <f t="shared" si="188"/>
        <v>1</v>
      </c>
      <c r="J300" s="601">
        <f t="shared" si="160"/>
        <v>0.99975705710704843</v>
      </c>
      <c r="K300" s="33">
        <f t="shared" si="161"/>
        <v>0.99975705710704843</v>
      </c>
      <c r="L300" s="24">
        <f t="shared" si="194"/>
        <v>1</v>
      </c>
      <c r="M300" s="601">
        <f t="shared" si="162"/>
        <v>0.99975488269829405</v>
      </c>
      <c r="N300" s="33">
        <f t="shared" si="163"/>
        <v>0.99975488269829405</v>
      </c>
      <c r="O300" s="568" t="s">
        <v>997</v>
      </c>
      <c r="P300" s="7"/>
      <c r="Q300" s="24">
        <f t="shared" si="189"/>
        <v>1</v>
      </c>
      <c r="R300" s="601">
        <f t="shared" si="164"/>
        <v>0.99999999999999989</v>
      </c>
      <c r="S300" s="33">
        <f t="shared" si="165"/>
        <v>0.99999999999999989</v>
      </c>
      <c r="T300" s="24">
        <f t="shared" si="190"/>
        <v>1</v>
      </c>
      <c r="U300" s="601">
        <f t="shared" si="166"/>
        <v>1</v>
      </c>
      <c r="V300" s="33">
        <f t="shared" si="167"/>
        <v>1</v>
      </c>
      <c r="W300" s="24">
        <f t="shared" si="191"/>
        <v>1</v>
      </c>
      <c r="X300" s="601">
        <f t="shared" si="168"/>
        <v>0.9992943254768144</v>
      </c>
      <c r="Y300" s="33">
        <f t="shared" si="169"/>
        <v>0.9992943254768144</v>
      </c>
      <c r="Z300" s="24">
        <f t="shared" si="192"/>
        <v>1</v>
      </c>
      <c r="AA300" s="601">
        <f t="shared" si="170"/>
        <v>1</v>
      </c>
      <c r="AB300" s="33">
        <f t="shared" si="171"/>
        <v>1</v>
      </c>
      <c r="AC300" s="24">
        <f t="shared" si="193"/>
        <v>1</v>
      </c>
      <c r="AD300" s="601">
        <f t="shared" si="172"/>
        <v>0.99973390934286521</v>
      </c>
      <c r="AE300" s="33">
        <f t="shared" si="173"/>
        <v>0.99973390934286521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0.99975488269829405</v>
      </c>
      <c r="AL300" s="141">
        <f t="shared" si="178"/>
        <v>0.99975705710704843</v>
      </c>
    </row>
    <row r="301" spans="1:44" x14ac:dyDescent="0.2">
      <c r="A301" s="568" t="s">
        <v>998</v>
      </c>
      <c r="B301" s="7"/>
      <c r="C301" s="24">
        <f t="shared" si="179"/>
        <v>1</v>
      </c>
      <c r="D301" s="601">
        <f t="shared" si="156"/>
        <v>1</v>
      </c>
      <c r="E301" s="33">
        <f t="shared" si="157"/>
        <v>1</v>
      </c>
      <c r="F301" s="24">
        <f t="shared" si="195"/>
        <v>1</v>
      </c>
      <c r="G301" s="601">
        <f t="shared" si="158"/>
        <v>0.99964714717114733</v>
      </c>
      <c r="H301" s="33">
        <f t="shared" si="159"/>
        <v>0.99964714717114733</v>
      </c>
      <c r="I301" s="24">
        <f t="shared" si="188"/>
        <v>0.99998336850410452</v>
      </c>
      <c r="J301" s="601">
        <f t="shared" si="160"/>
        <v>0.99977368483898421</v>
      </c>
      <c r="K301" s="33">
        <f t="shared" si="161"/>
        <v>0.99977368483898421</v>
      </c>
      <c r="L301" s="24">
        <f t="shared" si="194"/>
        <v>0.99998282477841915</v>
      </c>
      <c r="M301" s="601">
        <f t="shared" si="162"/>
        <v>0.99977205400485192</v>
      </c>
      <c r="N301" s="33">
        <f t="shared" si="163"/>
        <v>0.99977205400485192</v>
      </c>
      <c r="O301" s="568" t="s">
        <v>998</v>
      </c>
      <c r="P301" s="7"/>
      <c r="Q301" s="24">
        <f t="shared" si="189"/>
        <v>1</v>
      </c>
      <c r="R301" s="601">
        <f t="shared" si="164"/>
        <v>0.99999999999999989</v>
      </c>
      <c r="S301" s="33">
        <f t="shared" si="165"/>
        <v>0.99999999999999989</v>
      </c>
      <c r="T301" s="24">
        <f t="shared" si="190"/>
        <v>1</v>
      </c>
      <c r="U301" s="601">
        <f t="shared" si="166"/>
        <v>1</v>
      </c>
      <c r="V301" s="33">
        <f t="shared" si="167"/>
        <v>1</v>
      </c>
      <c r="W301" s="24">
        <f t="shared" si="191"/>
        <v>1</v>
      </c>
      <c r="X301" s="601">
        <f t="shared" si="168"/>
        <v>0.9992943254768144</v>
      </c>
      <c r="Y301" s="33">
        <f t="shared" si="169"/>
        <v>0.9992943254768144</v>
      </c>
      <c r="Z301" s="24">
        <f t="shared" si="192"/>
        <v>1</v>
      </c>
      <c r="AA301" s="601">
        <f t="shared" si="170"/>
        <v>1</v>
      </c>
      <c r="AB301" s="33">
        <f t="shared" si="171"/>
        <v>1</v>
      </c>
      <c r="AC301" s="24">
        <f t="shared" si="193"/>
        <v>0.99993347069678851</v>
      </c>
      <c r="AD301" s="601">
        <f t="shared" si="172"/>
        <v>0.99980042536851554</v>
      </c>
      <c r="AE301" s="33">
        <f t="shared" si="173"/>
        <v>0.99980042536851554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0.99977205400485192</v>
      </c>
      <c r="AL301" s="141">
        <f t="shared" si="178"/>
        <v>0.99977368483898421</v>
      </c>
    </row>
    <row r="302" spans="1:44" x14ac:dyDescent="0.2">
      <c r="A302" s="568" t="s">
        <v>999</v>
      </c>
      <c r="B302" s="7"/>
      <c r="C302" s="24">
        <f t="shared" si="179"/>
        <v>1</v>
      </c>
      <c r="D302" s="601">
        <f t="shared" si="156"/>
        <v>1</v>
      </c>
      <c r="E302" s="33">
        <f t="shared" si="157"/>
        <v>1</v>
      </c>
      <c r="F302" s="24">
        <f t="shared" si="195"/>
        <v>1</v>
      </c>
      <c r="G302" s="601">
        <f t="shared" si="158"/>
        <v>0.99964714717114733</v>
      </c>
      <c r="H302" s="33">
        <f t="shared" si="159"/>
        <v>0.99964714717114733</v>
      </c>
      <c r="I302" s="24">
        <f t="shared" si="188"/>
        <v>0.99995010634212889</v>
      </c>
      <c r="J302" s="601">
        <f t="shared" si="160"/>
        <v>0.99982356969410202</v>
      </c>
      <c r="K302" s="33">
        <f t="shared" si="161"/>
        <v>0.99982356969410202</v>
      </c>
      <c r="L302" s="24">
        <f t="shared" si="194"/>
        <v>0.99994847522021724</v>
      </c>
      <c r="M302" s="601">
        <f t="shared" si="162"/>
        <v>0.99982356969410202</v>
      </c>
      <c r="N302" s="33">
        <f t="shared" si="163"/>
        <v>0.99982356969410202</v>
      </c>
      <c r="O302" s="568" t="s">
        <v>999</v>
      </c>
      <c r="P302" s="7"/>
      <c r="Q302" s="24">
        <f t="shared" si="189"/>
        <v>1</v>
      </c>
      <c r="R302" s="601">
        <f t="shared" si="164"/>
        <v>0.99999999999999989</v>
      </c>
      <c r="S302" s="33">
        <f t="shared" si="165"/>
        <v>0.99999999999999989</v>
      </c>
      <c r="T302" s="24">
        <f t="shared" si="190"/>
        <v>1</v>
      </c>
      <c r="U302" s="601">
        <f t="shared" si="166"/>
        <v>1</v>
      </c>
      <c r="V302" s="33">
        <f t="shared" si="167"/>
        <v>1</v>
      </c>
      <c r="W302" s="24">
        <f t="shared" si="191"/>
        <v>1</v>
      </c>
      <c r="X302" s="601">
        <f t="shared" si="168"/>
        <v>0.9992943254768144</v>
      </c>
      <c r="Y302" s="33">
        <f t="shared" si="169"/>
        <v>0.9992943254768144</v>
      </c>
      <c r="Z302" s="24">
        <f t="shared" si="192"/>
        <v>1</v>
      </c>
      <c r="AA302" s="601">
        <f t="shared" si="170"/>
        <v>1</v>
      </c>
      <c r="AB302" s="33">
        <f t="shared" si="171"/>
        <v>1</v>
      </c>
      <c r="AC302" s="24">
        <f t="shared" si="193"/>
        <v>0.99980042536851554</v>
      </c>
      <c r="AD302" s="601">
        <f t="shared" si="172"/>
        <v>1</v>
      </c>
      <c r="AE302" s="33">
        <f t="shared" si="173"/>
        <v>1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0.99982356969410202</v>
      </c>
      <c r="AL302" s="141">
        <f t="shared" si="178"/>
        <v>0.99982356969410202</v>
      </c>
    </row>
    <row r="303" spans="1:44" x14ac:dyDescent="0.2">
      <c r="A303" s="568" t="s">
        <v>1000</v>
      </c>
      <c r="B303" s="7"/>
      <c r="C303" s="24">
        <f t="shared" si="179"/>
        <v>1</v>
      </c>
      <c r="D303" s="601">
        <f t="shared" si="156"/>
        <v>1</v>
      </c>
      <c r="E303" s="33">
        <f t="shared" si="157"/>
        <v>1</v>
      </c>
      <c r="F303" s="24">
        <f t="shared" si="195"/>
        <v>1</v>
      </c>
      <c r="G303" s="601">
        <f t="shared" si="158"/>
        <v>0.99964714717114733</v>
      </c>
      <c r="H303" s="33">
        <f t="shared" si="159"/>
        <v>0.99964714717114733</v>
      </c>
      <c r="I303" s="24">
        <f t="shared" si="188"/>
        <v>1</v>
      </c>
      <c r="J303" s="601">
        <f t="shared" si="160"/>
        <v>0.99982356969410202</v>
      </c>
      <c r="K303" s="33">
        <f t="shared" si="161"/>
        <v>0.99982356969410202</v>
      </c>
      <c r="L303" s="24">
        <f t="shared" si="194"/>
        <v>1</v>
      </c>
      <c r="M303" s="601">
        <f t="shared" si="162"/>
        <v>0.99982356969410202</v>
      </c>
      <c r="N303" s="33">
        <f t="shared" si="163"/>
        <v>0.99982356969410202</v>
      </c>
      <c r="O303" s="568" t="s">
        <v>1000</v>
      </c>
      <c r="P303" s="7"/>
      <c r="Q303" s="24">
        <f t="shared" si="189"/>
        <v>1</v>
      </c>
      <c r="R303" s="601">
        <f t="shared" si="164"/>
        <v>0.99999999999999989</v>
      </c>
      <c r="S303" s="33">
        <f t="shared" si="165"/>
        <v>0.99999999999999989</v>
      </c>
      <c r="T303" s="24">
        <f t="shared" si="190"/>
        <v>1</v>
      </c>
      <c r="U303" s="601">
        <f t="shared" si="166"/>
        <v>1</v>
      </c>
      <c r="V303" s="33">
        <f t="shared" si="167"/>
        <v>1</v>
      </c>
      <c r="W303" s="24">
        <f t="shared" si="191"/>
        <v>1</v>
      </c>
      <c r="X303" s="601">
        <f t="shared" si="168"/>
        <v>0.9992943254768144</v>
      </c>
      <c r="Y303" s="33">
        <f t="shared" si="169"/>
        <v>0.9992943254768144</v>
      </c>
      <c r="Z303" s="24">
        <f t="shared" si="192"/>
        <v>1</v>
      </c>
      <c r="AA303" s="601">
        <f t="shared" si="170"/>
        <v>1</v>
      </c>
      <c r="AB303" s="33">
        <f t="shared" si="171"/>
        <v>1</v>
      </c>
      <c r="AC303" s="24">
        <f t="shared" si="193"/>
        <v>1</v>
      </c>
      <c r="AD303" s="601">
        <f t="shared" si="172"/>
        <v>1</v>
      </c>
      <c r="AE303" s="33">
        <f t="shared" si="173"/>
        <v>1</v>
      </c>
      <c r="AK303" s="141">
        <f t="shared" si="177"/>
        <v>0.99982356969410202</v>
      </c>
      <c r="AL303" s="141">
        <f t="shared" si="178"/>
        <v>0.99982356969410202</v>
      </c>
    </row>
    <row r="304" spans="1:44" x14ac:dyDescent="0.2">
      <c r="A304" s="568" t="s">
        <v>1001</v>
      </c>
      <c r="B304" s="7"/>
      <c r="C304" s="24">
        <f t="shared" si="179"/>
        <v>1</v>
      </c>
      <c r="D304" s="601">
        <f t="shared" si="156"/>
        <v>1</v>
      </c>
      <c r="E304" s="33">
        <f t="shared" si="157"/>
        <v>1</v>
      </c>
      <c r="F304" s="24">
        <f t="shared" si="195"/>
        <v>0.99991177511802887</v>
      </c>
      <c r="G304" s="601">
        <f t="shared" si="158"/>
        <v>0.99973534870428915</v>
      </c>
      <c r="H304" s="33">
        <f t="shared" si="159"/>
        <v>0.99973534870428915</v>
      </c>
      <c r="I304" s="24">
        <f t="shared" si="188"/>
        <v>0.99995588950500769</v>
      </c>
      <c r="J304" s="601">
        <f t="shared" si="160"/>
        <v>0.99986767435214452</v>
      </c>
      <c r="K304" s="33">
        <f t="shared" si="161"/>
        <v>0.99986767435214452</v>
      </c>
      <c r="L304" s="24">
        <f t="shared" si="194"/>
        <v>0.99995588950500769</v>
      </c>
      <c r="M304" s="601">
        <f t="shared" si="162"/>
        <v>0.99986767435214452</v>
      </c>
      <c r="N304" s="33">
        <f t="shared" si="163"/>
        <v>0.99986767435214452</v>
      </c>
      <c r="O304" s="568" t="s">
        <v>1001</v>
      </c>
      <c r="P304" s="7"/>
      <c r="Q304" s="24">
        <f t="shared" si="189"/>
        <v>1</v>
      </c>
      <c r="R304" s="601">
        <f t="shared" si="164"/>
        <v>0.99999999999999989</v>
      </c>
      <c r="S304" s="33">
        <f t="shared" si="165"/>
        <v>0.99999999999999989</v>
      </c>
      <c r="T304" s="24">
        <f t="shared" si="190"/>
        <v>1</v>
      </c>
      <c r="U304" s="601">
        <f t="shared" si="166"/>
        <v>1</v>
      </c>
      <c r="V304" s="33">
        <f t="shared" si="167"/>
        <v>1</v>
      </c>
      <c r="W304" s="24">
        <f t="shared" si="191"/>
        <v>0.99982353466467666</v>
      </c>
      <c r="X304" s="601">
        <f t="shared" si="168"/>
        <v>0.99947069740857841</v>
      </c>
      <c r="Y304" s="33">
        <f t="shared" si="169"/>
        <v>0.99947069740857841</v>
      </c>
      <c r="Z304" s="24">
        <f t="shared" si="192"/>
        <v>1</v>
      </c>
      <c r="AA304" s="601">
        <f t="shared" si="170"/>
        <v>1</v>
      </c>
      <c r="AB304" s="33">
        <f t="shared" si="171"/>
        <v>1</v>
      </c>
      <c r="AC304" s="24">
        <f t="shared" si="193"/>
        <v>1</v>
      </c>
      <c r="AD304" s="601">
        <f t="shared" si="172"/>
        <v>1</v>
      </c>
      <c r="AE304" s="33">
        <f t="shared" si="173"/>
        <v>1</v>
      </c>
    </row>
    <row r="305" spans="1:31" x14ac:dyDescent="0.2">
      <c r="A305" s="568" t="s">
        <v>1043</v>
      </c>
      <c r="B305" s="595"/>
      <c r="C305" s="24">
        <f t="shared" ref="C305:C316" si="196">IF(+X259=0,1,X259)</f>
        <v>1</v>
      </c>
      <c r="D305" s="601">
        <f t="shared" si="156"/>
        <v>1</v>
      </c>
      <c r="E305" s="33">
        <f t="shared" si="157"/>
        <v>1</v>
      </c>
      <c r="F305" s="24">
        <f t="shared" si="195"/>
        <v>0.99973534870428915</v>
      </c>
      <c r="G305" s="601">
        <f t="shared" si="158"/>
        <v>1</v>
      </c>
      <c r="H305" s="33">
        <f t="shared" si="159"/>
        <v>1</v>
      </c>
      <c r="I305" s="24">
        <f t="shared" si="188"/>
        <v>0.99986767435214452</v>
      </c>
      <c r="J305" s="601">
        <f t="shared" si="160"/>
        <v>1</v>
      </c>
      <c r="K305" s="33">
        <f t="shared" si="161"/>
        <v>1</v>
      </c>
      <c r="L305" s="24">
        <f t="shared" si="194"/>
        <v>0.99986767435214452</v>
      </c>
      <c r="M305" s="601">
        <f t="shared" si="162"/>
        <v>1</v>
      </c>
      <c r="N305" s="33">
        <f t="shared" si="163"/>
        <v>1</v>
      </c>
      <c r="O305" s="568" t="s">
        <v>1043</v>
      </c>
      <c r="P305" s="595"/>
      <c r="Q305" s="24">
        <f t="shared" si="189"/>
        <v>0.99999999999999989</v>
      </c>
      <c r="R305" s="601">
        <f t="shared" si="164"/>
        <v>1</v>
      </c>
      <c r="S305" s="33">
        <f t="shared" si="165"/>
        <v>1</v>
      </c>
      <c r="T305" s="24">
        <f t="shared" si="190"/>
        <v>1</v>
      </c>
      <c r="U305" s="601">
        <f t="shared" si="166"/>
        <v>1</v>
      </c>
      <c r="V305" s="33">
        <f t="shared" si="167"/>
        <v>1</v>
      </c>
      <c r="W305" s="24">
        <f t="shared" si="191"/>
        <v>0.99947069740857841</v>
      </c>
      <c r="X305" s="601">
        <f t="shared" si="168"/>
        <v>1</v>
      </c>
      <c r="Y305" s="33">
        <f t="shared" si="169"/>
        <v>1</v>
      </c>
      <c r="Z305" s="24">
        <f t="shared" si="192"/>
        <v>1</v>
      </c>
      <c r="AA305" s="601">
        <f t="shared" si="170"/>
        <v>1</v>
      </c>
      <c r="AB305" s="33">
        <f t="shared" si="171"/>
        <v>1</v>
      </c>
      <c r="AC305" s="24">
        <f t="shared" si="193"/>
        <v>1</v>
      </c>
      <c r="AD305" s="601">
        <f t="shared" si="172"/>
        <v>1</v>
      </c>
      <c r="AE305" s="33">
        <f t="shared" si="173"/>
        <v>1</v>
      </c>
    </row>
    <row r="306" spans="1:31" x14ac:dyDescent="0.2">
      <c r="A306" s="568" t="s">
        <v>1044</v>
      </c>
      <c r="B306" s="595"/>
      <c r="C306" s="24">
        <f t="shared" si="196"/>
        <v>1</v>
      </c>
      <c r="D306" s="601">
        <f t="shared" si="156"/>
        <v>1</v>
      </c>
      <c r="E306" s="33">
        <f t="shared" si="157"/>
        <v>1</v>
      </c>
      <c r="F306" s="24">
        <f t="shared" si="195"/>
        <v>1</v>
      </c>
      <c r="G306" s="601">
        <f t="shared" si="158"/>
        <v>1</v>
      </c>
      <c r="H306" s="33">
        <f t="shared" si="159"/>
        <v>1</v>
      </c>
      <c r="I306" s="24">
        <f t="shared" si="188"/>
        <v>1</v>
      </c>
      <c r="J306" s="601">
        <f t="shared" si="160"/>
        <v>1</v>
      </c>
      <c r="K306" s="33">
        <f t="shared" si="161"/>
        <v>1</v>
      </c>
      <c r="L306" s="24">
        <f t="shared" si="194"/>
        <v>1</v>
      </c>
      <c r="M306" s="601">
        <f t="shared" si="162"/>
        <v>1</v>
      </c>
      <c r="N306" s="33">
        <f t="shared" si="163"/>
        <v>1</v>
      </c>
      <c r="O306" s="568" t="s">
        <v>1044</v>
      </c>
      <c r="P306" s="595"/>
      <c r="Q306" s="24">
        <f t="shared" si="189"/>
        <v>1</v>
      </c>
      <c r="R306" s="601">
        <f t="shared" si="164"/>
        <v>1</v>
      </c>
      <c r="S306" s="33">
        <f t="shared" si="165"/>
        <v>1</v>
      </c>
      <c r="T306" s="24">
        <f t="shared" si="190"/>
        <v>1</v>
      </c>
      <c r="U306" s="601">
        <f t="shared" si="166"/>
        <v>1</v>
      </c>
      <c r="V306" s="33">
        <f t="shared" si="167"/>
        <v>1</v>
      </c>
      <c r="W306" s="24">
        <f t="shared" si="191"/>
        <v>1</v>
      </c>
      <c r="X306" s="601">
        <f t="shared" si="168"/>
        <v>1</v>
      </c>
      <c r="Y306" s="33">
        <f t="shared" si="169"/>
        <v>1</v>
      </c>
      <c r="Z306" s="24">
        <f t="shared" si="192"/>
        <v>1</v>
      </c>
      <c r="AA306" s="601">
        <f t="shared" si="170"/>
        <v>1</v>
      </c>
      <c r="AB306" s="33">
        <f t="shared" si="171"/>
        <v>1</v>
      </c>
      <c r="AC306" s="24">
        <f t="shared" si="193"/>
        <v>1</v>
      </c>
      <c r="AD306" s="601">
        <f t="shared" si="172"/>
        <v>1</v>
      </c>
      <c r="AE306" s="33">
        <f t="shared" si="173"/>
        <v>1</v>
      </c>
    </row>
    <row r="307" spans="1:31" x14ac:dyDescent="0.2">
      <c r="A307" s="568" t="s">
        <v>1045</v>
      </c>
      <c r="B307" s="595"/>
      <c r="C307" s="24">
        <f t="shared" si="196"/>
        <v>1</v>
      </c>
      <c r="D307" s="601">
        <f t="shared" si="156"/>
        <v>1</v>
      </c>
      <c r="E307" s="33">
        <f t="shared" si="157"/>
        <v>1</v>
      </c>
      <c r="F307" s="24">
        <f t="shared" si="195"/>
        <v>1</v>
      </c>
      <c r="G307" s="601">
        <f t="shared" si="158"/>
        <v>1</v>
      </c>
      <c r="H307" s="33">
        <f t="shared" si="159"/>
        <v>1</v>
      </c>
      <c r="I307" s="24">
        <f t="shared" si="188"/>
        <v>1</v>
      </c>
      <c r="J307" s="601">
        <f t="shared" si="160"/>
        <v>1</v>
      </c>
      <c r="K307" s="33">
        <f t="shared" si="161"/>
        <v>1</v>
      </c>
      <c r="L307" s="24">
        <f t="shared" si="194"/>
        <v>1</v>
      </c>
      <c r="M307" s="601">
        <f t="shared" si="162"/>
        <v>1</v>
      </c>
      <c r="N307" s="33">
        <f t="shared" si="163"/>
        <v>1</v>
      </c>
      <c r="O307" s="568" t="s">
        <v>1045</v>
      </c>
      <c r="P307" s="595"/>
      <c r="Q307" s="24">
        <f t="shared" si="189"/>
        <v>1</v>
      </c>
      <c r="R307" s="601">
        <f t="shared" si="164"/>
        <v>1</v>
      </c>
      <c r="S307" s="33">
        <f t="shared" si="165"/>
        <v>1</v>
      </c>
      <c r="T307" s="24">
        <f t="shared" si="190"/>
        <v>1</v>
      </c>
      <c r="U307" s="601">
        <f t="shared" si="166"/>
        <v>1</v>
      </c>
      <c r="V307" s="33">
        <f t="shared" si="167"/>
        <v>1</v>
      </c>
      <c r="W307" s="24">
        <f t="shared" si="191"/>
        <v>1</v>
      </c>
      <c r="X307" s="601">
        <f t="shared" si="168"/>
        <v>1</v>
      </c>
      <c r="Y307" s="33">
        <f t="shared" si="169"/>
        <v>1</v>
      </c>
      <c r="Z307" s="24">
        <f t="shared" si="192"/>
        <v>1</v>
      </c>
      <c r="AA307" s="601">
        <f t="shared" si="170"/>
        <v>1</v>
      </c>
      <c r="AB307" s="33">
        <f t="shared" si="171"/>
        <v>1</v>
      </c>
      <c r="AC307" s="24">
        <f t="shared" si="193"/>
        <v>1</v>
      </c>
      <c r="AD307" s="601">
        <f t="shared" si="172"/>
        <v>1</v>
      </c>
      <c r="AE307" s="33">
        <f t="shared" si="173"/>
        <v>1</v>
      </c>
    </row>
    <row r="308" spans="1:31" x14ac:dyDescent="0.2">
      <c r="A308" s="568" t="s">
        <v>1046</v>
      </c>
      <c r="B308" s="595"/>
      <c r="C308" s="24">
        <f t="shared" si="196"/>
        <v>1</v>
      </c>
      <c r="D308" s="601">
        <f t="shared" si="156"/>
        <v>1</v>
      </c>
      <c r="E308" s="33">
        <f t="shared" si="157"/>
        <v>1</v>
      </c>
      <c r="F308" s="24">
        <f t="shared" si="195"/>
        <v>1</v>
      </c>
      <c r="G308" s="601">
        <f t="shared" si="158"/>
        <v>1</v>
      </c>
      <c r="H308" s="33">
        <f t="shared" si="159"/>
        <v>1</v>
      </c>
      <c r="I308" s="24">
        <f t="shared" si="188"/>
        <v>1</v>
      </c>
      <c r="J308" s="601">
        <f t="shared" si="160"/>
        <v>1</v>
      </c>
      <c r="K308" s="33">
        <f t="shared" si="161"/>
        <v>1</v>
      </c>
      <c r="L308" s="24">
        <f t="shared" si="194"/>
        <v>1</v>
      </c>
      <c r="M308" s="601">
        <f t="shared" si="162"/>
        <v>1</v>
      </c>
      <c r="N308" s="33">
        <f t="shared" si="163"/>
        <v>1</v>
      </c>
      <c r="O308" s="568" t="s">
        <v>1046</v>
      </c>
      <c r="P308" s="595"/>
      <c r="Q308" s="24">
        <f t="shared" si="189"/>
        <v>1</v>
      </c>
      <c r="R308" s="601">
        <f t="shared" si="164"/>
        <v>1</v>
      </c>
      <c r="S308" s="33">
        <f t="shared" si="165"/>
        <v>1</v>
      </c>
      <c r="T308" s="24">
        <f t="shared" si="190"/>
        <v>1</v>
      </c>
      <c r="U308" s="601">
        <f t="shared" si="166"/>
        <v>1</v>
      </c>
      <c r="V308" s="33">
        <f t="shared" si="167"/>
        <v>1</v>
      </c>
      <c r="W308" s="24">
        <f t="shared" si="191"/>
        <v>1</v>
      </c>
      <c r="X308" s="601">
        <f t="shared" si="168"/>
        <v>1</v>
      </c>
      <c r="Y308" s="33">
        <f t="shared" si="169"/>
        <v>1</v>
      </c>
      <c r="Z308" s="24">
        <f t="shared" si="192"/>
        <v>1</v>
      </c>
      <c r="AA308" s="601">
        <f t="shared" si="170"/>
        <v>1</v>
      </c>
      <c r="AB308" s="33">
        <f t="shared" si="171"/>
        <v>1</v>
      </c>
      <c r="AC308" s="24">
        <f t="shared" si="193"/>
        <v>1</v>
      </c>
      <c r="AD308" s="601">
        <f t="shared" si="172"/>
        <v>1</v>
      </c>
      <c r="AE308" s="33">
        <f t="shared" si="173"/>
        <v>1</v>
      </c>
    </row>
    <row r="309" spans="1:31" x14ac:dyDescent="0.2">
      <c r="A309" s="568" t="s">
        <v>1047</v>
      </c>
      <c r="B309" s="595"/>
      <c r="C309" s="24">
        <f t="shared" si="196"/>
        <v>1</v>
      </c>
      <c r="D309" s="601">
        <f t="shared" si="156"/>
        <v>1</v>
      </c>
      <c r="E309" s="33">
        <f t="shared" si="157"/>
        <v>1</v>
      </c>
      <c r="F309" s="24">
        <f t="shared" si="195"/>
        <v>1</v>
      </c>
      <c r="G309" s="601">
        <f t="shared" si="158"/>
        <v>1</v>
      </c>
      <c r="H309" s="33">
        <f t="shared" si="159"/>
        <v>1</v>
      </c>
      <c r="I309" s="24">
        <f t="shared" si="188"/>
        <v>1</v>
      </c>
      <c r="J309" s="601">
        <f t="shared" si="160"/>
        <v>1</v>
      </c>
      <c r="K309" s="33">
        <f t="shared" si="161"/>
        <v>1</v>
      </c>
      <c r="L309" s="24">
        <f t="shared" si="194"/>
        <v>1</v>
      </c>
      <c r="M309" s="601">
        <f t="shared" si="162"/>
        <v>1</v>
      </c>
      <c r="N309" s="33">
        <f t="shared" si="163"/>
        <v>1</v>
      </c>
      <c r="O309" s="568" t="s">
        <v>1047</v>
      </c>
      <c r="P309" s="595"/>
      <c r="Q309" s="24">
        <f t="shared" si="189"/>
        <v>1</v>
      </c>
      <c r="R309" s="601">
        <f t="shared" si="164"/>
        <v>1</v>
      </c>
      <c r="S309" s="33">
        <f t="shared" si="165"/>
        <v>1</v>
      </c>
      <c r="T309" s="24">
        <f t="shared" si="190"/>
        <v>1</v>
      </c>
      <c r="U309" s="601">
        <f t="shared" si="166"/>
        <v>1</v>
      </c>
      <c r="V309" s="33">
        <f t="shared" si="167"/>
        <v>1</v>
      </c>
      <c r="W309" s="24">
        <f t="shared" si="191"/>
        <v>1</v>
      </c>
      <c r="X309" s="601">
        <f t="shared" si="168"/>
        <v>1</v>
      </c>
      <c r="Y309" s="33">
        <f t="shared" si="169"/>
        <v>1</v>
      </c>
      <c r="Z309" s="24">
        <f t="shared" si="192"/>
        <v>1</v>
      </c>
      <c r="AA309" s="601">
        <f t="shared" si="170"/>
        <v>1</v>
      </c>
      <c r="AB309" s="33">
        <f t="shared" si="171"/>
        <v>1</v>
      </c>
      <c r="AC309" s="24">
        <f t="shared" si="193"/>
        <v>1</v>
      </c>
      <c r="AD309" s="601">
        <f t="shared" si="172"/>
        <v>1</v>
      </c>
      <c r="AE309" s="33">
        <f t="shared" si="173"/>
        <v>1</v>
      </c>
    </row>
    <row r="310" spans="1:31" x14ac:dyDescent="0.2">
      <c r="A310" s="568" t="s">
        <v>1048</v>
      </c>
      <c r="B310" s="595"/>
      <c r="C310" s="24">
        <f t="shared" si="196"/>
        <v>1</v>
      </c>
      <c r="D310" s="601">
        <f t="shared" si="156"/>
        <v>1</v>
      </c>
      <c r="E310" s="33">
        <f t="shared" si="157"/>
        <v>1</v>
      </c>
      <c r="F310" s="24">
        <f t="shared" si="195"/>
        <v>1</v>
      </c>
      <c r="G310" s="601">
        <f t="shared" si="158"/>
        <v>1</v>
      </c>
      <c r="H310" s="33">
        <f t="shared" si="159"/>
        <v>1</v>
      </c>
      <c r="I310" s="24">
        <f t="shared" si="188"/>
        <v>1</v>
      </c>
      <c r="J310" s="601">
        <f t="shared" si="160"/>
        <v>1</v>
      </c>
      <c r="K310" s="33">
        <f t="shared" si="161"/>
        <v>1</v>
      </c>
      <c r="L310" s="24">
        <f t="shared" si="194"/>
        <v>1</v>
      </c>
      <c r="M310" s="601">
        <f t="shared" si="162"/>
        <v>1</v>
      </c>
      <c r="N310" s="33">
        <f t="shared" si="163"/>
        <v>1</v>
      </c>
      <c r="O310" s="568" t="s">
        <v>1048</v>
      </c>
      <c r="P310" s="595"/>
      <c r="Q310" s="24">
        <f t="shared" si="189"/>
        <v>1</v>
      </c>
      <c r="R310" s="601">
        <f t="shared" si="164"/>
        <v>1</v>
      </c>
      <c r="S310" s="33">
        <f t="shared" si="165"/>
        <v>1</v>
      </c>
      <c r="T310" s="24">
        <f t="shared" si="190"/>
        <v>1</v>
      </c>
      <c r="U310" s="601">
        <f t="shared" si="166"/>
        <v>1</v>
      </c>
      <c r="V310" s="33">
        <f t="shared" si="167"/>
        <v>1</v>
      </c>
      <c r="W310" s="24">
        <f t="shared" si="191"/>
        <v>1</v>
      </c>
      <c r="X310" s="601">
        <f t="shared" si="168"/>
        <v>1</v>
      </c>
      <c r="Y310" s="33">
        <f t="shared" si="169"/>
        <v>1</v>
      </c>
      <c r="Z310" s="24">
        <f t="shared" si="192"/>
        <v>1</v>
      </c>
      <c r="AA310" s="601">
        <f t="shared" si="170"/>
        <v>1</v>
      </c>
      <c r="AB310" s="33">
        <f t="shared" si="171"/>
        <v>1</v>
      </c>
      <c r="AC310" s="24">
        <f t="shared" si="193"/>
        <v>1</v>
      </c>
      <c r="AD310" s="601">
        <f t="shared" si="172"/>
        <v>1</v>
      </c>
      <c r="AE310" s="33">
        <f t="shared" si="173"/>
        <v>1</v>
      </c>
    </row>
    <row r="311" spans="1:31" x14ac:dyDescent="0.2">
      <c r="A311" s="568" t="s">
        <v>1049</v>
      </c>
      <c r="B311" s="595"/>
      <c r="C311" s="24">
        <f t="shared" si="196"/>
        <v>1</v>
      </c>
      <c r="D311" s="601">
        <f t="shared" si="156"/>
        <v>1</v>
      </c>
      <c r="E311" s="33">
        <f t="shared" si="157"/>
        <v>1</v>
      </c>
      <c r="F311" s="24">
        <f t="shared" si="195"/>
        <v>1</v>
      </c>
      <c r="G311" s="601">
        <f t="shared" si="158"/>
        <v>1</v>
      </c>
      <c r="H311" s="33">
        <f t="shared" si="159"/>
        <v>1</v>
      </c>
      <c r="I311" s="24">
        <f t="shared" si="188"/>
        <v>1</v>
      </c>
      <c r="J311" s="601">
        <f t="shared" si="160"/>
        <v>1</v>
      </c>
      <c r="K311" s="33">
        <f t="shared" si="161"/>
        <v>1</v>
      </c>
      <c r="L311" s="24">
        <f t="shared" si="194"/>
        <v>1</v>
      </c>
      <c r="M311" s="601">
        <f t="shared" si="162"/>
        <v>1</v>
      </c>
      <c r="N311" s="33">
        <f t="shared" si="163"/>
        <v>1</v>
      </c>
      <c r="O311" s="568" t="s">
        <v>1049</v>
      </c>
      <c r="P311" s="595"/>
      <c r="Q311" s="24">
        <f t="shared" si="189"/>
        <v>1</v>
      </c>
      <c r="R311" s="601">
        <f t="shared" si="164"/>
        <v>1</v>
      </c>
      <c r="S311" s="33">
        <f t="shared" si="165"/>
        <v>1</v>
      </c>
      <c r="T311" s="24">
        <f t="shared" si="190"/>
        <v>1</v>
      </c>
      <c r="U311" s="601">
        <f t="shared" si="166"/>
        <v>1</v>
      </c>
      <c r="V311" s="33">
        <f t="shared" si="167"/>
        <v>1</v>
      </c>
      <c r="W311" s="24">
        <f t="shared" si="191"/>
        <v>1</v>
      </c>
      <c r="X311" s="601">
        <f t="shared" si="168"/>
        <v>1</v>
      </c>
      <c r="Y311" s="33">
        <f t="shared" si="169"/>
        <v>1</v>
      </c>
      <c r="Z311" s="24">
        <f t="shared" si="192"/>
        <v>1</v>
      </c>
      <c r="AA311" s="601">
        <f t="shared" si="170"/>
        <v>1</v>
      </c>
      <c r="AB311" s="33">
        <f t="shared" si="171"/>
        <v>1</v>
      </c>
      <c r="AC311" s="24">
        <f t="shared" si="193"/>
        <v>1</v>
      </c>
      <c r="AD311" s="601">
        <f t="shared" si="172"/>
        <v>1</v>
      </c>
      <c r="AE311" s="33">
        <f t="shared" si="173"/>
        <v>1</v>
      </c>
    </row>
    <row r="312" spans="1:31" x14ac:dyDescent="0.2">
      <c r="A312" s="568" t="s">
        <v>1050</v>
      </c>
      <c r="B312" s="595"/>
      <c r="C312" s="24">
        <f t="shared" si="196"/>
        <v>1</v>
      </c>
      <c r="D312" s="601">
        <f t="shared" si="156"/>
        <v>1</v>
      </c>
      <c r="E312" s="33">
        <f t="shared" ref="E312:E315" si="197">MIN(SUMPRODUCT(D307:D317,$G$329:$G$339),$E$275)</f>
        <v>1</v>
      </c>
      <c r="F312" s="24">
        <f t="shared" si="195"/>
        <v>1</v>
      </c>
      <c r="G312" s="601">
        <f t="shared" si="158"/>
        <v>1</v>
      </c>
      <c r="H312" s="33">
        <f t="shared" ref="H312:H315" si="198">MIN(SUMPRODUCT(G307:G317,$G$329:$G$339),$E$275)</f>
        <v>1</v>
      </c>
      <c r="I312" s="24">
        <f t="shared" si="188"/>
        <v>1</v>
      </c>
      <c r="J312" s="601">
        <f t="shared" si="160"/>
        <v>1</v>
      </c>
      <c r="K312" s="33">
        <f t="shared" ref="K312:K315" si="199">MIN(SUMPRODUCT(J307:J317,$G$329:$G$339),$E$275)</f>
        <v>1</v>
      </c>
      <c r="L312" s="24">
        <f t="shared" si="194"/>
        <v>1</v>
      </c>
      <c r="M312" s="601">
        <f t="shared" si="162"/>
        <v>1</v>
      </c>
      <c r="N312" s="33">
        <f t="shared" ref="N312:N315" si="200">MIN(SUMPRODUCT(M307:M317,$G$329:$G$339),$E$275)</f>
        <v>1</v>
      </c>
      <c r="O312" s="568" t="s">
        <v>1050</v>
      </c>
      <c r="P312" s="595"/>
      <c r="Q312" s="24">
        <f t="shared" si="189"/>
        <v>1</v>
      </c>
      <c r="R312" s="601">
        <f t="shared" si="164"/>
        <v>1</v>
      </c>
      <c r="S312" s="33">
        <f t="shared" ref="S312:S315" si="201">MIN(SUMPRODUCT(R307:R317,$G$329:$G$339),$E$275)</f>
        <v>1</v>
      </c>
      <c r="T312" s="24">
        <f t="shared" si="190"/>
        <v>1</v>
      </c>
      <c r="U312" s="601">
        <f t="shared" si="166"/>
        <v>1</v>
      </c>
      <c r="V312" s="33">
        <f t="shared" ref="V312:V315" si="202">MIN(SUMPRODUCT(U307:U317,$G$329:$G$339),$E$275)</f>
        <v>1</v>
      </c>
      <c r="W312" s="24">
        <f t="shared" si="191"/>
        <v>1</v>
      </c>
      <c r="X312" s="601">
        <f t="shared" si="168"/>
        <v>1</v>
      </c>
      <c r="Y312" s="33">
        <f t="shared" ref="Y312:Y315" si="203">MIN(SUMPRODUCT(X307:X317,$G$329:$G$339),$E$275)</f>
        <v>1</v>
      </c>
      <c r="Z312" s="24">
        <f t="shared" si="192"/>
        <v>1</v>
      </c>
      <c r="AA312" s="601">
        <f t="shared" si="170"/>
        <v>1</v>
      </c>
      <c r="AB312" s="33">
        <f t="shared" ref="AB312:AB315" si="204">MIN(SUMPRODUCT(AA307:AA317,$G$329:$G$339),$E$275)</f>
        <v>1</v>
      </c>
      <c r="AC312" s="24">
        <f t="shared" si="193"/>
        <v>1</v>
      </c>
      <c r="AD312" s="601">
        <f t="shared" si="172"/>
        <v>1</v>
      </c>
      <c r="AE312" s="33">
        <f t="shared" ref="AE312:AE315" si="205">MIN(SUMPRODUCT(AD307:AD317,$G$329:$G$339),$E$275)</f>
        <v>1</v>
      </c>
    </row>
    <row r="313" spans="1:31" x14ac:dyDescent="0.2">
      <c r="A313" s="568" t="s">
        <v>1051</v>
      </c>
      <c r="B313" s="595"/>
      <c r="C313" s="24">
        <f t="shared" si="196"/>
        <v>1</v>
      </c>
      <c r="D313" s="601">
        <f t="shared" si="156"/>
        <v>1</v>
      </c>
      <c r="E313" s="33">
        <f t="shared" si="197"/>
        <v>1</v>
      </c>
      <c r="F313" s="24">
        <f t="shared" si="195"/>
        <v>1</v>
      </c>
      <c r="G313" s="601">
        <f t="shared" si="158"/>
        <v>1</v>
      </c>
      <c r="H313" s="33">
        <f t="shared" si="198"/>
        <v>1</v>
      </c>
      <c r="I313" s="24">
        <f t="shared" si="188"/>
        <v>1</v>
      </c>
      <c r="J313" s="601">
        <f t="shared" si="160"/>
        <v>1</v>
      </c>
      <c r="K313" s="33">
        <f t="shared" si="199"/>
        <v>1</v>
      </c>
      <c r="L313" s="24">
        <f t="shared" si="194"/>
        <v>1</v>
      </c>
      <c r="M313" s="601">
        <f t="shared" si="162"/>
        <v>1</v>
      </c>
      <c r="N313" s="33">
        <f t="shared" si="200"/>
        <v>1</v>
      </c>
      <c r="O313" s="568" t="s">
        <v>1051</v>
      </c>
      <c r="P313" s="595"/>
      <c r="Q313" s="24">
        <f t="shared" si="189"/>
        <v>1</v>
      </c>
      <c r="R313" s="601">
        <f t="shared" si="164"/>
        <v>1</v>
      </c>
      <c r="S313" s="33">
        <f t="shared" si="201"/>
        <v>1</v>
      </c>
      <c r="T313" s="24">
        <f t="shared" si="190"/>
        <v>1</v>
      </c>
      <c r="U313" s="601">
        <f t="shared" si="166"/>
        <v>1</v>
      </c>
      <c r="V313" s="33">
        <f t="shared" si="202"/>
        <v>1</v>
      </c>
      <c r="W313" s="24">
        <f t="shared" si="191"/>
        <v>1</v>
      </c>
      <c r="X313" s="601">
        <f t="shared" si="168"/>
        <v>1</v>
      </c>
      <c r="Y313" s="33">
        <f t="shared" si="203"/>
        <v>1</v>
      </c>
      <c r="Z313" s="24">
        <f t="shared" si="192"/>
        <v>1</v>
      </c>
      <c r="AA313" s="601">
        <f t="shared" si="170"/>
        <v>1</v>
      </c>
      <c r="AB313" s="33">
        <f t="shared" si="204"/>
        <v>1</v>
      </c>
      <c r="AC313" s="24">
        <f t="shared" si="193"/>
        <v>1</v>
      </c>
      <c r="AD313" s="601">
        <f t="shared" si="172"/>
        <v>1</v>
      </c>
      <c r="AE313" s="33">
        <f t="shared" si="205"/>
        <v>1</v>
      </c>
    </row>
    <row r="314" spans="1:31" x14ac:dyDescent="0.2">
      <c r="A314" s="568" t="s">
        <v>1052</v>
      </c>
      <c r="B314" s="595"/>
      <c r="C314" s="24">
        <f t="shared" si="196"/>
        <v>1</v>
      </c>
      <c r="D314" s="601">
        <f t="shared" si="156"/>
        <v>1</v>
      </c>
      <c r="E314" s="33">
        <f t="shared" si="197"/>
        <v>1</v>
      </c>
      <c r="F314" s="24">
        <f t="shared" si="195"/>
        <v>1</v>
      </c>
      <c r="G314" s="601">
        <f t="shared" si="158"/>
        <v>1</v>
      </c>
      <c r="H314" s="33">
        <f t="shared" si="198"/>
        <v>1</v>
      </c>
      <c r="I314" s="24">
        <f t="shared" si="188"/>
        <v>1</v>
      </c>
      <c r="J314" s="601">
        <f t="shared" si="160"/>
        <v>1</v>
      </c>
      <c r="K314" s="33">
        <f t="shared" si="199"/>
        <v>1</v>
      </c>
      <c r="L314" s="24">
        <f t="shared" si="194"/>
        <v>1</v>
      </c>
      <c r="M314" s="601">
        <f t="shared" si="162"/>
        <v>1</v>
      </c>
      <c r="N314" s="33">
        <f t="shared" si="200"/>
        <v>1</v>
      </c>
      <c r="O314" s="568" t="s">
        <v>1052</v>
      </c>
      <c r="P314" s="595"/>
      <c r="Q314" s="24">
        <f t="shared" si="189"/>
        <v>1</v>
      </c>
      <c r="R314" s="601">
        <f t="shared" si="164"/>
        <v>1</v>
      </c>
      <c r="S314" s="33">
        <f t="shared" si="201"/>
        <v>1</v>
      </c>
      <c r="T314" s="24">
        <f t="shared" si="190"/>
        <v>1</v>
      </c>
      <c r="U314" s="601">
        <f t="shared" si="166"/>
        <v>1</v>
      </c>
      <c r="V314" s="33">
        <f t="shared" si="202"/>
        <v>1</v>
      </c>
      <c r="W314" s="24">
        <f t="shared" si="191"/>
        <v>1</v>
      </c>
      <c r="X314" s="601">
        <f t="shared" si="168"/>
        <v>1</v>
      </c>
      <c r="Y314" s="33">
        <f t="shared" si="203"/>
        <v>1</v>
      </c>
      <c r="Z314" s="24">
        <f t="shared" si="192"/>
        <v>1</v>
      </c>
      <c r="AA314" s="601">
        <f t="shared" si="170"/>
        <v>1</v>
      </c>
      <c r="AB314" s="33">
        <f t="shared" si="204"/>
        <v>1</v>
      </c>
      <c r="AC314" s="24">
        <f t="shared" si="193"/>
        <v>1</v>
      </c>
      <c r="AD314" s="601">
        <f t="shared" si="172"/>
        <v>1</v>
      </c>
      <c r="AE314" s="33">
        <f t="shared" si="205"/>
        <v>1</v>
      </c>
    </row>
    <row r="315" spans="1:31" x14ac:dyDescent="0.2">
      <c r="A315" s="568" t="s">
        <v>1053</v>
      </c>
      <c r="B315" s="595"/>
      <c r="C315" s="24">
        <f t="shared" si="196"/>
        <v>1</v>
      </c>
      <c r="D315" s="601">
        <f>C316*D316</f>
        <v>1</v>
      </c>
      <c r="E315" s="33">
        <f t="shared" si="197"/>
        <v>1</v>
      </c>
      <c r="F315" s="24">
        <f t="shared" si="195"/>
        <v>1</v>
      </c>
      <c r="G315" s="601">
        <f>F316*G316</f>
        <v>1</v>
      </c>
      <c r="H315" s="33">
        <f t="shared" si="198"/>
        <v>1</v>
      </c>
      <c r="I315" s="24">
        <f t="shared" si="188"/>
        <v>1</v>
      </c>
      <c r="J315" s="601">
        <f>I316*J316</f>
        <v>1</v>
      </c>
      <c r="K315" s="33">
        <f t="shared" si="199"/>
        <v>1</v>
      </c>
      <c r="L315" s="24">
        <f t="shared" si="194"/>
        <v>1</v>
      </c>
      <c r="M315" s="601">
        <f>L316*M316</f>
        <v>1</v>
      </c>
      <c r="N315" s="33">
        <f t="shared" si="200"/>
        <v>1</v>
      </c>
      <c r="O315" s="568" t="s">
        <v>1053</v>
      </c>
      <c r="P315" s="595"/>
      <c r="Q315" s="24">
        <f t="shared" si="189"/>
        <v>1</v>
      </c>
      <c r="R315" s="601">
        <f>Q316*R316</f>
        <v>1</v>
      </c>
      <c r="S315" s="33">
        <f t="shared" si="201"/>
        <v>1</v>
      </c>
      <c r="T315" s="24">
        <f t="shared" si="190"/>
        <v>1</v>
      </c>
      <c r="U315" s="601">
        <f>T316*U316</f>
        <v>1</v>
      </c>
      <c r="V315" s="33">
        <f t="shared" si="202"/>
        <v>1</v>
      </c>
      <c r="W315" s="24">
        <f t="shared" si="191"/>
        <v>1</v>
      </c>
      <c r="X315" s="601">
        <f>W316*X316</f>
        <v>1</v>
      </c>
      <c r="Y315" s="33">
        <f t="shared" si="203"/>
        <v>1</v>
      </c>
      <c r="Z315" s="24">
        <f t="shared" si="192"/>
        <v>1</v>
      </c>
      <c r="AA315" s="601">
        <f>Z316*AA316</f>
        <v>1</v>
      </c>
      <c r="AB315" s="33">
        <f t="shared" si="204"/>
        <v>1</v>
      </c>
      <c r="AC315" s="24">
        <f t="shared" si="193"/>
        <v>1</v>
      </c>
      <c r="AD315" s="601">
        <f>AC316*AD316</f>
        <v>1</v>
      </c>
      <c r="AE315" s="33">
        <f t="shared" si="205"/>
        <v>1</v>
      </c>
    </row>
    <row r="316" spans="1:31" ht="12" thickBot="1" x14ac:dyDescent="0.25">
      <c r="A316" s="568" t="s">
        <v>1054</v>
      </c>
      <c r="B316" s="595"/>
      <c r="C316" s="24">
        <f t="shared" si="196"/>
        <v>1</v>
      </c>
      <c r="D316" s="614">
        <f>+$E$275</f>
        <v>1</v>
      </c>
      <c r="E316" s="33">
        <f>+D316</f>
        <v>1</v>
      </c>
      <c r="F316" s="24">
        <f t="shared" si="195"/>
        <v>1</v>
      </c>
      <c r="G316" s="614">
        <f>+$E$275</f>
        <v>1</v>
      </c>
      <c r="H316" s="33">
        <f>+G316</f>
        <v>1</v>
      </c>
      <c r="I316" s="24">
        <f t="shared" si="188"/>
        <v>1</v>
      </c>
      <c r="J316" s="614">
        <f>+$E$275</f>
        <v>1</v>
      </c>
      <c r="K316" s="33">
        <f>+J316</f>
        <v>1</v>
      </c>
      <c r="L316" s="24">
        <f t="shared" si="194"/>
        <v>1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1</v>
      </c>
      <c r="R316" s="614">
        <f>+$E$275</f>
        <v>1</v>
      </c>
      <c r="S316" s="33">
        <f>+R316</f>
        <v>1</v>
      </c>
      <c r="T316" s="24">
        <f t="shared" si="190"/>
        <v>1</v>
      </c>
      <c r="U316" s="614">
        <f>+$E$275</f>
        <v>1</v>
      </c>
      <c r="V316" s="33">
        <f>+U316</f>
        <v>1</v>
      </c>
      <c r="W316" s="24">
        <f t="shared" si="191"/>
        <v>1</v>
      </c>
      <c r="X316" s="614">
        <f>+$E$275</f>
        <v>1</v>
      </c>
      <c r="Y316" s="33">
        <f>+X316</f>
        <v>1</v>
      </c>
      <c r="Z316" s="24">
        <f t="shared" si="192"/>
        <v>1</v>
      </c>
      <c r="AA316" s="614">
        <f>+$E$275</f>
        <v>1</v>
      </c>
      <c r="AB316" s="33">
        <f>+AA316</f>
        <v>1</v>
      </c>
      <c r="AC316" s="24">
        <f t="shared" si="193"/>
        <v>1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0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1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AAMG - Commercial</v>
      </c>
      <c r="G340" s="354"/>
      <c r="N340" s="208" t="s">
        <v>1056</v>
      </c>
      <c r="O340" s="3" t="str">
        <f>+$C$1</f>
        <v>AAMG - Commercial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0</v>
      </c>
      <c r="Q344" s="16" t="s">
        <v>67</v>
      </c>
      <c r="R344" s="16"/>
      <c r="S344" s="14">
        <f>Final!$M$5</f>
        <v>0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9.0278737265129777E-2</v>
      </c>
      <c r="E349" s="33">
        <f t="shared" ref="E349:E379" si="209">MIN(SUMPRODUCT(D344:D354,$G$329:$G$339),$E$275)</f>
        <v>9.0278737265129777E-2</v>
      </c>
      <c r="F349" s="24"/>
      <c r="G349" s="601">
        <f t="shared" ref="G349:G382" si="210">F350*G350</f>
        <v>9.4623457051854376E-2</v>
      </c>
      <c r="H349" s="33">
        <f t="shared" ref="H349:H379" si="211">MIN(SUMPRODUCT(G344:G354,$G$329:$G$339),$E$275)</f>
        <v>9.4623457051854376E-2</v>
      </c>
      <c r="I349" s="24"/>
      <c r="J349" s="601">
        <f t="shared" ref="J349:J382" si="212">I350*J350</f>
        <v>0.14257377519423758</v>
      </c>
      <c r="K349" s="33">
        <f t="shared" ref="K349:K379" si="213">MIN(SUMPRODUCT(J344:J354,$G$329:$G$339),$E$275)</f>
        <v>0.14257377519423758</v>
      </c>
      <c r="L349" s="24"/>
      <c r="M349" s="601">
        <f t="shared" ref="M349:M382" si="214">L350*M350</f>
        <v>0.19275943897415507</v>
      </c>
      <c r="N349" s="33">
        <f t="shared" ref="N349:N379" si="215">MIN(SUMPRODUCT(M344:M354,$G$329:$G$339),$E$275)</f>
        <v>0.19275943897415507</v>
      </c>
      <c r="O349" s="252" t="s">
        <v>978</v>
      </c>
      <c r="P349" s="7"/>
      <c r="Q349" s="24"/>
      <c r="R349" s="601">
        <f t="shared" ref="R349:R382" si="216">Q350*R350</f>
        <v>0.10253284228500278</v>
      </c>
      <c r="S349" s="33">
        <f t="shared" ref="S349:S379" si="217">MIN(SUMPRODUCT(R344:R354,$G$329:$G$339),$E$275)</f>
        <v>0.10253284228500278</v>
      </c>
      <c r="T349" s="24"/>
      <c r="U349" s="601">
        <f t="shared" ref="U349:U382" si="218">T350*U350</f>
        <v>0.14580708598648609</v>
      </c>
      <c r="V349" s="33">
        <f t="shared" ref="V349:V379" si="219">MIN(SUMPRODUCT(U344:U354,$G$329:$G$339),$E$275)</f>
        <v>0.14580708598648609</v>
      </c>
      <c r="W349" s="24"/>
      <c r="X349" s="601">
        <f t="shared" ref="X349:X382" si="220">W350*X350</f>
        <v>9.3305846541704041E-2</v>
      </c>
      <c r="Y349" s="33">
        <f t="shared" ref="Y349:Y379" si="221">MIN(SUMPRODUCT(X344:X354,$G$329:$G$339),$E$275)</f>
        <v>9.3305846541704041E-2</v>
      </c>
      <c r="Z349" s="24"/>
      <c r="AA349" s="601">
        <f t="shared" ref="AA349:AA382" si="222">Z350*AA350</f>
        <v>0.26351761819695102</v>
      </c>
      <c r="AB349" s="33">
        <f t="shared" ref="AB349:AB379" si="223">MIN(SUMPRODUCT(AA344:AA354,$G$329:$G$339),$E$275)</f>
        <v>0.26351761819695102</v>
      </c>
      <c r="AC349" s="24"/>
      <c r="AD349" s="601">
        <f t="shared" ref="AD349:AD382" si="224">AC350*AD350</f>
        <v>0.14746721581946298</v>
      </c>
      <c r="AE349" s="33">
        <f t="shared" ref="AE349:AE379" si="225">MIN(SUMPRODUCT(AD344:AD354,$G$329:$G$339),$E$275)</f>
        <v>0.14746721581946298</v>
      </c>
    </row>
    <row r="350" spans="1:31" x14ac:dyDescent="0.2">
      <c r="A350" s="252" t="s">
        <v>979</v>
      </c>
      <c r="B350" s="7"/>
      <c r="C350" s="214">
        <v>0.19264927166764412</v>
      </c>
      <c r="D350" s="601">
        <f t="shared" si="208"/>
        <v>0.46861707020038684</v>
      </c>
      <c r="E350" s="33">
        <f t="shared" si="209"/>
        <v>0.46861707020038684</v>
      </c>
      <c r="F350" s="214">
        <v>0.21005923368583893</v>
      </c>
      <c r="G350" s="601">
        <f t="shared" si="210"/>
        <v>0.45046083141182758</v>
      </c>
      <c r="H350" s="33">
        <f t="shared" si="211"/>
        <v>0.45046083141182758</v>
      </c>
      <c r="I350" s="214">
        <v>0.2347173663138199</v>
      </c>
      <c r="J350" s="601">
        <f t="shared" si="212"/>
        <v>0.60742746663071689</v>
      </c>
      <c r="K350" s="33">
        <f t="shared" si="213"/>
        <v>0.60742746663071689</v>
      </c>
      <c r="L350" s="214">
        <v>0.27307880144204949</v>
      </c>
      <c r="M350" s="601">
        <f t="shared" si="214"/>
        <v>0.70587478030608275</v>
      </c>
      <c r="N350" s="33">
        <f t="shared" si="215"/>
        <v>0.70587478030608275</v>
      </c>
      <c r="O350" s="252" t="s">
        <v>979</v>
      </c>
      <c r="P350" s="7"/>
      <c r="Q350" s="214">
        <v>0.20610503011476847</v>
      </c>
      <c r="R350" s="601">
        <f t="shared" si="216"/>
        <v>0.49747860218602102</v>
      </c>
      <c r="S350" s="33">
        <f t="shared" si="217"/>
        <v>0.49747860218602102</v>
      </c>
      <c r="T350" s="214">
        <v>0.21996131773441516</v>
      </c>
      <c r="U350" s="601">
        <f t="shared" si="218"/>
        <v>0.66287603424223851</v>
      </c>
      <c r="V350" s="33">
        <f t="shared" si="219"/>
        <v>0.66287603424223851</v>
      </c>
      <c r="W350" s="214">
        <v>0.22746919570403376</v>
      </c>
      <c r="X350" s="601">
        <f t="shared" si="220"/>
        <v>0.41019113050853168</v>
      </c>
      <c r="Y350" s="33">
        <f t="shared" si="221"/>
        <v>0.41019113050853168</v>
      </c>
      <c r="Z350" s="214">
        <v>0.33216090169642459</v>
      </c>
      <c r="AA350" s="601">
        <f t="shared" si="222"/>
        <v>0.79334327686101525</v>
      </c>
      <c r="AB350" s="33">
        <f t="shared" si="223"/>
        <v>0.79334327686101525</v>
      </c>
      <c r="AC350" s="214">
        <v>0.18659009618717706</v>
      </c>
      <c r="AD350" s="601">
        <f t="shared" si="224"/>
        <v>0.79032713328756665</v>
      </c>
      <c r="AE350" s="33">
        <f t="shared" si="225"/>
        <v>0.79032713328756665</v>
      </c>
    </row>
    <row r="351" spans="1:31" x14ac:dyDescent="0.2">
      <c r="A351" s="568" t="s">
        <v>980</v>
      </c>
      <c r="B351" s="7"/>
      <c r="C351" s="214">
        <v>0.7931246609013417</v>
      </c>
      <c r="D351" s="601">
        <f t="shared" si="208"/>
        <v>0.59084919849526529</v>
      </c>
      <c r="E351" s="33">
        <f t="shared" si="209"/>
        <v>0.59084919849526529</v>
      </c>
      <c r="F351" s="214">
        <v>0.69975700530905971</v>
      </c>
      <c r="G351" s="601">
        <f t="shared" si="210"/>
        <v>0.64373893793728265</v>
      </c>
      <c r="H351" s="33">
        <f t="shared" si="211"/>
        <v>0.64373893793728265</v>
      </c>
      <c r="I351" s="214">
        <v>0.80864973983174115</v>
      </c>
      <c r="J351" s="601">
        <f t="shared" si="212"/>
        <v>0.75116263161984898</v>
      </c>
      <c r="K351" s="33">
        <f t="shared" si="213"/>
        <v>0.75116263161984898</v>
      </c>
      <c r="L351" s="214">
        <v>0.84206411089589206</v>
      </c>
      <c r="M351" s="601">
        <f t="shared" si="214"/>
        <v>0.83826726631905235</v>
      </c>
      <c r="N351" s="33">
        <f t="shared" si="215"/>
        <v>0.83826726631905235</v>
      </c>
      <c r="O351" s="568" t="s">
        <v>980</v>
      </c>
      <c r="P351" s="7"/>
      <c r="Q351" s="214">
        <v>0.69050268798358261</v>
      </c>
      <c r="R351" s="601">
        <f t="shared" si="216"/>
        <v>0.72045860333833933</v>
      </c>
      <c r="S351" s="33">
        <f t="shared" si="217"/>
        <v>0.72045860333833933</v>
      </c>
      <c r="T351" s="214">
        <v>0.81952976232256614</v>
      </c>
      <c r="U351" s="601">
        <f t="shared" si="218"/>
        <v>0.80884925077477676</v>
      </c>
      <c r="V351" s="33">
        <f t="shared" si="219"/>
        <v>0.80884925077477676</v>
      </c>
      <c r="W351" s="214">
        <v>0.60638934971677783</v>
      </c>
      <c r="X351" s="601">
        <f t="shared" si="220"/>
        <v>0.67644844141823546</v>
      </c>
      <c r="Y351" s="33">
        <f t="shared" si="221"/>
        <v>0.67644844141823546</v>
      </c>
      <c r="Z351" s="214">
        <v>0.92248481743174615</v>
      </c>
      <c r="AA351" s="601">
        <f t="shared" si="222"/>
        <v>0.86000686609643207</v>
      </c>
      <c r="AB351" s="33">
        <f t="shared" si="223"/>
        <v>0.86000686609643207</v>
      </c>
      <c r="AC351" s="214">
        <v>0.91260013127709882</v>
      </c>
      <c r="AD351" s="601">
        <f t="shared" si="224"/>
        <v>0.86601689633944878</v>
      </c>
      <c r="AE351" s="33">
        <f t="shared" si="225"/>
        <v>0.86601689633944878</v>
      </c>
    </row>
    <row r="352" spans="1:31" x14ac:dyDescent="0.2">
      <c r="A352" s="568" t="s">
        <v>981</v>
      </c>
      <c r="B352" s="7"/>
      <c r="C352" s="214">
        <v>0.85554734743998362</v>
      </c>
      <c r="D352" s="601">
        <f t="shared" si="208"/>
        <v>0.69060958492038715</v>
      </c>
      <c r="E352" s="33">
        <f t="shared" si="209"/>
        <v>0.69060958492038715</v>
      </c>
      <c r="F352" s="214">
        <v>0.85793695895401523</v>
      </c>
      <c r="G352" s="601">
        <f t="shared" si="210"/>
        <v>0.75033361276581467</v>
      </c>
      <c r="H352" s="33">
        <f t="shared" si="211"/>
        <v>0.75033361276581467</v>
      </c>
      <c r="I352" s="214">
        <v>0.90806412927823255</v>
      </c>
      <c r="J352" s="601">
        <f t="shared" si="212"/>
        <v>0.82721319717463626</v>
      </c>
      <c r="K352" s="33">
        <f t="shared" si="213"/>
        <v>0.82721319717463626</v>
      </c>
      <c r="L352" s="214">
        <v>0.94137601820666916</v>
      </c>
      <c r="M352" s="601">
        <f t="shared" si="214"/>
        <v>0.89047017356142122</v>
      </c>
      <c r="N352" s="33">
        <f t="shared" si="215"/>
        <v>0.89047017356142122</v>
      </c>
      <c r="O352" s="568" t="s">
        <v>981</v>
      </c>
      <c r="P352" s="7"/>
      <c r="Q352" s="214">
        <v>0.8583522036686505</v>
      </c>
      <c r="R352" s="601">
        <f t="shared" si="216"/>
        <v>0.83935079360087228</v>
      </c>
      <c r="S352" s="33">
        <f t="shared" si="217"/>
        <v>0.83935079360087228</v>
      </c>
      <c r="T352" s="214">
        <v>0.9137913373579456</v>
      </c>
      <c r="U352" s="601">
        <f t="shared" si="218"/>
        <v>0.88515749461295068</v>
      </c>
      <c r="V352" s="33">
        <f t="shared" si="219"/>
        <v>0.88515749461295068</v>
      </c>
      <c r="W352" s="214">
        <v>0.86032657046804639</v>
      </c>
      <c r="X352" s="601">
        <f t="shared" si="220"/>
        <v>0.78626938262551271</v>
      </c>
      <c r="Y352" s="33">
        <f t="shared" si="221"/>
        <v>0.78626938262551271</v>
      </c>
      <c r="Z352" s="24">
        <v>0.95774119530725754</v>
      </c>
      <c r="AA352" s="601">
        <f t="shared" si="222"/>
        <v>0.89795329919011069</v>
      </c>
      <c r="AB352" s="33">
        <f t="shared" si="223"/>
        <v>0.89795329919011069</v>
      </c>
      <c r="AC352" s="214">
        <v>0.9562914585717387</v>
      </c>
      <c r="AD352" s="601">
        <f t="shared" si="224"/>
        <v>0.90559932181437786</v>
      </c>
      <c r="AE352" s="33">
        <f t="shared" si="225"/>
        <v>0.90559932181437786</v>
      </c>
    </row>
    <row r="353" spans="1:31" x14ac:dyDescent="0.2">
      <c r="A353" s="568" t="s">
        <v>982</v>
      </c>
      <c r="B353" s="7"/>
      <c r="C353" s="24">
        <v>0.91383030535392995</v>
      </c>
      <c r="D353" s="601">
        <f t="shared" si="208"/>
        <v>0.75573066561073554</v>
      </c>
      <c r="E353" s="33">
        <f t="shared" si="209"/>
        <v>0.75573066561073554</v>
      </c>
      <c r="F353" s="24">
        <v>0.93387333842998499</v>
      </c>
      <c r="G353" s="601">
        <f t="shared" si="210"/>
        <v>0.80346400511579574</v>
      </c>
      <c r="H353" s="33">
        <f t="shared" si="211"/>
        <v>0.80346400511579574</v>
      </c>
      <c r="I353" s="214">
        <v>0.95540895355437927</v>
      </c>
      <c r="J353" s="601">
        <f t="shared" si="212"/>
        <v>0.86582106447420215</v>
      </c>
      <c r="K353" s="33">
        <f t="shared" si="213"/>
        <v>0.86582106447420215</v>
      </c>
      <c r="L353" s="214">
        <v>0.96985990267757327</v>
      </c>
      <c r="M353" s="601">
        <f t="shared" si="214"/>
        <v>0.91814309582551645</v>
      </c>
      <c r="N353" s="33">
        <f t="shared" si="215"/>
        <v>0.91814309582551645</v>
      </c>
      <c r="O353" s="568" t="s">
        <v>982</v>
      </c>
      <c r="P353" s="7"/>
      <c r="Q353" s="214">
        <v>0.94117790098026977</v>
      </c>
      <c r="R353" s="601">
        <f t="shared" si="216"/>
        <v>0.89180886283736471</v>
      </c>
      <c r="S353" s="33">
        <f t="shared" si="217"/>
        <v>0.89180886283736471</v>
      </c>
      <c r="T353" s="214">
        <v>0.96085900259986412</v>
      </c>
      <c r="U353" s="601">
        <f t="shared" si="218"/>
        <v>0.92121475910400741</v>
      </c>
      <c r="V353" s="33">
        <f t="shared" si="219"/>
        <v>0.92121475910400741</v>
      </c>
      <c r="W353" s="24">
        <v>0.92027490952789215</v>
      </c>
      <c r="X353" s="601">
        <f t="shared" si="220"/>
        <v>0.85438533038880171</v>
      </c>
      <c r="Y353" s="33">
        <f t="shared" si="221"/>
        <v>0.85438533038880171</v>
      </c>
      <c r="Z353" s="214">
        <v>0.96009114063316126</v>
      </c>
      <c r="AA353" s="601">
        <f t="shared" si="222"/>
        <v>0.93527922630129479</v>
      </c>
      <c r="AB353" s="33">
        <f t="shared" si="223"/>
        <v>0.93527922630129479</v>
      </c>
      <c r="AC353" s="24">
        <v>0.97989984551282594</v>
      </c>
      <c r="AD353" s="601">
        <f t="shared" si="224"/>
        <v>0.92417538992511705</v>
      </c>
      <c r="AE353" s="33">
        <f t="shared" si="225"/>
        <v>0.92417538992511705</v>
      </c>
    </row>
    <row r="354" spans="1:31" x14ac:dyDescent="0.2">
      <c r="A354" s="568" t="s">
        <v>983</v>
      </c>
      <c r="B354" s="7"/>
      <c r="C354" s="24">
        <v>0.92593896754059057</v>
      </c>
      <c r="D354" s="601">
        <f t="shared" si="208"/>
        <v>0.81617762304361219</v>
      </c>
      <c r="E354" s="33">
        <f t="shared" si="209"/>
        <v>0.81617762304361219</v>
      </c>
      <c r="F354" s="24">
        <v>0.94924958196498066</v>
      </c>
      <c r="G354" s="601">
        <f t="shared" si="210"/>
        <v>0.84642018324895807</v>
      </c>
      <c r="H354" s="33">
        <f t="shared" si="211"/>
        <v>0.84642018324895807</v>
      </c>
      <c r="I354" s="24">
        <v>0.970019920375084</v>
      </c>
      <c r="J354" s="601">
        <f t="shared" si="212"/>
        <v>0.89258070508429288</v>
      </c>
      <c r="K354" s="33">
        <f t="shared" si="213"/>
        <v>0.89258070508429288</v>
      </c>
      <c r="L354" s="24">
        <v>0.98327331134214713</v>
      </c>
      <c r="M354" s="601">
        <f t="shared" si="214"/>
        <v>0.93376183939363788</v>
      </c>
      <c r="N354" s="33">
        <f t="shared" si="215"/>
        <v>0.93376183939363788</v>
      </c>
      <c r="O354" s="568" t="s">
        <v>983</v>
      </c>
      <c r="P354" s="7"/>
      <c r="Q354" s="24">
        <v>0.96902649703192012</v>
      </c>
      <c r="R354" s="601">
        <f t="shared" si="216"/>
        <v>0.92031421800015878</v>
      </c>
      <c r="S354" s="33">
        <f t="shared" si="217"/>
        <v>0.92031421800015878</v>
      </c>
      <c r="T354" s="24">
        <v>0.97325250187039691</v>
      </c>
      <c r="U354" s="601">
        <f t="shared" si="218"/>
        <v>0.94653212535659204</v>
      </c>
      <c r="V354" s="33">
        <f t="shared" si="219"/>
        <v>0.94653212535659204</v>
      </c>
      <c r="W354" s="24">
        <v>0.9418077093193794</v>
      </c>
      <c r="X354" s="601">
        <f t="shared" si="220"/>
        <v>0.90717597863606825</v>
      </c>
      <c r="Y354" s="33">
        <f t="shared" si="221"/>
        <v>0.90717597863606825</v>
      </c>
      <c r="Z354" s="24">
        <v>0.96823953931306472</v>
      </c>
      <c r="AA354" s="601">
        <f t="shared" si="222"/>
        <v>0.96595851370090269</v>
      </c>
      <c r="AB354" s="33">
        <f t="shared" si="223"/>
        <v>0.96595851370090269</v>
      </c>
      <c r="AC354" s="24">
        <v>0.98020482490698391</v>
      </c>
      <c r="AD354" s="601">
        <f t="shared" si="224"/>
        <v>0.94283905408526858</v>
      </c>
      <c r="AE354" s="33">
        <f t="shared" si="225"/>
        <v>0.94283905408526858</v>
      </c>
    </row>
    <row r="355" spans="1:31" x14ac:dyDescent="0.2">
      <c r="A355" s="568" t="s">
        <v>984</v>
      </c>
      <c r="B355" s="7"/>
      <c r="C355" s="24">
        <v>0.94005190023694551</v>
      </c>
      <c r="D355" s="601">
        <f t="shared" si="208"/>
        <v>0.86822612968272272</v>
      </c>
      <c r="E355" s="33">
        <f t="shared" si="209"/>
        <v>0.86822612968272272</v>
      </c>
      <c r="F355" s="24">
        <v>0.95580371301591749</v>
      </c>
      <c r="G355" s="601">
        <f t="shared" si="210"/>
        <v>0.88555858459493364</v>
      </c>
      <c r="H355" s="33">
        <f t="shared" si="211"/>
        <v>0.88555858459493364</v>
      </c>
      <c r="I355" s="24">
        <v>0.9727795683948961</v>
      </c>
      <c r="J355" s="601">
        <f t="shared" si="212"/>
        <v>0.91755700272063401</v>
      </c>
      <c r="K355" s="33">
        <f t="shared" si="213"/>
        <v>0.91755700272063401</v>
      </c>
      <c r="L355" s="24">
        <v>0.98619849497693191</v>
      </c>
      <c r="M355" s="601">
        <f t="shared" si="214"/>
        <v>0.94682951165472973</v>
      </c>
      <c r="N355" s="33">
        <f t="shared" si="215"/>
        <v>0.94682951165472973</v>
      </c>
      <c r="O355" s="568" t="s">
        <v>984</v>
      </c>
      <c r="P355" s="7"/>
      <c r="Q355" s="24">
        <v>0.97232666197979123</v>
      </c>
      <c r="R355" s="601">
        <f t="shared" si="216"/>
        <v>0.94650723258608593</v>
      </c>
      <c r="S355" s="33">
        <f t="shared" si="217"/>
        <v>0.94650723258608593</v>
      </c>
      <c r="T355" s="24">
        <v>0.98466863377515401</v>
      </c>
      <c r="U355" s="601">
        <f t="shared" si="218"/>
        <v>0.96126970321746807</v>
      </c>
      <c r="V355" s="33">
        <f t="shared" si="219"/>
        <v>0.96126970321746807</v>
      </c>
      <c r="W355" s="24">
        <v>0.96271852595501251</v>
      </c>
      <c r="X355" s="601">
        <f t="shared" si="220"/>
        <v>0.94230655604778535</v>
      </c>
      <c r="Y355" s="33">
        <f t="shared" si="221"/>
        <v>0.94230655604778535</v>
      </c>
      <c r="Z355" s="24">
        <v>0.99198072460919162</v>
      </c>
      <c r="AA355" s="601">
        <f t="shared" si="222"/>
        <v>0.97376742283118367</v>
      </c>
      <c r="AB355" s="33">
        <f t="shared" si="223"/>
        <v>0.97376742283118367</v>
      </c>
      <c r="AC355" s="24">
        <v>0.98724110849378499</v>
      </c>
      <c r="AD355" s="601">
        <f t="shared" si="224"/>
        <v>0.95502410300128227</v>
      </c>
      <c r="AE355" s="33">
        <f t="shared" si="225"/>
        <v>0.95502410300128227</v>
      </c>
    </row>
    <row r="356" spans="1:31" x14ac:dyDescent="0.2">
      <c r="A356" s="568" t="s">
        <v>985</v>
      </c>
      <c r="B356" s="7"/>
      <c r="C356" s="24">
        <v>0.9640822719431843</v>
      </c>
      <c r="D356" s="601">
        <f t="shared" si="208"/>
        <v>0.90057265334082337</v>
      </c>
      <c r="E356" s="33">
        <f t="shared" si="209"/>
        <v>0.90057265334082337</v>
      </c>
      <c r="F356" s="24">
        <v>0.96369193788236285</v>
      </c>
      <c r="G356" s="601">
        <f t="shared" si="210"/>
        <v>0.91892289411580941</v>
      </c>
      <c r="H356" s="33">
        <f t="shared" si="211"/>
        <v>0.91892289411580941</v>
      </c>
      <c r="I356" s="24">
        <v>0.97480226002320458</v>
      </c>
      <c r="J356" s="601">
        <f t="shared" si="212"/>
        <v>0.94127500555732413</v>
      </c>
      <c r="K356" s="33">
        <f t="shared" si="213"/>
        <v>0.94127500555732413</v>
      </c>
      <c r="L356" s="24">
        <v>0.98764556498615252</v>
      </c>
      <c r="M356" s="601">
        <f t="shared" si="214"/>
        <v>0.95867337962278498</v>
      </c>
      <c r="N356" s="33">
        <f t="shared" si="215"/>
        <v>0.95867337962278498</v>
      </c>
      <c r="O356" s="568" t="s">
        <v>985</v>
      </c>
      <c r="P356" s="7"/>
      <c r="Q356" s="24">
        <v>0.9773695100299209</v>
      </c>
      <c r="R356" s="601">
        <f t="shared" si="216"/>
        <v>0.96842312234306327</v>
      </c>
      <c r="S356" s="33">
        <f t="shared" si="217"/>
        <v>0.96842312234306327</v>
      </c>
      <c r="T356" s="24">
        <v>0.98597380569413606</v>
      </c>
      <c r="U356" s="601">
        <f t="shared" si="218"/>
        <v>0.97494446370278975</v>
      </c>
      <c r="V356" s="33">
        <f t="shared" si="219"/>
        <v>0.97494446370278975</v>
      </c>
      <c r="W356" s="24">
        <v>0.97299255658462991</v>
      </c>
      <c r="X356" s="601">
        <f t="shared" si="220"/>
        <v>0.9684622453386923</v>
      </c>
      <c r="Y356" s="33">
        <f t="shared" si="221"/>
        <v>0.9684622453386923</v>
      </c>
      <c r="Z356" s="24">
        <v>0.99475408974370094</v>
      </c>
      <c r="AA356" s="601">
        <f t="shared" si="222"/>
        <v>0.97890265832641665</v>
      </c>
      <c r="AB356" s="33">
        <f t="shared" si="223"/>
        <v>0.97890265832641665</v>
      </c>
      <c r="AC356" s="24">
        <v>0.9891168177534958</v>
      </c>
      <c r="AD356" s="601">
        <f t="shared" si="224"/>
        <v>0.96553216552353682</v>
      </c>
      <c r="AE356" s="33">
        <f t="shared" si="225"/>
        <v>0.96553216552353682</v>
      </c>
    </row>
    <row r="357" spans="1:31" x14ac:dyDescent="0.2">
      <c r="A357" s="568" t="s">
        <v>986</v>
      </c>
      <c r="B357" s="7"/>
      <c r="C357" s="24">
        <v>0.9725223717097361</v>
      </c>
      <c r="D357" s="601">
        <f t="shared" si="208"/>
        <v>0.92601741567916629</v>
      </c>
      <c r="E357" s="33">
        <f t="shared" si="209"/>
        <v>0.92601741567916629</v>
      </c>
      <c r="F357" s="24">
        <v>0.97114464382741161</v>
      </c>
      <c r="G357" s="601">
        <f t="shared" si="210"/>
        <v>0.94622659966924261</v>
      </c>
      <c r="H357" s="33">
        <f t="shared" si="211"/>
        <v>0.94622659966924261</v>
      </c>
      <c r="I357" s="24">
        <v>0.97818591298933177</v>
      </c>
      <c r="J357" s="601">
        <f t="shared" si="212"/>
        <v>0.96226595891244426</v>
      </c>
      <c r="K357" s="33">
        <f t="shared" si="213"/>
        <v>0.96226595891244426</v>
      </c>
      <c r="L357" s="24">
        <v>0.98838347404014693</v>
      </c>
      <c r="M357" s="601">
        <f t="shared" si="214"/>
        <v>0.96994072119000729</v>
      </c>
      <c r="N357" s="33">
        <f t="shared" si="215"/>
        <v>0.96994072119000729</v>
      </c>
      <c r="O357" s="568" t="s">
        <v>986</v>
      </c>
      <c r="P357" s="7"/>
      <c r="Q357" s="24">
        <v>0.99199389425670792</v>
      </c>
      <c r="R357" s="601">
        <f t="shared" si="216"/>
        <v>0.97623899496749822</v>
      </c>
      <c r="S357" s="33">
        <f t="shared" si="217"/>
        <v>0.97623899496749822</v>
      </c>
      <c r="T357" s="24">
        <v>0.99296486069281364</v>
      </c>
      <c r="U357" s="601">
        <f t="shared" si="218"/>
        <v>0.98185192880093397</v>
      </c>
      <c r="V357" s="33">
        <f t="shared" si="219"/>
        <v>0.98185192880093397</v>
      </c>
      <c r="W357" s="24">
        <v>0.98725265921067984</v>
      </c>
      <c r="X357" s="601">
        <f t="shared" si="220"/>
        <v>0.98096696555164442</v>
      </c>
      <c r="Y357" s="33">
        <f t="shared" si="221"/>
        <v>0.98096696555164442</v>
      </c>
      <c r="Z357" s="24">
        <v>0.99518472722613416</v>
      </c>
      <c r="AA357" s="601">
        <f t="shared" si="222"/>
        <v>0.98363914914058181</v>
      </c>
      <c r="AB357" s="33">
        <f t="shared" si="223"/>
        <v>0.98363914914058181</v>
      </c>
      <c r="AC357" s="24">
        <v>0.98963002848132542</v>
      </c>
      <c r="AD357" s="601">
        <f t="shared" si="224"/>
        <v>0.97564962434014968</v>
      </c>
      <c r="AE357" s="33">
        <f t="shared" si="225"/>
        <v>0.97564962434014968</v>
      </c>
    </row>
    <row r="358" spans="1:31" x14ac:dyDescent="0.2">
      <c r="A358" s="568" t="s">
        <v>987</v>
      </c>
      <c r="B358" s="7"/>
      <c r="C358" s="24">
        <v>0.97616000730630892</v>
      </c>
      <c r="D358" s="601">
        <f t="shared" si="208"/>
        <v>0.94863281505917252</v>
      </c>
      <c r="E358" s="33">
        <f t="shared" si="209"/>
        <v>0.94863281505917252</v>
      </c>
      <c r="F358" s="24">
        <v>0.98513194883429211</v>
      </c>
      <c r="G358" s="601">
        <f t="shared" si="210"/>
        <v>0.96050747393677949</v>
      </c>
      <c r="H358" s="33">
        <f t="shared" si="211"/>
        <v>0.96050747393677949</v>
      </c>
      <c r="I358" s="24">
        <v>0.99197401848226407</v>
      </c>
      <c r="J358" s="601">
        <f t="shared" si="212"/>
        <v>0.97005157492403515</v>
      </c>
      <c r="K358" s="33">
        <f t="shared" si="213"/>
        <v>0.97005157492403515</v>
      </c>
      <c r="L358" s="24">
        <v>0.99338834395018649</v>
      </c>
      <c r="M358" s="601">
        <f t="shared" si="214"/>
        <v>0.97639631781168257</v>
      </c>
      <c r="N358" s="33">
        <f t="shared" si="215"/>
        <v>0.97639631781168257</v>
      </c>
      <c r="O358" s="568" t="s">
        <v>987</v>
      </c>
      <c r="P358" s="7"/>
      <c r="Q358" s="24">
        <v>0.99207978178339007</v>
      </c>
      <c r="R358" s="601">
        <f t="shared" si="216"/>
        <v>0.98403274907244254</v>
      </c>
      <c r="S358" s="33">
        <f t="shared" si="217"/>
        <v>0.98403274907244254</v>
      </c>
      <c r="T358" s="24">
        <v>0.99502672321216412</v>
      </c>
      <c r="U358" s="601">
        <f t="shared" si="218"/>
        <v>0.98675935620231481</v>
      </c>
      <c r="V358" s="33">
        <f t="shared" si="219"/>
        <v>0.98675935620231481</v>
      </c>
      <c r="W358" s="24">
        <v>0.99670346613923322</v>
      </c>
      <c r="X358" s="601">
        <f t="shared" si="220"/>
        <v>0.9842114519290831</v>
      </c>
      <c r="Y358" s="33">
        <f t="shared" si="221"/>
        <v>0.9842114519290831</v>
      </c>
      <c r="Z358" s="24">
        <v>0.99593195809788659</v>
      </c>
      <c r="AA358" s="601">
        <f t="shared" si="222"/>
        <v>0.98765697911654271</v>
      </c>
      <c r="AB358" s="33">
        <f t="shared" si="223"/>
        <v>0.98765697911654271</v>
      </c>
      <c r="AC358" s="24">
        <v>0.9943927245476708</v>
      </c>
      <c r="AD358" s="601">
        <f t="shared" si="224"/>
        <v>0.98115120943181977</v>
      </c>
      <c r="AE358" s="33">
        <f t="shared" si="225"/>
        <v>0.98115120943181977</v>
      </c>
    </row>
    <row r="359" spans="1:31" x14ac:dyDescent="0.2">
      <c r="A359" s="568" t="s">
        <v>988</v>
      </c>
      <c r="B359" s="7"/>
      <c r="C359" s="24">
        <v>0.9811812515421301</v>
      </c>
      <c r="D359" s="601">
        <f t="shared" si="208"/>
        <v>0.96682729472072471</v>
      </c>
      <c r="E359" s="33">
        <f t="shared" si="209"/>
        <v>0.96682729472072471</v>
      </c>
      <c r="F359" s="24">
        <v>0.98787064934900692</v>
      </c>
      <c r="G359" s="601">
        <f t="shared" si="210"/>
        <v>0.97230085190782889</v>
      </c>
      <c r="H359" s="33">
        <f t="shared" si="211"/>
        <v>0.97230085190782889</v>
      </c>
      <c r="I359" s="24">
        <v>0.99243100009017693</v>
      </c>
      <c r="J359" s="601">
        <f t="shared" si="212"/>
        <v>0.97744989307658847</v>
      </c>
      <c r="K359" s="33">
        <f t="shared" si="213"/>
        <v>0.97744989307658847</v>
      </c>
      <c r="L359" s="24">
        <v>0.99418400935837137</v>
      </c>
      <c r="M359" s="601">
        <f t="shared" si="214"/>
        <v>0.98210825020393488</v>
      </c>
      <c r="N359" s="33">
        <f t="shared" si="215"/>
        <v>0.98210825020393488</v>
      </c>
      <c r="O359" s="568" t="s">
        <v>988</v>
      </c>
      <c r="P359" s="7"/>
      <c r="Q359" s="24">
        <v>0.99438311501956322</v>
      </c>
      <c r="R359" s="601">
        <f t="shared" si="216"/>
        <v>0.98959116884550369</v>
      </c>
      <c r="S359" s="33">
        <f t="shared" si="217"/>
        <v>0.98959116884550369</v>
      </c>
      <c r="T359" s="24">
        <v>0.99671932671098185</v>
      </c>
      <c r="U359" s="601">
        <f t="shared" si="218"/>
        <v>0.99000724653194661</v>
      </c>
      <c r="V359" s="33">
        <f t="shared" si="219"/>
        <v>0.99000724653194661</v>
      </c>
      <c r="W359" s="24">
        <v>0.99680546403303494</v>
      </c>
      <c r="X359" s="601">
        <f t="shared" si="220"/>
        <v>0.98736562693687802</v>
      </c>
      <c r="Y359" s="33">
        <f t="shared" si="221"/>
        <v>0.98736562693687802</v>
      </c>
      <c r="Z359" s="24">
        <v>0.9963426207284124</v>
      </c>
      <c r="AA359" s="601">
        <f t="shared" si="222"/>
        <v>0.99128247509323675</v>
      </c>
      <c r="AB359" s="33">
        <f t="shared" si="223"/>
        <v>0.99128247509323675</v>
      </c>
      <c r="AC359" s="24">
        <v>0.99443444454024255</v>
      </c>
      <c r="AD359" s="601">
        <f t="shared" si="224"/>
        <v>0.98664242255349066</v>
      </c>
      <c r="AE359" s="33">
        <f t="shared" si="225"/>
        <v>0.98664242255349066</v>
      </c>
    </row>
    <row r="360" spans="1:31" x14ac:dyDescent="0.2">
      <c r="A360" s="568" t="s">
        <v>989</v>
      </c>
      <c r="B360" s="7"/>
      <c r="C360" s="24">
        <v>0.98939775715884926</v>
      </c>
      <c r="D360" s="601">
        <f t="shared" si="208"/>
        <v>0.97718767576051735</v>
      </c>
      <c r="E360" s="33">
        <f t="shared" si="209"/>
        <v>0.97718767576051735</v>
      </c>
      <c r="F360" s="24">
        <v>0.98912095601791683</v>
      </c>
      <c r="G360" s="601">
        <f t="shared" si="210"/>
        <v>0.98299489662234674</v>
      </c>
      <c r="H360" s="33">
        <f t="shared" si="211"/>
        <v>0.98299489662234674</v>
      </c>
      <c r="I360" s="24">
        <v>0.99387700426836589</v>
      </c>
      <c r="J360" s="601">
        <f t="shared" si="212"/>
        <v>0.98347168601222434</v>
      </c>
      <c r="K360" s="33">
        <f t="shared" si="213"/>
        <v>0.98347168601222434</v>
      </c>
      <c r="L360" s="24">
        <v>0.99541108781091592</v>
      </c>
      <c r="M360" s="601">
        <f t="shared" si="214"/>
        <v>0.98663583541525912</v>
      </c>
      <c r="N360" s="33">
        <f t="shared" si="215"/>
        <v>0.98663583541525912</v>
      </c>
      <c r="O360" s="568" t="s">
        <v>989</v>
      </c>
      <c r="P360" s="7"/>
      <c r="Q360" s="24">
        <v>0.99480553123695303</v>
      </c>
      <c r="R360" s="601">
        <f t="shared" si="216"/>
        <v>0.99475841033476586</v>
      </c>
      <c r="S360" s="33">
        <f t="shared" si="217"/>
        <v>0.99475841033476586</v>
      </c>
      <c r="T360" s="24">
        <v>0.99684683438598964</v>
      </c>
      <c r="U360" s="601">
        <f t="shared" si="218"/>
        <v>0.99313877757533742</v>
      </c>
      <c r="V360" s="33">
        <f t="shared" si="219"/>
        <v>0.99313877757533742</v>
      </c>
      <c r="W360" s="24">
        <v>0.9976894703725222</v>
      </c>
      <c r="X360" s="601">
        <f t="shared" si="220"/>
        <v>0.98965224777626504</v>
      </c>
      <c r="Y360" s="33">
        <f t="shared" si="221"/>
        <v>0.98965224777626504</v>
      </c>
      <c r="Z360" s="24">
        <v>0.99768490560249656</v>
      </c>
      <c r="AA360" s="601">
        <f t="shared" si="222"/>
        <v>0.99358271286524735</v>
      </c>
      <c r="AB360" s="33">
        <f t="shared" si="223"/>
        <v>0.99358271286524735</v>
      </c>
      <c r="AC360" s="24">
        <v>0.99465411831601114</v>
      </c>
      <c r="AD360" s="601">
        <f t="shared" si="224"/>
        <v>0.99194524446740884</v>
      </c>
      <c r="AE360" s="33">
        <f t="shared" si="225"/>
        <v>0.99194524446740884</v>
      </c>
    </row>
    <row r="361" spans="1:31" x14ac:dyDescent="0.2">
      <c r="A361" s="568" t="s">
        <v>990</v>
      </c>
      <c r="B361" s="7"/>
      <c r="C361" s="602">
        <v>0.99592243124477886</v>
      </c>
      <c r="D361" s="603">
        <f t="shared" si="208"/>
        <v>0.98118853949213147</v>
      </c>
      <c r="E361" s="604">
        <f t="shared" si="209"/>
        <v>0.98118853949213147</v>
      </c>
      <c r="F361" s="602">
        <v>0.99772708160318613</v>
      </c>
      <c r="G361" s="603">
        <f t="shared" si="210"/>
        <v>0.98523425368271333</v>
      </c>
      <c r="H361" s="604">
        <f t="shared" si="211"/>
        <v>0.98523425368271333</v>
      </c>
      <c r="I361" s="602">
        <v>0.99539265941141186</v>
      </c>
      <c r="J361" s="603">
        <f t="shared" si="212"/>
        <v>0.98802384839141111</v>
      </c>
      <c r="K361" s="604">
        <f t="shared" si="213"/>
        <v>0.98802384839141111</v>
      </c>
      <c r="L361" s="602">
        <v>0.99651244531523819</v>
      </c>
      <c r="M361" s="603">
        <f t="shared" si="214"/>
        <v>0.99008882433289158</v>
      </c>
      <c r="N361" s="604">
        <f t="shared" si="215"/>
        <v>0.99008882433289158</v>
      </c>
      <c r="O361" s="568" t="s">
        <v>990</v>
      </c>
      <c r="P361" s="7"/>
      <c r="Q361" s="602">
        <v>0.99850375952225168</v>
      </c>
      <c r="R361" s="603">
        <f t="shared" si="216"/>
        <v>0.9962490384720456</v>
      </c>
      <c r="S361" s="604">
        <f t="shared" si="217"/>
        <v>0.9962490384720456</v>
      </c>
      <c r="T361" s="602">
        <v>0.99824354080594124</v>
      </c>
      <c r="U361" s="603">
        <f t="shared" si="218"/>
        <v>0.9948862546844206</v>
      </c>
      <c r="V361" s="604">
        <f t="shared" si="219"/>
        <v>0.9948862546844206</v>
      </c>
      <c r="W361" s="602">
        <v>0.99774152595884791</v>
      </c>
      <c r="X361" s="603">
        <f t="shared" si="220"/>
        <v>0.99189241103821058</v>
      </c>
      <c r="Y361" s="604">
        <f t="shared" si="221"/>
        <v>0.99189241103821058</v>
      </c>
      <c r="Z361" s="602">
        <v>0.99824829657469027</v>
      </c>
      <c r="AA361" s="603">
        <f t="shared" si="222"/>
        <v>0.99532622923029068</v>
      </c>
      <c r="AB361" s="604">
        <f t="shared" si="223"/>
        <v>0.99532622923029068</v>
      </c>
      <c r="AC361" s="602">
        <v>0.99825776177880188</v>
      </c>
      <c r="AD361" s="603">
        <f t="shared" si="224"/>
        <v>0.99367646558525657</v>
      </c>
      <c r="AE361" s="604">
        <f t="shared" si="225"/>
        <v>0.99367646558525657</v>
      </c>
    </row>
    <row r="362" spans="1:31" x14ac:dyDescent="0.2">
      <c r="A362" s="568" t="s">
        <v>991</v>
      </c>
      <c r="B362" s="7"/>
      <c r="C362" s="602">
        <v>0.99648394792384776</v>
      </c>
      <c r="D362" s="603">
        <f t="shared" si="208"/>
        <v>0.98465062235715495</v>
      </c>
      <c r="E362" s="604">
        <f t="shared" si="209"/>
        <v>0.98465062235715495</v>
      </c>
      <c r="F362" s="602">
        <v>0.99774066457864174</v>
      </c>
      <c r="G362" s="603">
        <f t="shared" si="210"/>
        <v>0.98746526894219544</v>
      </c>
      <c r="H362" s="604">
        <f t="shared" si="211"/>
        <v>0.98746526894219544</v>
      </c>
      <c r="I362" s="602">
        <v>0.99777743063473867</v>
      </c>
      <c r="J362" s="603">
        <f t="shared" si="212"/>
        <v>0.99022469145536518</v>
      </c>
      <c r="K362" s="604">
        <f t="shared" si="213"/>
        <v>0.99022469145536518</v>
      </c>
      <c r="L362" s="602">
        <v>0.99771734604182238</v>
      </c>
      <c r="M362" s="603">
        <f t="shared" si="214"/>
        <v>0.99235402517637394</v>
      </c>
      <c r="N362" s="604">
        <f t="shared" si="215"/>
        <v>0.99235402517637394</v>
      </c>
      <c r="O362" s="568" t="s">
        <v>991</v>
      </c>
      <c r="P362" s="7"/>
      <c r="Q362" s="602">
        <v>0.99905012597288212</v>
      </c>
      <c r="R362" s="603">
        <f t="shared" si="216"/>
        <v>0.99719624928918471</v>
      </c>
      <c r="S362" s="604">
        <f t="shared" si="217"/>
        <v>0.99719624928918471</v>
      </c>
      <c r="T362" s="602">
        <v>0.99872259153902654</v>
      </c>
      <c r="U362" s="603">
        <f t="shared" si="218"/>
        <v>0.9961587563082015</v>
      </c>
      <c r="V362" s="604">
        <f t="shared" si="219"/>
        <v>0.9961587563082015</v>
      </c>
      <c r="W362" s="602">
        <v>0.99799348729862947</v>
      </c>
      <c r="X362" s="603">
        <f t="shared" si="220"/>
        <v>0.99388665723968472</v>
      </c>
      <c r="Y362" s="604">
        <f t="shared" si="221"/>
        <v>0.99388665723968472</v>
      </c>
      <c r="Z362" s="602">
        <v>0.99848479630748699</v>
      </c>
      <c r="AA362" s="603">
        <f t="shared" si="222"/>
        <v>0.9968366397877293</v>
      </c>
      <c r="AB362" s="604">
        <f t="shared" si="223"/>
        <v>0.9968366397877293</v>
      </c>
      <c r="AC362" s="624">
        <v>0.99872989248448685</v>
      </c>
      <c r="AD362" s="603">
        <f t="shared" si="224"/>
        <v>0.99494014654286644</v>
      </c>
      <c r="AE362" s="604">
        <f t="shared" si="225"/>
        <v>0.99494014654286644</v>
      </c>
    </row>
    <row r="363" spans="1:31" x14ac:dyDescent="0.2">
      <c r="A363" s="568" t="s">
        <v>992</v>
      </c>
      <c r="B363" s="7"/>
      <c r="C363" s="602">
        <v>0.99687168276849147</v>
      </c>
      <c r="D363" s="603">
        <f t="shared" si="208"/>
        <v>0.98774058825966804</v>
      </c>
      <c r="E363" s="604">
        <f t="shared" si="209"/>
        <v>0.98774058825966804</v>
      </c>
      <c r="F363" s="602">
        <v>0.99809983092538446</v>
      </c>
      <c r="G363" s="603">
        <f t="shared" si="210"/>
        <v>0.98934519208030602</v>
      </c>
      <c r="H363" s="604">
        <f t="shared" si="211"/>
        <v>0.98934519208030602</v>
      </c>
      <c r="I363" s="602">
        <v>0.99805870094937277</v>
      </c>
      <c r="J363" s="603">
        <f t="shared" si="212"/>
        <v>0.99215075276979625</v>
      </c>
      <c r="K363" s="604">
        <f t="shared" si="213"/>
        <v>0.99215075276979625</v>
      </c>
      <c r="L363" s="602">
        <v>0.99869287414264141</v>
      </c>
      <c r="M363" s="603">
        <f t="shared" si="214"/>
        <v>0.99365285451574969</v>
      </c>
      <c r="N363" s="604">
        <f t="shared" si="215"/>
        <v>0.99365285451574969</v>
      </c>
      <c r="O363" s="568" t="s">
        <v>992</v>
      </c>
      <c r="P363" s="7"/>
      <c r="Q363" s="602">
        <v>0.99920846106363537</v>
      </c>
      <c r="R363" s="603">
        <f t="shared" si="216"/>
        <v>0.99798619421986412</v>
      </c>
      <c r="S363" s="604">
        <f t="shared" si="217"/>
        <v>0.99798619421986412</v>
      </c>
      <c r="T363" s="602">
        <v>0.9989175488502765</v>
      </c>
      <c r="U363" s="603">
        <f t="shared" si="218"/>
        <v>0.99723821796378465</v>
      </c>
      <c r="V363" s="604">
        <f t="shared" si="219"/>
        <v>0.99723821796378465</v>
      </c>
      <c r="W363" s="624">
        <v>0.99877253210416539</v>
      </c>
      <c r="X363" s="603">
        <f t="shared" si="220"/>
        <v>0.99510812051049569</v>
      </c>
      <c r="Y363" s="604">
        <f t="shared" si="221"/>
        <v>0.99510812051049569</v>
      </c>
      <c r="Z363" s="602">
        <v>0.99873328857415666</v>
      </c>
      <c r="AA363" s="603">
        <f t="shared" si="222"/>
        <v>0.9981009456597415</v>
      </c>
      <c r="AB363" s="604">
        <f t="shared" si="223"/>
        <v>0.9981009456597415</v>
      </c>
      <c r="AC363" s="602">
        <v>0.99891381249751066</v>
      </c>
      <c r="AD363" s="603">
        <f t="shared" si="224"/>
        <v>0.99602201320581485</v>
      </c>
      <c r="AE363" s="604">
        <f t="shared" si="225"/>
        <v>0.99602201320581485</v>
      </c>
    </row>
    <row r="364" spans="1:31" x14ac:dyDescent="0.2">
      <c r="A364" s="568" t="s">
        <v>993</v>
      </c>
      <c r="B364" s="7"/>
      <c r="C364" s="602">
        <v>0.99726458973685239</v>
      </c>
      <c r="D364" s="603">
        <f t="shared" si="208"/>
        <v>0.9904498750129116</v>
      </c>
      <c r="E364" s="604">
        <f t="shared" si="209"/>
        <v>0.9904498750129116</v>
      </c>
      <c r="F364" s="602">
        <v>0.9982114858348492</v>
      </c>
      <c r="G364" s="603">
        <f t="shared" si="210"/>
        <v>0.9911178203413199</v>
      </c>
      <c r="H364" s="604">
        <f t="shared" si="211"/>
        <v>0.9911178203413199</v>
      </c>
      <c r="I364" s="602">
        <v>0.99839723714364892</v>
      </c>
      <c r="J364" s="603">
        <f t="shared" si="212"/>
        <v>0.99374348792097678</v>
      </c>
      <c r="K364" s="604">
        <f t="shared" si="213"/>
        <v>0.99374348792097678</v>
      </c>
      <c r="L364" s="602">
        <v>0.99891236977121955</v>
      </c>
      <c r="M364" s="603">
        <f t="shared" si="214"/>
        <v>0.99473475810828682</v>
      </c>
      <c r="N364" s="604">
        <f t="shared" si="215"/>
        <v>0.99473475810828682</v>
      </c>
      <c r="O364" s="568" t="s">
        <v>993</v>
      </c>
      <c r="P364" s="7"/>
      <c r="Q364" s="602">
        <v>0.99944920145457805</v>
      </c>
      <c r="R364" s="603">
        <f t="shared" si="216"/>
        <v>0.99853618649893894</v>
      </c>
      <c r="S364" s="604">
        <f t="shared" si="217"/>
        <v>0.99853618649893894</v>
      </c>
      <c r="T364" s="602">
        <v>0.99907030972654354</v>
      </c>
      <c r="U364" s="603">
        <f t="shared" si="218"/>
        <v>0.9981662033743548</v>
      </c>
      <c r="V364" s="604">
        <f t="shared" si="219"/>
        <v>0.9981662033743548</v>
      </c>
      <c r="W364" s="602">
        <v>0.99891726709868933</v>
      </c>
      <c r="X364" s="603">
        <f t="shared" si="220"/>
        <v>0.99618672465312652</v>
      </c>
      <c r="Y364" s="604">
        <f t="shared" si="221"/>
        <v>0.99618672465312652</v>
      </c>
      <c r="Z364" s="602">
        <v>0.9988481999945783</v>
      </c>
      <c r="AA364" s="603">
        <f t="shared" si="222"/>
        <v>0.9992518839851332</v>
      </c>
      <c r="AB364" s="604">
        <f t="shared" si="223"/>
        <v>0.9992518839851332</v>
      </c>
      <c r="AC364" s="602">
        <v>0.99903833687059418</v>
      </c>
      <c r="AD364" s="603">
        <f t="shared" si="224"/>
        <v>0.99698077285579678</v>
      </c>
      <c r="AE364" s="604">
        <f t="shared" si="225"/>
        <v>0.99698077285579678</v>
      </c>
    </row>
    <row r="365" spans="1:31" x14ac:dyDescent="0.2">
      <c r="A365" s="568" t="s">
        <v>994</v>
      </c>
      <c r="B365" s="7"/>
      <c r="C365" s="602">
        <v>0.99762324131824232</v>
      </c>
      <c r="D365" s="603">
        <f t="shared" si="208"/>
        <v>0.99280954371526875</v>
      </c>
      <c r="E365" s="604">
        <f t="shared" si="209"/>
        <v>0.99280954371526875</v>
      </c>
      <c r="F365" s="602">
        <v>0.99832438043071492</v>
      </c>
      <c r="G365" s="603">
        <f t="shared" si="210"/>
        <v>0.99278134418966524</v>
      </c>
      <c r="H365" s="604">
        <f t="shared" si="211"/>
        <v>0.99278134418966524</v>
      </c>
      <c r="I365" s="602">
        <v>0.99871314172310888</v>
      </c>
      <c r="J365" s="603">
        <f t="shared" si="212"/>
        <v>0.99502394271736749</v>
      </c>
      <c r="K365" s="604">
        <f t="shared" si="213"/>
        <v>0.99502394271736749</v>
      </c>
      <c r="L365" s="602">
        <v>0.9990356405724109</v>
      </c>
      <c r="M365" s="603">
        <f t="shared" si="214"/>
        <v>0.99569496593568996</v>
      </c>
      <c r="N365" s="604">
        <f t="shared" si="215"/>
        <v>0.99569496593568996</v>
      </c>
      <c r="O365" s="568" t="s">
        <v>994</v>
      </c>
      <c r="P365" s="7"/>
      <c r="Q365" s="602">
        <v>0.99948248554658037</v>
      </c>
      <c r="R365" s="603">
        <f t="shared" si="216"/>
        <v>0.99905321097535393</v>
      </c>
      <c r="S365" s="604">
        <f t="shared" si="217"/>
        <v>0.99905321097535393</v>
      </c>
      <c r="T365" s="602">
        <v>0.99933155145033115</v>
      </c>
      <c r="U365" s="603">
        <f t="shared" si="218"/>
        <v>0.99883387242773924</v>
      </c>
      <c r="V365" s="604">
        <f t="shared" si="219"/>
        <v>0.99883387242773924</v>
      </c>
      <c r="W365" s="602">
        <v>0.99899738123343595</v>
      </c>
      <c r="X365" s="603">
        <f t="shared" si="220"/>
        <v>0.99718652257442442</v>
      </c>
      <c r="Y365" s="604">
        <f t="shared" si="221"/>
        <v>0.99718652257442442</v>
      </c>
      <c r="Z365" s="602">
        <v>0.99961955030492133</v>
      </c>
      <c r="AA365" s="603">
        <f t="shared" si="222"/>
        <v>0.99963219374843559</v>
      </c>
      <c r="AB365" s="604">
        <f t="shared" si="223"/>
        <v>0.99963219374843559</v>
      </c>
      <c r="AC365" s="602">
        <v>0.99907049232782918</v>
      </c>
      <c r="AD365" s="603">
        <f t="shared" si="224"/>
        <v>0.99790833631052067</v>
      </c>
      <c r="AE365" s="604">
        <f t="shared" si="225"/>
        <v>0.99790833631052067</v>
      </c>
    </row>
    <row r="366" spans="1:31" x14ac:dyDescent="0.2">
      <c r="A366" s="568" t="s">
        <v>995</v>
      </c>
      <c r="B366" s="7"/>
      <c r="C366" s="602">
        <v>0.99790840963000549</v>
      </c>
      <c r="D366" s="603">
        <f t="shared" si="208"/>
        <v>0.99489044699339968</v>
      </c>
      <c r="E366" s="604">
        <f t="shared" si="209"/>
        <v>0.99489044699339968</v>
      </c>
      <c r="F366" s="602">
        <v>0.99835849899564211</v>
      </c>
      <c r="G366" s="603">
        <f t="shared" si="210"/>
        <v>0.99441367523631286</v>
      </c>
      <c r="H366" s="604">
        <f t="shared" si="211"/>
        <v>0.99441367523631286</v>
      </c>
      <c r="I366" s="602">
        <v>0.99886532713507314</v>
      </c>
      <c r="J366" s="603">
        <f t="shared" si="212"/>
        <v>0.99615425191629847</v>
      </c>
      <c r="K366" s="604">
        <f t="shared" si="213"/>
        <v>0.99615425191629847</v>
      </c>
      <c r="L366" s="602">
        <v>0.99908037250708548</v>
      </c>
      <c r="M366" s="603">
        <f t="shared" si="214"/>
        <v>0.99661147724992316</v>
      </c>
      <c r="N366" s="604">
        <f t="shared" si="215"/>
        <v>0.99661147724992316</v>
      </c>
      <c r="O366" s="568" t="s">
        <v>995</v>
      </c>
      <c r="P366" s="7"/>
      <c r="Q366" s="602">
        <v>0.99954564836330051</v>
      </c>
      <c r="R366" s="603">
        <f t="shared" si="216"/>
        <v>0.99950733877061748</v>
      </c>
      <c r="S366" s="604">
        <f t="shared" si="217"/>
        <v>0.99950733877061748</v>
      </c>
      <c r="T366" s="602">
        <v>0.99956319752287803</v>
      </c>
      <c r="U366" s="603">
        <f t="shared" si="218"/>
        <v>0.99927035619463966</v>
      </c>
      <c r="V366" s="604">
        <f t="shared" si="219"/>
        <v>0.99927035619463966</v>
      </c>
      <c r="W366" s="602">
        <v>0.99922765776688727</v>
      </c>
      <c r="X366" s="603">
        <f t="shared" si="220"/>
        <v>0.99795728713412069</v>
      </c>
      <c r="Y366" s="604">
        <f t="shared" si="221"/>
        <v>0.99795728713412069</v>
      </c>
      <c r="Z366" s="602">
        <v>0.99981924142825018</v>
      </c>
      <c r="AA366" s="603">
        <f t="shared" si="222"/>
        <v>0.99981291850360132</v>
      </c>
      <c r="AB366" s="604">
        <f t="shared" si="223"/>
        <v>0.99981291850360132</v>
      </c>
      <c r="AC366" s="602">
        <v>0.99927836699733785</v>
      </c>
      <c r="AD366" s="603">
        <f t="shared" si="224"/>
        <v>0.99862897993986011</v>
      </c>
      <c r="AE366" s="604">
        <f t="shared" si="225"/>
        <v>0.99862897993986011</v>
      </c>
    </row>
    <row r="367" spans="1:31" x14ac:dyDescent="0.2">
      <c r="A367" s="568" t="s">
        <v>996</v>
      </c>
      <c r="B367" s="7"/>
      <c r="C367" s="602">
        <v>0.9987335012971762</v>
      </c>
      <c r="D367" s="603">
        <f t="shared" si="208"/>
        <v>0.99615207230078384</v>
      </c>
      <c r="E367" s="604">
        <f t="shared" si="209"/>
        <v>0.99615207230078384</v>
      </c>
      <c r="F367" s="624">
        <v>0.99874261237474338</v>
      </c>
      <c r="G367" s="603">
        <f t="shared" si="210"/>
        <v>0.99566561285681254</v>
      </c>
      <c r="H367" s="604">
        <f t="shared" si="211"/>
        <v>0.99566561285681254</v>
      </c>
      <c r="I367" s="602">
        <v>0.99895614517354059</v>
      </c>
      <c r="J367" s="603">
        <f t="shared" si="212"/>
        <v>0.99719517891673271</v>
      </c>
      <c r="K367" s="604">
        <f t="shared" si="213"/>
        <v>0.99719517891673271</v>
      </c>
      <c r="L367" s="602">
        <v>0.99919388187394631</v>
      </c>
      <c r="M367" s="603">
        <f t="shared" si="214"/>
        <v>0.997415511973332</v>
      </c>
      <c r="N367" s="604">
        <f t="shared" si="215"/>
        <v>0.997415511973332</v>
      </c>
      <c r="O367" s="568" t="s">
        <v>996</v>
      </c>
      <c r="P367" s="7"/>
      <c r="Q367" s="602">
        <v>0.99965876057051639</v>
      </c>
      <c r="R367" s="603">
        <f t="shared" si="216"/>
        <v>0.99984852651137424</v>
      </c>
      <c r="S367" s="604">
        <f t="shared" si="217"/>
        <v>0.99984852651137424</v>
      </c>
      <c r="T367" s="602">
        <v>0.99970573499833826</v>
      </c>
      <c r="U367" s="603">
        <f t="shared" si="218"/>
        <v>0.99956449304184569</v>
      </c>
      <c r="V367" s="604">
        <f t="shared" si="219"/>
        <v>0.99956449304184569</v>
      </c>
      <c r="W367" s="602">
        <v>0.99930998072877364</v>
      </c>
      <c r="X367" s="603">
        <f t="shared" si="220"/>
        <v>0.99864637237620058</v>
      </c>
      <c r="Y367" s="604">
        <f t="shared" si="221"/>
        <v>0.99864637237620058</v>
      </c>
      <c r="Z367" s="602">
        <v>0.99987316734913256</v>
      </c>
      <c r="AA367" s="603">
        <f t="shared" si="222"/>
        <v>0.99993974351197867</v>
      </c>
      <c r="AB367" s="604">
        <f t="shared" si="223"/>
        <v>0.99993974351197867</v>
      </c>
      <c r="AC367" s="602">
        <v>0.99944007582721806</v>
      </c>
      <c r="AD367" s="603">
        <f t="shared" si="224"/>
        <v>0.99918844970601506</v>
      </c>
      <c r="AE367" s="604">
        <f t="shared" si="225"/>
        <v>0.99918844970601506</v>
      </c>
    </row>
    <row r="368" spans="1:31" x14ac:dyDescent="0.2">
      <c r="A368" s="568" t="s">
        <v>997</v>
      </c>
      <c r="B368" s="7"/>
      <c r="C368" s="602">
        <v>0.99888980860693777</v>
      </c>
      <c r="D368" s="603">
        <f t="shared" si="208"/>
        <v>0.99725922090448393</v>
      </c>
      <c r="E368" s="604">
        <f t="shared" si="209"/>
        <v>0.99725922090448393</v>
      </c>
      <c r="F368" s="602">
        <v>0.99881162065912121</v>
      </c>
      <c r="G368" s="603">
        <f t="shared" si="210"/>
        <v>0.99685024909879139</v>
      </c>
      <c r="H368" s="604">
        <f t="shared" si="211"/>
        <v>0.99685024909879139</v>
      </c>
      <c r="I368" s="602">
        <v>0.99940581032956055</v>
      </c>
      <c r="J368" s="603">
        <f t="shared" si="212"/>
        <v>0.9977880542718689</v>
      </c>
      <c r="K368" s="604">
        <f t="shared" si="213"/>
        <v>0.9977880542718689</v>
      </c>
      <c r="L368" s="602">
        <v>0.99945151722728665</v>
      </c>
      <c r="M368" s="603">
        <f t="shared" si="214"/>
        <v>0.99796287741940404</v>
      </c>
      <c r="N368" s="604">
        <f t="shared" si="215"/>
        <v>0.99796287741940404</v>
      </c>
      <c r="O368" s="568" t="s">
        <v>997</v>
      </c>
      <c r="P368" s="7"/>
      <c r="Q368" s="602">
        <v>0.99984852651137424</v>
      </c>
      <c r="R368" s="603">
        <f t="shared" si="216"/>
        <v>1</v>
      </c>
      <c r="S368" s="604">
        <f t="shared" si="217"/>
        <v>1</v>
      </c>
      <c r="T368" s="602">
        <v>0.99976866403134212</v>
      </c>
      <c r="U368" s="603">
        <f t="shared" si="218"/>
        <v>0.99979578176748096</v>
      </c>
      <c r="V368" s="604">
        <f t="shared" si="219"/>
        <v>0.99979578176748096</v>
      </c>
      <c r="W368" s="602">
        <v>0.99938661676065632</v>
      </c>
      <c r="X368" s="603">
        <f t="shared" si="220"/>
        <v>0.99925930128336604</v>
      </c>
      <c r="Y368" s="604">
        <f t="shared" si="221"/>
        <v>0.99925930128336604</v>
      </c>
      <c r="Z368" s="602">
        <v>0.99993974351197867</v>
      </c>
      <c r="AA368" s="603">
        <f t="shared" si="222"/>
        <v>1</v>
      </c>
      <c r="AB368" s="604">
        <f t="shared" si="223"/>
        <v>1</v>
      </c>
      <c r="AC368" s="602">
        <v>0.99963780633075416</v>
      </c>
      <c r="AD368" s="603">
        <f t="shared" si="224"/>
        <v>0.99955048056216633</v>
      </c>
      <c r="AE368" s="604">
        <f t="shared" si="225"/>
        <v>0.99955048056216633</v>
      </c>
    </row>
    <row r="369" spans="1:31" x14ac:dyDescent="0.2">
      <c r="A369" s="568" t="s">
        <v>998</v>
      </c>
      <c r="B369" s="7"/>
      <c r="C369" s="602">
        <v>0.99905260135925167</v>
      </c>
      <c r="D369" s="603">
        <f t="shared" si="208"/>
        <v>0.99820491888782659</v>
      </c>
      <c r="E369" s="604">
        <f t="shared" si="209"/>
        <v>0.99820491888782659</v>
      </c>
      <c r="F369" s="602">
        <v>0.99895420991500516</v>
      </c>
      <c r="G369" s="603">
        <f t="shared" si="210"/>
        <v>0.99789383657896313</v>
      </c>
      <c r="H369" s="604">
        <f t="shared" si="211"/>
        <v>0.99789383657896313</v>
      </c>
      <c r="I369" s="602">
        <v>0.99947710623041108</v>
      </c>
      <c r="J369" s="603">
        <f t="shared" si="212"/>
        <v>0.99831006438465353</v>
      </c>
      <c r="K369" s="604">
        <f t="shared" si="213"/>
        <v>0.99831006438465353</v>
      </c>
      <c r="L369" s="602">
        <v>0.9995308224481404</v>
      </c>
      <c r="M369" s="603">
        <f t="shared" si="214"/>
        <v>0.99843131898134363</v>
      </c>
      <c r="N369" s="604">
        <f t="shared" si="215"/>
        <v>0.99843131898134363</v>
      </c>
      <c r="O369" s="568" t="s">
        <v>998</v>
      </c>
      <c r="P369" s="7"/>
      <c r="Q369" s="602">
        <v>1</v>
      </c>
      <c r="R369" s="603">
        <f t="shared" si="216"/>
        <v>1</v>
      </c>
      <c r="S369" s="604">
        <f t="shared" si="217"/>
        <v>1</v>
      </c>
      <c r="T369" s="602">
        <v>0.99985341047668619</v>
      </c>
      <c r="U369" s="603">
        <f t="shared" si="218"/>
        <v>0.99994236284179128</v>
      </c>
      <c r="V369" s="604">
        <f t="shared" si="219"/>
        <v>0.99994236284179128</v>
      </c>
      <c r="W369" s="602">
        <v>0.99944442451215121</v>
      </c>
      <c r="X369" s="603">
        <f t="shared" si="220"/>
        <v>0.99981477386411399</v>
      </c>
      <c r="Y369" s="604">
        <f t="shared" si="221"/>
        <v>0.99981477386411399</v>
      </c>
      <c r="Z369" s="624">
        <v>1</v>
      </c>
      <c r="AA369" s="603">
        <f t="shared" si="222"/>
        <v>1</v>
      </c>
      <c r="AB369" s="604">
        <f t="shared" si="223"/>
        <v>1</v>
      </c>
      <c r="AC369" s="602">
        <v>0.99979942766878427</v>
      </c>
      <c r="AD369" s="603">
        <f t="shared" si="224"/>
        <v>0.99975100295146357</v>
      </c>
      <c r="AE369" s="604">
        <f t="shared" si="225"/>
        <v>0.99975100295146357</v>
      </c>
    </row>
    <row r="370" spans="1:31" x14ac:dyDescent="0.2">
      <c r="A370" s="568" t="s">
        <v>999</v>
      </c>
      <c r="B370" s="7"/>
      <c r="C370" s="602">
        <v>0.9993762463507937</v>
      </c>
      <c r="D370" s="603">
        <f t="shared" si="208"/>
        <v>0.99882794146124221</v>
      </c>
      <c r="E370" s="604">
        <f t="shared" si="209"/>
        <v>0.99882794146124221</v>
      </c>
      <c r="F370" s="602">
        <v>0.9992854320700274</v>
      </c>
      <c r="G370" s="603">
        <f t="shared" si="210"/>
        <v>0.99860740940835935</v>
      </c>
      <c r="H370" s="604">
        <f t="shared" si="211"/>
        <v>0.99860740940835935</v>
      </c>
      <c r="I370" s="602">
        <v>0.99954813929822772</v>
      </c>
      <c r="J370" s="603">
        <f t="shared" si="212"/>
        <v>0.99876136539612448</v>
      </c>
      <c r="K370" s="604">
        <f t="shared" si="213"/>
        <v>0.99876136539612448</v>
      </c>
      <c r="L370" s="602">
        <v>0.99957141167750219</v>
      </c>
      <c r="M370" s="603">
        <f t="shared" si="214"/>
        <v>0.99885941846391424</v>
      </c>
      <c r="N370" s="604">
        <f t="shared" si="215"/>
        <v>0.99885941846391424</v>
      </c>
      <c r="O370" s="568" t="s">
        <v>999</v>
      </c>
      <c r="P370" s="7"/>
      <c r="Q370" s="602">
        <v>1</v>
      </c>
      <c r="R370" s="603">
        <f t="shared" si="216"/>
        <v>1</v>
      </c>
      <c r="S370" s="604">
        <f t="shared" si="217"/>
        <v>1</v>
      </c>
      <c r="T370" s="602">
        <v>0.99995677181989451</v>
      </c>
      <c r="U370" s="603">
        <f t="shared" si="218"/>
        <v>0.99998559039899593</v>
      </c>
      <c r="V370" s="604">
        <f t="shared" si="219"/>
        <v>0.99998559039899593</v>
      </c>
      <c r="W370" s="602">
        <v>0.99981477386411399</v>
      </c>
      <c r="X370" s="603">
        <f t="shared" si="220"/>
        <v>1</v>
      </c>
      <c r="Y370" s="604">
        <f t="shared" si="221"/>
        <v>1</v>
      </c>
      <c r="Z370" s="602">
        <v>1</v>
      </c>
      <c r="AA370" s="603">
        <f t="shared" si="222"/>
        <v>1</v>
      </c>
      <c r="AB370" s="604">
        <f t="shared" si="223"/>
        <v>1</v>
      </c>
      <c r="AC370" s="602">
        <v>0.99987495731277598</v>
      </c>
      <c r="AD370" s="603">
        <f t="shared" si="224"/>
        <v>0.99987603013716286</v>
      </c>
      <c r="AE370" s="604">
        <f t="shared" si="225"/>
        <v>0.99987603013716286</v>
      </c>
    </row>
    <row r="371" spans="1:31" x14ac:dyDescent="0.2">
      <c r="A371" s="568" t="s">
        <v>1000</v>
      </c>
      <c r="B371" s="7"/>
      <c r="C371" s="602">
        <v>0.99939419781773398</v>
      </c>
      <c r="D371" s="603">
        <f t="shared" si="208"/>
        <v>0.99943340039623185</v>
      </c>
      <c r="E371" s="604">
        <f t="shared" si="209"/>
        <v>0.99943340039623185</v>
      </c>
      <c r="F371" s="602">
        <v>0.99944494838624065</v>
      </c>
      <c r="G371" s="603">
        <f t="shared" si="210"/>
        <v>0.99916199588658317</v>
      </c>
      <c r="H371" s="604">
        <f t="shared" si="211"/>
        <v>0.99916199588658317</v>
      </c>
      <c r="I371" s="602">
        <v>0.99957484310807576</v>
      </c>
      <c r="J371" s="603">
        <f t="shared" si="212"/>
        <v>0.99918617628528761</v>
      </c>
      <c r="K371" s="604">
        <f t="shared" si="213"/>
        <v>0.99918617628528761</v>
      </c>
      <c r="L371" s="602">
        <v>0.99963072007983134</v>
      </c>
      <c r="M371" s="603">
        <f t="shared" si="214"/>
        <v>0.99922841345266433</v>
      </c>
      <c r="N371" s="604">
        <f t="shared" si="215"/>
        <v>0.99922841345266433</v>
      </c>
      <c r="O371" s="568" t="s">
        <v>1000</v>
      </c>
      <c r="P371" s="7"/>
      <c r="Q371" s="602">
        <v>1</v>
      </c>
      <c r="R371" s="603">
        <f t="shared" si="216"/>
        <v>1</v>
      </c>
      <c r="S371" s="604">
        <f t="shared" si="217"/>
        <v>1</v>
      </c>
      <c r="T371" s="602">
        <v>0.99998559039899593</v>
      </c>
      <c r="U371" s="603">
        <f t="shared" si="218"/>
        <v>1</v>
      </c>
      <c r="V371" s="604">
        <f t="shared" si="219"/>
        <v>1</v>
      </c>
      <c r="W371" s="602">
        <v>1</v>
      </c>
      <c r="X371" s="603">
        <f t="shared" si="220"/>
        <v>1</v>
      </c>
      <c r="Y371" s="604">
        <f t="shared" si="221"/>
        <v>1</v>
      </c>
      <c r="Z371" s="602">
        <v>1</v>
      </c>
      <c r="AA371" s="603">
        <f t="shared" si="222"/>
        <v>1</v>
      </c>
      <c r="AB371" s="604">
        <f t="shared" si="223"/>
        <v>1</v>
      </c>
      <c r="AC371" s="602">
        <v>0.99987603013716286</v>
      </c>
      <c r="AD371" s="603">
        <f t="shared" si="224"/>
        <v>1</v>
      </c>
      <c r="AE371" s="604">
        <f t="shared" si="225"/>
        <v>1</v>
      </c>
    </row>
    <row r="372" spans="1:31" x14ac:dyDescent="0.2">
      <c r="A372" s="568" t="s">
        <v>1001</v>
      </c>
      <c r="B372" s="7"/>
      <c r="C372" s="602">
        <v>0.9997980251481503</v>
      </c>
      <c r="D372" s="603">
        <f t="shared" si="208"/>
        <v>0.99963530158817382</v>
      </c>
      <c r="E372" s="604">
        <f t="shared" si="209"/>
        <v>0.99963530158817382</v>
      </c>
      <c r="F372" s="602">
        <v>0.99968812345441038</v>
      </c>
      <c r="G372" s="603">
        <f t="shared" si="210"/>
        <v>0.99947370829413362</v>
      </c>
      <c r="H372" s="604">
        <f t="shared" si="211"/>
        <v>0.99947370829413362</v>
      </c>
      <c r="I372" s="602">
        <v>0.99972248520232154</v>
      </c>
      <c r="J372" s="603">
        <f t="shared" si="212"/>
        <v>0.9994635422079905</v>
      </c>
      <c r="K372" s="604">
        <f t="shared" si="213"/>
        <v>0.9994635422079905</v>
      </c>
      <c r="L372" s="602">
        <v>0.99976474504031765</v>
      </c>
      <c r="M372" s="603">
        <f t="shared" si="214"/>
        <v>0.9994635422079905</v>
      </c>
      <c r="N372" s="604">
        <f t="shared" si="215"/>
        <v>0.9994635422079905</v>
      </c>
      <c r="O372" s="568" t="s">
        <v>1001</v>
      </c>
      <c r="P372" s="7"/>
      <c r="Q372" s="602">
        <v>1</v>
      </c>
      <c r="R372" s="603">
        <f t="shared" si="216"/>
        <v>1</v>
      </c>
      <c r="S372" s="604">
        <f t="shared" si="217"/>
        <v>1</v>
      </c>
      <c r="T372" s="602">
        <v>1</v>
      </c>
      <c r="U372" s="603">
        <f t="shared" si="218"/>
        <v>1</v>
      </c>
      <c r="V372" s="604">
        <f t="shared" si="219"/>
        <v>1</v>
      </c>
      <c r="W372" s="602">
        <v>1</v>
      </c>
      <c r="X372" s="603">
        <f t="shared" si="220"/>
        <v>1</v>
      </c>
      <c r="Y372" s="604">
        <f t="shared" si="221"/>
        <v>1</v>
      </c>
      <c r="Z372" s="602">
        <v>1</v>
      </c>
      <c r="AA372" s="603">
        <f t="shared" si="222"/>
        <v>1</v>
      </c>
      <c r="AB372" s="604">
        <f t="shared" si="223"/>
        <v>1</v>
      </c>
      <c r="AC372" s="602">
        <v>1</v>
      </c>
      <c r="AD372" s="603">
        <f t="shared" si="224"/>
        <v>1</v>
      </c>
      <c r="AE372" s="604">
        <f t="shared" si="225"/>
        <v>1</v>
      </c>
    </row>
    <row r="373" spans="1:31" x14ac:dyDescent="0.2">
      <c r="A373" s="568" t="s">
        <v>1043</v>
      </c>
      <c r="B373" s="595"/>
      <c r="C373" s="602">
        <v>0.99984172062129228</v>
      </c>
      <c r="D373" s="603">
        <f t="shared" si="208"/>
        <v>0.99979354828983313</v>
      </c>
      <c r="E373" s="604">
        <f t="shared" si="209"/>
        <v>0.99979354828983313</v>
      </c>
      <c r="F373" s="602">
        <v>0.9997222122560756</v>
      </c>
      <c r="G373" s="603">
        <f t="shared" si="210"/>
        <v>0.99975142698752173</v>
      </c>
      <c r="H373" s="604">
        <f t="shared" si="211"/>
        <v>0.99975142698752173</v>
      </c>
      <c r="I373" s="602">
        <v>0.9997916591920567</v>
      </c>
      <c r="J373" s="603">
        <f t="shared" si="212"/>
        <v>0.9996718146415311</v>
      </c>
      <c r="K373" s="604">
        <f t="shared" si="213"/>
        <v>0.9996718146415311</v>
      </c>
      <c r="L373" s="602">
        <v>0.9997916591920567</v>
      </c>
      <c r="M373" s="603">
        <f t="shared" si="214"/>
        <v>0.9996718146415311</v>
      </c>
      <c r="N373" s="604">
        <f t="shared" si="215"/>
        <v>0.9996718146415311</v>
      </c>
      <c r="O373" s="568" t="s">
        <v>1043</v>
      </c>
      <c r="P373" s="595"/>
      <c r="Q373" s="602">
        <v>1</v>
      </c>
      <c r="R373" s="603">
        <f t="shared" si="216"/>
        <v>1</v>
      </c>
      <c r="S373" s="604">
        <f t="shared" si="217"/>
        <v>1</v>
      </c>
      <c r="T373" s="602">
        <v>1</v>
      </c>
      <c r="U373" s="603">
        <f t="shared" si="218"/>
        <v>1</v>
      </c>
      <c r="V373" s="604">
        <f t="shared" si="219"/>
        <v>1</v>
      </c>
      <c r="W373" s="602">
        <v>1</v>
      </c>
      <c r="X373" s="603">
        <f t="shared" si="220"/>
        <v>1</v>
      </c>
      <c r="Y373" s="604">
        <f t="shared" si="221"/>
        <v>1</v>
      </c>
      <c r="Z373" s="602">
        <v>1</v>
      </c>
      <c r="AA373" s="603">
        <f t="shared" si="222"/>
        <v>1</v>
      </c>
      <c r="AB373" s="604">
        <f t="shared" si="223"/>
        <v>1</v>
      </c>
      <c r="AC373" s="602">
        <v>1</v>
      </c>
      <c r="AD373" s="603">
        <f t="shared" si="224"/>
        <v>1</v>
      </c>
      <c r="AE373" s="604">
        <f t="shared" si="225"/>
        <v>1</v>
      </c>
    </row>
    <row r="374" spans="1:31" x14ac:dyDescent="0.2">
      <c r="A374" s="568" t="s">
        <v>1044</v>
      </c>
      <c r="B374" s="595"/>
      <c r="C374" s="602">
        <v>0.99988472485305191</v>
      </c>
      <c r="D374" s="603">
        <f t="shared" si="208"/>
        <v>0.99990881292517775</v>
      </c>
      <c r="E374" s="604">
        <f t="shared" si="209"/>
        <v>0.99990881292517775</v>
      </c>
      <c r="F374" s="602">
        <v>0.99990739551003172</v>
      </c>
      <c r="G374" s="603">
        <f t="shared" si="210"/>
        <v>0.99984401703276693</v>
      </c>
      <c r="H374" s="604">
        <f t="shared" si="211"/>
        <v>0.99984401703276693</v>
      </c>
      <c r="I374" s="602">
        <v>0.99985679870566668</v>
      </c>
      <c r="J374" s="603">
        <f t="shared" si="212"/>
        <v>0.99981498944211311</v>
      </c>
      <c r="K374" s="604">
        <f t="shared" si="213"/>
        <v>0.99981498944211311</v>
      </c>
      <c r="L374" s="602">
        <v>0.99985679870566668</v>
      </c>
      <c r="M374" s="603">
        <f t="shared" si="214"/>
        <v>0.99981498944211311</v>
      </c>
      <c r="N374" s="604">
        <f t="shared" si="215"/>
        <v>0.99981498944211311</v>
      </c>
      <c r="O374" s="568" t="s">
        <v>1044</v>
      </c>
      <c r="P374" s="595"/>
      <c r="Q374" s="602">
        <v>1</v>
      </c>
      <c r="R374" s="603">
        <f t="shared" si="216"/>
        <v>1</v>
      </c>
      <c r="S374" s="604">
        <f t="shared" si="217"/>
        <v>1</v>
      </c>
      <c r="T374" s="602">
        <v>1</v>
      </c>
      <c r="U374" s="603">
        <f t="shared" si="218"/>
        <v>1</v>
      </c>
      <c r="V374" s="604">
        <f t="shared" si="219"/>
        <v>1</v>
      </c>
      <c r="W374" s="602">
        <v>1</v>
      </c>
      <c r="X374" s="603">
        <f t="shared" si="220"/>
        <v>1</v>
      </c>
      <c r="Y374" s="604">
        <f t="shared" si="221"/>
        <v>1</v>
      </c>
      <c r="Z374" s="602">
        <v>1</v>
      </c>
      <c r="AA374" s="603">
        <f t="shared" si="222"/>
        <v>1</v>
      </c>
      <c r="AB374" s="604">
        <f t="shared" si="223"/>
        <v>1</v>
      </c>
      <c r="AC374" s="602">
        <v>1</v>
      </c>
      <c r="AD374" s="603">
        <f t="shared" si="224"/>
        <v>1</v>
      </c>
      <c r="AE374" s="604">
        <f t="shared" si="225"/>
        <v>1</v>
      </c>
    </row>
    <row r="375" spans="1:31" x14ac:dyDescent="0.2">
      <c r="A375" s="568" t="s">
        <v>1045</v>
      </c>
      <c r="B375" s="595"/>
      <c r="C375" s="602">
        <v>0.99994723742325686</v>
      </c>
      <c r="D375" s="603">
        <f t="shared" si="208"/>
        <v>0.99996157347443837</v>
      </c>
      <c r="E375" s="604">
        <f t="shared" si="209"/>
        <v>0.99996157347443837</v>
      </c>
      <c r="F375" s="602">
        <v>0.9999208603106462</v>
      </c>
      <c r="G375" s="603">
        <f t="shared" si="210"/>
        <v>0.99992315064028625</v>
      </c>
      <c r="H375" s="604">
        <f t="shared" si="211"/>
        <v>0.99992315064028625</v>
      </c>
      <c r="I375" s="602">
        <v>0.99993054824058369</v>
      </c>
      <c r="J375" s="603">
        <f t="shared" si="212"/>
        <v>0.99988443317521014</v>
      </c>
      <c r="K375" s="604">
        <f t="shared" si="213"/>
        <v>0.99988443317521014</v>
      </c>
      <c r="L375" s="602">
        <v>0.99993054824058369</v>
      </c>
      <c r="M375" s="603">
        <f t="shared" si="214"/>
        <v>0.99988443317521014</v>
      </c>
      <c r="N375" s="604">
        <f t="shared" si="215"/>
        <v>0.99988443317521014</v>
      </c>
      <c r="O375" s="568" t="s">
        <v>1045</v>
      </c>
      <c r="P375" s="595"/>
      <c r="Q375" s="602">
        <v>1</v>
      </c>
      <c r="R375" s="603">
        <f t="shared" si="216"/>
        <v>1</v>
      </c>
      <c r="S375" s="604">
        <f t="shared" si="217"/>
        <v>1</v>
      </c>
      <c r="T375" s="602">
        <v>1</v>
      </c>
      <c r="U375" s="603">
        <f t="shared" si="218"/>
        <v>1</v>
      </c>
      <c r="V375" s="604">
        <f t="shared" si="219"/>
        <v>1</v>
      </c>
      <c r="W375" s="602">
        <v>1</v>
      </c>
      <c r="X375" s="603">
        <f t="shared" si="220"/>
        <v>1</v>
      </c>
      <c r="Y375" s="604">
        <f t="shared" si="221"/>
        <v>1</v>
      </c>
      <c r="Z375" s="602">
        <v>1</v>
      </c>
      <c r="AA375" s="603">
        <f t="shared" si="222"/>
        <v>1</v>
      </c>
      <c r="AB375" s="604">
        <f t="shared" si="223"/>
        <v>1</v>
      </c>
      <c r="AC375" s="602">
        <v>1</v>
      </c>
      <c r="AD375" s="603">
        <f t="shared" si="224"/>
        <v>1</v>
      </c>
      <c r="AE375" s="604">
        <f t="shared" si="225"/>
        <v>1</v>
      </c>
    </row>
    <row r="376" spans="1:31" x14ac:dyDescent="0.2">
      <c r="A376" s="568" t="s">
        <v>1046</v>
      </c>
      <c r="B376" s="595"/>
      <c r="C376" s="602">
        <v>0.99996157347443837</v>
      </c>
      <c r="D376" s="603">
        <f t="shared" si="208"/>
        <v>1</v>
      </c>
      <c r="E376" s="604">
        <f t="shared" si="209"/>
        <v>1</v>
      </c>
      <c r="F376" s="602">
        <v>0.99994236242652601</v>
      </c>
      <c r="G376" s="603">
        <f t="shared" si="210"/>
        <v>0.99998078710637572</v>
      </c>
      <c r="H376" s="604">
        <f t="shared" si="211"/>
        <v>0.99998078710637572</v>
      </c>
      <c r="I376" s="602">
        <v>0.9999321659805539</v>
      </c>
      <c r="J376" s="603">
        <f t="shared" si="212"/>
        <v>0.99995226395652859</v>
      </c>
      <c r="K376" s="604">
        <f t="shared" si="213"/>
        <v>0.99995226395652859</v>
      </c>
      <c r="L376" s="602">
        <v>0.9999321659805539</v>
      </c>
      <c r="M376" s="603">
        <f t="shared" si="214"/>
        <v>0.99995226395652859</v>
      </c>
      <c r="N376" s="604">
        <f t="shared" si="215"/>
        <v>0.99995226395652859</v>
      </c>
      <c r="O376" s="568" t="s">
        <v>1046</v>
      </c>
      <c r="P376" s="595"/>
      <c r="Q376" s="602">
        <v>1</v>
      </c>
      <c r="R376" s="603">
        <f t="shared" si="216"/>
        <v>1</v>
      </c>
      <c r="S376" s="604">
        <f t="shared" si="217"/>
        <v>1</v>
      </c>
      <c r="T376" s="602">
        <v>1</v>
      </c>
      <c r="U376" s="603">
        <f t="shared" si="218"/>
        <v>1</v>
      </c>
      <c r="V376" s="604">
        <f t="shared" si="219"/>
        <v>1</v>
      </c>
      <c r="W376" s="602">
        <v>1</v>
      </c>
      <c r="X376" s="603">
        <f t="shared" si="220"/>
        <v>1</v>
      </c>
      <c r="Y376" s="604">
        <f t="shared" si="221"/>
        <v>1</v>
      </c>
      <c r="Z376" s="602">
        <v>1</v>
      </c>
      <c r="AA376" s="603">
        <f t="shared" si="222"/>
        <v>1</v>
      </c>
      <c r="AB376" s="604">
        <f t="shared" si="223"/>
        <v>1</v>
      </c>
      <c r="AC376" s="602">
        <v>1</v>
      </c>
      <c r="AD376" s="603">
        <f t="shared" si="224"/>
        <v>1</v>
      </c>
      <c r="AE376" s="604">
        <f t="shared" si="225"/>
        <v>1</v>
      </c>
    </row>
    <row r="377" spans="1:31" x14ac:dyDescent="0.2">
      <c r="A377" s="568" t="s">
        <v>1047</v>
      </c>
      <c r="B377" s="595"/>
      <c r="C377" s="602">
        <v>1</v>
      </c>
      <c r="D377" s="603">
        <f t="shared" si="208"/>
        <v>1</v>
      </c>
      <c r="E377" s="604">
        <f t="shared" si="209"/>
        <v>1</v>
      </c>
      <c r="F377" s="602">
        <v>0.99998078710637572</v>
      </c>
      <c r="G377" s="603">
        <f t="shared" si="210"/>
        <v>1</v>
      </c>
      <c r="H377" s="604">
        <f t="shared" si="211"/>
        <v>1</v>
      </c>
      <c r="I377" s="602">
        <v>0.99995226395652859</v>
      </c>
      <c r="J377" s="603">
        <f t="shared" si="212"/>
        <v>1</v>
      </c>
      <c r="K377" s="604">
        <f t="shared" si="213"/>
        <v>1</v>
      </c>
      <c r="L377" s="602">
        <v>0.99995226395652859</v>
      </c>
      <c r="M377" s="603">
        <f t="shared" si="214"/>
        <v>1</v>
      </c>
      <c r="N377" s="604">
        <f t="shared" si="215"/>
        <v>1</v>
      </c>
      <c r="O377" s="568" t="s">
        <v>1047</v>
      </c>
      <c r="P377" s="595"/>
      <c r="Q377" s="602">
        <v>1</v>
      </c>
      <c r="R377" s="603">
        <f t="shared" si="216"/>
        <v>1</v>
      </c>
      <c r="S377" s="604">
        <f t="shared" si="217"/>
        <v>1</v>
      </c>
      <c r="T377" s="602">
        <v>1</v>
      </c>
      <c r="U377" s="603">
        <f t="shared" si="218"/>
        <v>1</v>
      </c>
      <c r="V377" s="604">
        <f t="shared" si="219"/>
        <v>1</v>
      </c>
      <c r="W377" s="602">
        <v>1</v>
      </c>
      <c r="X377" s="603">
        <f t="shared" si="220"/>
        <v>1</v>
      </c>
      <c r="Y377" s="604">
        <f t="shared" si="221"/>
        <v>1</v>
      </c>
      <c r="Z377" s="602">
        <v>1</v>
      </c>
      <c r="AA377" s="603">
        <f t="shared" si="222"/>
        <v>1</v>
      </c>
      <c r="AB377" s="604">
        <f t="shared" si="223"/>
        <v>1</v>
      </c>
      <c r="AC377" s="602">
        <v>1</v>
      </c>
      <c r="AD377" s="603">
        <f t="shared" si="224"/>
        <v>1</v>
      </c>
      <c r="AE377" s="604">
        <f t="shared" si="225"/>
        <v>1</v>
      </c>
    </row>
    <row r="378" spans="1:31" x14ac:dyDescent="0.2">
      <c r="A378" s="568" t="s">
        <v>1048</v>
      </c>
      <c r="B378" s="595"/>
      <c r="C378" s="602">
        <v>1</v>
      </c>
      <c r="D378" s="603">
        <f t="shared" si="208"/>
        <v>1</v>
      </c>
      <c r="E378" s="604">
        <f t="shared" si="209"/>
        <v>1</v>
      </c>
      <c r="F378" s="602">
        <v>1</v>
      </c>
      <c r="G378" s="603">
        <f t="shared" si="210"/>
        <v>1</v>
      </c>
      <c r="H378" s="604">
        <f t="shared" si="211"/>
        <v>1</v>
      </c>
      <c r="I378" s="602">
        <v>1</v>
      </c>
      <c r="J378" s="603">
        <f t="shared" si="212"/>
        <v>1</v>
      </c>
      <c r="K378" s="604">
        <f t="shared" si="213"/>
        <v>1</v>
      </c>
      <c r="L378" s="602">
        <v>1</v>
      </c>
      <c r="M378" s="603">
        <f t="shared" si="214"/>
        <v>1</v>
      </c>
      <c r="N378" s="604">
        <f t="shared" si="215"/>
        <v>1</v>
      </c>
      <c r="O378" s="568" t="s">
        <v>1048</v>
      </c>
      <c r="P378" s="595"/>
      <c r="Q378" s="602">
        <v>1</v>
      </c>
      <c r="R378" s="603">
        <f t="shared" si="216"/>
        <v>1</v>
      </c>
      <c r="S378" s="604">
        <f t="shared" si="217"/>
        <v>1</v>
      </c>
      <c r="T378" s="602">
        <v>1</v>
      </c>
      <c r="U378" s="603">
        <f t="shared" si="218"/>
        <v>1</v>
      </c>
      <c r="V378" s="604">
        <f t="shared" si="219"/>
        <v>1</v>
      </c>
      <c r="W378" s="602">
        <v>1</v>
      </c>
      <c r="X378" s="603">
        <f t="shared" si="220"/>
        <v>1</v>
      </c>
      <c r="Y378" s="604">
        <f t="shared" si="221"/>
        <v>1</v>
      </c>
      <c r="Z378" s="602">
        <v>1</v>
      </c>
      <c r="AA378" s="603">
        <f t="shared" si="222"/>
        <v>1</v>
      </c>
      <c r="AB378" s="604">
        <f t="shared" si="223"/>
        <v>1</v>
      </c>
      <c r="AC378" s="602">
        <v>1</v>
      </c>
      <c r="AD378" s="603">
        <f t="shared" si="224"/>
        <v>1</v>
      </c>
      <c r="AE378" s="604">
        <f t="shared" si="225"/>
        <v>1</v>
      </c>
    </row>
    <row r="379" spans="1:31" x14ac:dyDescent="0.2">
      <c r="A379" s="568" t="s">
        <v>1049</v>
      </c>
      <c r="B379" s="595"/>
      <c r="C379" s="624">
        <v>1</v>
      </c>
      <c r="D379" s="603">
        <f t="shared" si="208"/>
        <v>1</v>
      </c>
      <c r="E379" s="604">
        <f t="shared" si="209"/>
        <v>1</v>
      </c>
      <c r="F379" s="602">
        <v>1</v>
      </c>
      <c r="G379" s="603">
        <f t="shared" si="210"/>
        <v>1</v>
      </c>
      <c r="H379" s="604">
        <f t="shared" si="211"/>
        <v>1</v>
      </c>
      <c r="I379" s="602">
        <v>1</v>
      </c>
      <c r="J379" s="603">
        <f t="shared" si="212"/>
        <v>1</v>
      </c>
      <c r="K379" s="604">
        <f t="shared" si="213"/>
        <v>1</v>
      </c>
      <c r="L379" s="602">
        <v>1</v>
      </c>
      <c r="M379" s="603">
        <f t="shared" si="214"/>
        <v>1</v>
      </c>
      <c r="N379" s="604">
        <f t="shared" si="215"/>
        <v>1</v>
      </c>
      <c r="O379" s="568" t="s">
        <v>1049</v>
      </c>
      <c r="P379" s="595"/>
      <c r="Q379" s="602">
        <v>1</v>
      </c>
      <c r="R379" s="603">
        <f t="shared" si="216"/>
        <v>1</v>
      </c>
      <c r="S379" s="604">
        <f t="shared" si="217"/>
        <v>1</v>
      </c>
      <c r="T379" s="602">
        <v>1</v>
      </c>
      <c r="U379" s="603">
        <f t="shared" si="218"/>
        <v>1</v>
      </c>
      <c r="V379" s="604">
        <f t="shared" si="219"/>
        <v>1</v>
      </c>
      <c r="W379" s="602">
        <v>1</v>
      </c>
      <c r="X379" s="603">
        <f t="shared" si="220"/>
        <v>1</v>
      </c>
      <c r="Y379" s="604">
        <f t="shared" si="221"/>
        <v>1</v>
      </c>
      <c r="Z379" s="602">
        <v>1</v>
      </c>
      <c r="AA379" s="603">
        <f t="shared" si="222"/>
        <v>1</v>
      </c>
      <c r="AB379" s="604">
        <f t="shared" si="223"/>
        <v>1</v>
      </c>
      <c r="AC379" s="602">
        <v>1</v>
      </c>
      <c r="AD379" s="603">
        <f t="shared" si="224"/>
        <v>1</v>
      </c>
      <c r="AE379" s="604">
        <f t="shared" si="225"/>
        <v>1</v>
      </c>
    </row>
    <row r="380" spans="1:31" x14ac:dyDescent="0.2">
      <c r="A380" s="568" t="s">
        <v>1050</v>
      </c>
      <c r="B380" s="595"/>
      <c r="C380" s="602">
        <v>1</v>
      </c>
      <c r="D380" s="603">
        <f t="shared" si="208"/>
        <v>1</v>
      </c>
      <c r="E380" s="605">
        <f>MAX(MIN(SUMPRODUCT(D375:D385,$G$329:$G$339),$E$275),MIN(D380,$E$275))</f>
        <v>1</v>
      </c>
      <c r="F380" s="602">
        <v>1</v>
      </c>
      <c r="G380" s="603">
        <f t="shared" si="210"/>
        <v>1</v>
      </c>
      <c r="H380" s="605">
        <f>MAX(MIN(SUMPRODUCT(G375:G385,$G$329:$G$339),$E$275),MIN(G380,$E$275))</f>
        <v>1</v>
      </c>
      <c r="I380" s="602">
        <v>1</v>
      </c>
      <c r="J380" s="603">
        <f t="shared" si="212"/>
        <v>1</v>
      </c>
      <c r="K380" s="605">
        <f>MAX(MIN(SUMPRODUCT(J375:J385,$G$329:$G$339),$E$275),MIN(J380,$E$275))</f>
        <v>1</v>
      </c>
      <c r="L380" s="602">
        <v>1</v>
      </c>
      <c r="M380" s="603">
        <f t="shared" si="214"/>
        <v>1</v>
      </c>
      <c r="N380" s="605">
        <f>MAX(MIN(SUMPRODUCT(M375:M385,$G$329:$G$339),$E$275),MIN(M380,$E$275))</f>
        <v>1</v>
      </c>
      <c r="O380" s="568" t="s">
        <v>1050</v>
      </c>
      <c r="P380" s="595"/>
      <c r="Q380" s="602">
        <v>1</v>
      </c>
      <c r="R380" s="603">
        <f t="shared" si="216"/>
        <v>1</v>
      </c>
      <c r="S380" s="605">
        <f>MAX(MIN(SUMPRODUCT(R375:R385,$G$329:$G$339),$E$275),MIN(R380,$E$275))</f>
        <v>1</v>
      </c>
      <c r="T380" s="602">
        <v>1</v>
      </c>
      <c r="U380" s="603">
        <f t="shared" si="218"/>
        <v>1</v>
      </c>
      <c r="V380" s="605">
        <f>MAX(MIN(SUMPRODUCT(U375:U385,$G$329:$G$339),$E$275),MIN(U380,$E$275))</f>
        <v>1</v>
      </c>
      <c r="W380" s="602">
        <v>1</v>
      </c>
      <c r="X380" s="603">
        <f t="shared" si="220"/>
        <v>1</v>
      </c>
      <c r="Y380" s="605">
        <f>MAX(MIN(SUMPRODUCT(X375:X385,$G$329:$G$339),$E$275),MIN(X380,$E$275))</f>
        <v>1</v>
      </c>
      <c r="Z380" s="602">
        <v>1</v>
      </c>
      <c r="AA380" s="603">
        <f t="shared" si="222"/>
        <v>1</v>
      </c>
      <c r="AB380" s="605">
        <f>MAX(MIN(SUMPRODUCT(AA375:AA385,$G$329:$G$339),$E$275),MIN(AA380,$E$275))</f>
        <v>1</v>
      </c>
      <c r="AC380" s="602">
        <v>1</v>
      </c>
      <c r="AD380" s="603">
        <f t="shared" si="224"/>
        <v>1</v>
      </c>
      <c r="AE380" s="605">
        <f>MAX(MIN(SUMPRODUCT(AD375:AD385,$G$329:$G$339),$E$275),MIN(AD380,$E$275))</f>
        <v>1</v>
      </c>
    </row>
    <row r="381" spans="1:31" x14ac:dyDescent="0.2">
      <c r="A381" s="568" t="s">
        <v>1051</v>
      </c>
      <c r="B381" s="595"/>
      <c r="C381" s="602">
        <v>1</v>
      </c>
      <c r="D381" s="603">
        <f t="shared" si="208"/>
        <v>1</v>
      </c>
      <c r="E381" s="605">
        <f>MAX(MIN(SUMPRODUCT(D376:D386,$G$329:$G$339),$E$275),MIN(D381,$E$275))</f>
        <v>1</v>
      </c>
      <c r="F381" s="602">
        <v>1</v>
      </c>
      <c r="G381" s="603">
        <f t="shared" si="210"/>
        <v>1</v>
      </c>
      <c r="H381" s="605">
        <f>MAX(MIN(SUMPRODUCT(G376:G386,$G$329:$G$339),$E$275),MIN(G381,$E$275))</f>
        <v>1</v>
      </c>
      <c r="I381" s="602">
        <v>1</v>
      </c>
      <c r="J381" s="603">
        <f t="shared" si="212"/>
        <v>1</v>
      </c>
      <c r="K381" s="605">
        <f>MAX(MIN(SUMPRODUCT(J376:J386,$G$329:$G$339),$E$275),MIN(J381,$E$275))</f>
        <v>1</v>
      </c>
      <c r="L381" s="602">
        <v>1</v>
      </c>
      <c r="M381" s="603">
        <f t="shared" si="214"/>
        <v>1</v>
      </c>
      <c r="N381" s="605">
        <f>MAX(MIN(SUMPRODUCT(M376:M386,$G$329:$G$339),$E$275),MIN(M381,$E$275))</f>
        <v>1</v>
      </c>
      <c r="O381" s="568" t="s">
        <v>1051</v>
      </c>
      <c r="P381" s="595"/>
      <c r="Q381" s="602">
        <v>1</v>
      </c>
      <c r="R381" s="603">
        <f t="shared" si="216"/>
        <v>1</v>
      </c>
      <c r="S381" s="605">
        <f>MAX(MIN(SUMPRODUCT(R376:R386,$G$329:$G$339),$E$275),MIN(R381,$E$275))</f>
        <v>1</v>
      </c>
      <c r="T381" s="602">
        <v>1</v>
      </c>
      <c r="U381" s="603">
        <f t="shared" si="218"/>
        <v>1</v>
      </c>
      <c r="V381" s="605">
        <f>MAX(MIN(SUMPRODUCT(U376:U386,$G$329:$G$339),$E$275),MIN(U381,$E$275))</f>
        <v>1</v>
      </c>
      <c r="W381" s="602">
        <v>1</v>
      </c>
      <c r="X381" s="603">
        <f t="shared" si="220"/>
        <v>1</v>
      </c>
      <c r="Y381" s="605">
        <f>MAX(MIN(SUMPRODUCT(X376:X386,$G$329:$G$339),$E$275),MIN(X381,$E$275))</f>
        <v>1</v>
      </c>
      <c r="Z381" s="602">
        <v>1</v>
      </c>
      <c r="AA381" s="603">
        <f t="shared" si="222"/>
        <v>1</v>
      </c>
      <c r="AB381" s="605">
        <f>MAX(MIN(SUMPRODUCT(AA376:AA386,$G$329:$G$339),$E$275),MIN(AA381,$E$275))</f>
        <v>1</v>
      </c>
      <c r="AC381" s="602">
        <v>1</v>
      </c>
      <c r="AD381" s="603">
        <f t="shared" si="224"/>
        <v>1</v>
      </c>
      <c r="AE381" s="605">
        <f>MAX(MIN(SUMPRODUCT(AD376:AD386,$G$329:$G$339),$E$275),MIN(AD381,$E$275))</f>
        <v>1</v>
      </c>
    </row>
    <row r="382" spans="1:31" x14ac:dyDescent="0.2">
      <c r="A382" s="568" t="s">
        <v>1052</v>
      </c>
      <c r="B382" s="595"/>
      <c r="C382" s="602">
        <v>1</v>
      </c>
      <c r="D382" s="603">
        <f t="shared" si="208"/>
        <v>1</v>
      </c>
      <c r="E382" s="605">
        <f>MAX(MIN(SUMPRODUCT(D377:D387,$G$329:$G$339),$E$275),MIN(D382,$E$275))</f>
        <v>1</v>
      </c>
      <c r="F382" s="602">
        <v>1</v>
      </c>
      <c r="G382" s="603">
        <f t="shared" si="210"/>
        <v>1</v>
      </c>
      <c r="H382" s="605">
        <f>MAX(MIN(SUMPRODUCT(G377:G387,$G$329:$G$339),$E$275),MIN(G382,$E$275))</f>
        <v>1</v>
      </c>
      <c r="I382" s="602">
        <v>1</v>
      </c>
      <c r="J382" s="603">
        <f t="shared" si="212"/>
        <v>1</v>
      </c>
      <c r="K382" s="605">
        <f>MAX(MIN(SUMPRODUCT(J377:J387,$G$329:$G$339),$E$275),MIN(J382,$E$275))</f>
        <v>1</v>
      </c>
      <c r="L382" s="602">
        <v>1</v>
      </c>
      <c r="M382" s="603">
        <f t="shared" si="214"/>
        <v>1</v>
      </c>
      <c r="N382" s="605">
        <f>MAX(MIN(SUMPRODUCT(M377:M387,$G$329:$G$339),$E$275),MIN(M382,$E$275))</f>
        <v>1</v>
      </c>
      <c r="O382" s="568" t="s">
        <v>1052</v>
      </c>
      <c r="P382" s="595"/>
      <c r="Q382" s="602">
        <v>1</v>
      </c>
      <c r="R382" s="603">
        <f t="shared" si="216"/>
        <v>1</v>
      </c>
      <c r="S382" s="605">
        <f>MAX(MIN(SUMPRODUCT(R377:R387,$G$329:$G$339),$E$275),MIN(R382,$E$275))</f>
        <v>1</v>
      </c>
      <c r="T382" s="602">
        <v>1</v>
      </c>
      <c r="U382" s="603">
        <f t="shared" si="218"/>
        <v>1</v>
      </c>
      <c r="V382" s="605">
        <f>MAX(MIN(SUMPRODUCT(U377:U387,$G$329:$G$339),$E$275),MIN(U382,$E$275))</f>
        <v>1</v>
      </c>
      <c r="W382" s="602">
        <v>1</v>
      </c>
      <c r="X382" s="603">
        <f t="shared" si="220"/>
        <v>1</v>
      </c>
      <c r="Y382" s="605">
        <f>MAX(MIN(SUMPRODUCT(X377:X387,$G$329:$G$339),$E$275),MIN(X382,$E$275))</f>
        <v>1</v>
      </c>
      <c r="Z382" s="602">
        <v>1</v>
      </c>
      <c r="AA382" s="603">
        <f t="shared" si="222"/>
        <v>1</v>
      </c>
      <c r="AB382" s="605">
        <f>MAX(MIN(SUMPRODUCT(AA377:AA387,$G$329:$G$339),$E$275),MIN(AA382,$E$275))</f>
        <v>1</v>
      </c>
      <c r="AC382" s="602">
        <v>1</v>
      </c>
      <c r="AD382" s="603">
        <f t="shared" si="224"/>
        <v>1</v>
      </c>
      <c r="AE382" s="605">
        <f>MAX(MIN(SUMPRODUCT(AD377:AD387,$G$329:$G$339),$E$275),MIN(AD382,$E$275))</f>
        <v>1</v>
      </c>
    </row>
    <row r="383" spans="1:31" x14ac:dyDescent="0.2">
      <c r="A383" s="568" t="s">
        <v>1053</v>
      </c>
      <c r="B383" s="595"/>
      <c r="C383" s="602">
        <v>1</v>
      </c>
      <c r="D383" s="606">
        <f>C384*D385</f>
        <v>1</v>
      </c>
      <c r="E383" s="607">
        <f>MAX(MIN(SUMPRODUCT(A378:A388,$G$237:$G$247),$E$203),MIN(D383,$E$203))</f>
        <v>1</v>
      </c>
      <c r="F383" s="602">
        <v>1</v>
      </c>
      <c r="G383" s="606">
        <f>F384*G385</f>
        <v>1</v>
      </c>
      <c r="H383" s="607">
        <f>MAX(MIN(SUMPRODUCT(D378:D388,$G$237:$G$247),$E$203),MIN(G383,$E$203))</f>
        <v>1</v>
      </c>
      <c r="I383" s="602">
        <v>1</v>
      </c>
      <c r="J383" s="606">
        <f>I384*J385</f>
        <v>1</v>
      </c>
      <c r="K383" s="607">
        <f>MAX(MIN(SUMPRODUCT(G378:G388,$G$237:$G$247),$E$203),MIN(J383,$E$203))</f>
        <v>1</v>
      </c>
      <c r="L383" s="602">
        <v>1</v>
      </c>
      <c r="M383" s="606">
        <f>L384*M385</f>
        <v>1</v>
      </c>
      <c r="N383" s="607">
        <f>MAX(MIN(SUMPRODUCT(J378:J388,$G$237:$G$247),$E$203),MIN(M383,$E$203))</f>
        <v>1</v>
      </c>
      <c r="O383" s="568" t="s">
        <v>1053</v>
      </c>
      <c r="P383" s="595"/>
      <c r="Q383" s="602">
        <v>1</v>
      </c>
      <c r="R383" s="606">
        <f>Q384*R385</f>
        <v>1</v>
      </c>
      <c r="S383" s="607">
        <f>MAX(MIN(SUMPRODUCT(O378:O388,$G$237:$G$247),$E$203),MIN(R383,$E$203))</f>
        <v>1</v>
      </c>
      <c r="T383" s="602">
        <v>1</v>
      </c>
      <c r="U383" s="606">
        <f>T384*U385</f>
        <v>1</v>
      </c>
      <c r="V383" s="607">
        <f>MAX(MIN(SUMPRODUCT(R378:R388,$G$237:$G$247),$E$203),MIN(U383,$E$203))</f>
        <v>1</v>
      </c>
      <c r="W383" s="602">
        <v>1</v>
      </c>
      <c r="X383" s="606">
        <f>W384*X385</f>
        <v>1</v>
      </c>
      <c r="Y383" s="607">
        <f>MAX(MIN(SUMPRODUCT(U378:U388,$G$237:$G$247),$E$203),MIN(X383,$E$203))</f>
        <v>1</v>
      </c>
      <c r="Z383" s="602">
        <v>1</v>
      </c>
      <c r="AA383" s="606">
        <f>Z384*AA385</f>
        <v>1</v>
      </c>
      <c r="AB383" s="607">
        <f>MAX(MIN(SUMPRODUCT(X378:X388,$G$237:$G$247),$E$203),MIN(AA383,$E$203))</f>
        <v>1</v>
      </c>
      <c r="AC383" s="602">
        <v>1</v>
      </c>
      <c r="AD383" s="606">
        <f>AC384*AD385</f>
        <v>1</v>
      </c>
      <c r="AE383" s="607">
        <f>MAX(MIN(SUMPRODUCT(AA378:AA388,$G$237:$G$247),$E$203),MIN(AD383,$E$203))</f>
        <v>1</v>
      </c>
    </row>
    <row r="384" spans="1:31" x14ac:dyDescent="0.2">
      <c r="A384" s="568" t="s">
        <v>1054</v>
      </c>
      <c r="B384" s="595"/>
      <c r="C384" s="602">
        <v>1</v>
      </c>
      <c r="D384" s="603"/>
      <c r="E384" s="608"/>
      <c r="F384" s="602">
        <v>1</v>
      </c>
      <c r="G384" s="603"/>
      <c r="H384" s="608"/>
      <c r="I384" s="602">
        <v>1</v>
      </c>
      <c r="J384" s="603"/>
      <c r="K384" s="608"/>
      <c r="L384" s="602">
        <v>1</v>
      </c>
      <c r="M384" s="603"/>
      <c r="N384" s="608"/>
      <c r="O384" s="568" t="s">
        <v>1054</v>
      </c>
      <c r="P384" s="595"/>
      <c r="Q384" s="602">
        <v>1</v>
      </c>
      <c r="R384" s="603"/>
      <c r="S384" s="608"/>
      <c r="T384" s="602">
        <v>1</v>
      </c>
      <c r="U384" s="603"/>
      <c r="V384" s="608"/>
      <c r="W384" s="602">
        <v>1</v>
      </c>
      <c r="X384" s="603"/>
      <c r="Y384" s="608"/>
      <c r="Z384" s="602">
        <v>1</v>
      </c>
      <c r="AA384" s="603"/>
      <c r="AB384" s="608"/>
      <c r="AC384" s="602">
        <v>1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0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1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AAMG - Commercial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73477.610000000044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24106.75</v>
      </c>
      <c r="AO467" s="51">
        <f>+AJ479</f>
        <v>193276.84999999998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19436.599999999999</v>
      </c>
      <c r="AO468" s="51">
        <f>+AI479</f>
        <v>58620.97</v>
      </c>
      <c r="AP468" s="51">
        <f>+AI480</f>
        <v>201549.64000000007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1974.7399999999998</v>
      </c>
      <c r="AO469" s="51">
        <f>+AH479</f>
        <v>28467.369999999995</v>
      </c>
      <c r="AP469" s="51">
        <f>+AH480</f>
        <v>96828.13999999997</v>
      </c>
      <c r="AQ469" s="51">
        <f>+AH481</f>
        <v>242780.49000000005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6162.9800000000005</v>
      </c>
      <c r="AO470" s="51">
        <f>+AG479</f>
        <v>13359.02</v>
      </c>
      <c r="AP470" s="51">
        <f>+AG480</f>
        <v>29536.34</v>
      </c>
      <c r="AQ470" s="51">
        <f>+AG481</f>
        <v>72895.389999999985</v>
      </c>
      <c r="AR470" s="51">
        <f>+AG482</f>
        <v>255738.90000000023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3862.5299999999997</v>
      </c>
      <c r="AO471" s="51">
        <f>+AF479</f>
        <v>12724.469999999998</v>
      </c>
      <c r="AP471" s="51">
        <f>+AF480</f>
        <v>19822.559999999998</v>
      </c>
      <c r="AQ471" s="51">
        <f>+AF481</f>
        <v>30781.609999999993</v>
      </c>
      <c r="AR471" s="51">
        <f>+AF482</f>
        <v>74777.399999999965</v>
      </c>
      <c r="AS471" s="51">
        <f>+AF483</f>
        <v>182878.47999999998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10</v>
      </c>
      <c r="G472" s="2">
        <f>Final!D72</f>
        <v>2018</v>
      </c>
      <c r="H472" s="187">
        <f>+(12*G471+F471)-(12*G472+F472)</f>
        <v>65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2423.3599999999997</v>
      </c>
      <c r="AO472" s="51">
        <f>+AE479</f>
        <v>9622.99</v>
      </c>
      <c r="AP472" s="51">
        <f>+AE480</f>
        <v>16921.199999999997</v>
      </c>
      <c r="AQ472" s="51">
        <f>+AE481</f>
        <v>29255.55</v>
      </c>
      <c r="AR472" s="51">
        <f>+AE482</f>
        <v>48973.600000000013</v>
      </c>
      <c r="AS472" s="51">
        <f>+AE483</f>
        <v>114992.70000000003</v>
      </c>
      <c r="AT472" s="51">
        <f>+AE484</f>
        <v>193804.48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2139.6600000000003</v>
      </c>
      <c r="AO473" s="51">
        <f>+AD479</f>
        <v>3465.13</v>
      </c>
      <c r="AP473" s="51">
        <f>+AD480</f>
        <v>11826.839999999998</v>
      </c>
      <c r="AQ473" s="51">
        <f>+AD481</f>
        <v>18202.519999999997</v>
      </c>
      <c r="AR473" s="51">
        <f>+AD482</f>
        <v>35559.51</v>
      </c>
      <c r="AS473" s="51">
        <f>+AD483</f>
        <v>51221.150000000009</v>
      </c>
      <c r="AT473" s="51">
        <f>+AD484</f>
        <v>72285.790000000023</v>
      </c>
      <c r="AU473" s="51">
        <f>+AD485</f>
        <v>259092.38000000006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8899.93</v>
      </c>
      <c r="AO474" s="51">
        <f>+AC479</f>
        <v>11812.11</v>
      </c>
      <c r="AP474" s="51">
        <f>+AC480</f>
        <v>13884.52</v>
      </c>
      <c r="AQ474" s="51">
        <f>+AC481</f>
        <v>16456.900000000001</v>
      </c>
      <c r="AR474" s="51">
        <f>+AC482</f>
        <v>21580.840000000004</v>
      </c>
      <c r="AS474" s="51">
        <f>+AC483</f>
        <v>28971.82</v>
      </c>
      <c r="AT474" s="51">
        <f>+AC484</f>
        <v>40479.370000000003</v>
      </c>
      <c r="AU474" s="51">
        <f>+AC485</f>
        <v>76369.049999999988</v>
      </c>
      <c r="AV474" s="51">
        <f>+AC486</f>
        <v>224323.00000000009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43404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740.65</v>
      </c>
      <c r="AO475" s="51">
        <f>+AB479</f>
        <v>3064.68</v>
      </c>
      <c r="AP475" s="51">
        <f>+AB480</f>
        <v>4398.119999999999</v>
      </c>
      <c r="AQ475" s="51">
        <f>+AB481</f>
        <v>9289.19</v>
      </c>
      <c r="AR475" s="51">
        <f>+AB482</f>
        <v>12669.230000000001</v>
      </c>
      <c r="AS475" s="51">
        <f>+AB483</f>
        <v>16661.450000000004</v>
      </c>
      <c r="AT475" s="51">
        <f>+AB484</f>
        <v>25558.890000000003</v>
      </c>
      <c r="AU475" s="51">
        <f>+AB485</f>
        <v>46524.880000000012</v>
      </c>
      <c r="AV475" s="51">
        <f>+AB486</f>
        <v>106793.27999999997</v>
      </c>
      <c r="AW475" s="51">
        <f>+AB487</f>
        <v>302091.38000000024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98.34</v>
      </c>
      <c r="AO476" s="51">
        <f>+AA479</f>
        <v>497.78</v>
      </c>
      <c r="AP476" s="51">
        <f>+AA480</f>
        <v>3983.98</v>
      </c>
      <c r="AQ476" s="51">
        <f>+AA481</f>
        <v>10818.140000000001</v>
      </c>
      <c r="AR476" s="51">
        <f>+AA482</f>
        <v>12833.050000000001</v>
      </c>
      <c r="AS476" s="51">
        <f>+AA483</f>
        <v>14804.980000000001</v>
      </c>
      <c r="AT476" s="51">
        <f>+AA484</f>
        <v>19839.43</v>
      </c>
      <c r="AU476" s="51">
        <f>+AA485</f>
        <v>25892.44</v>
      </c>
      <c r="AV476" s="51">
        <f>+AA486</f>
        <v>37220.329999999994</v>
      </c>
      <c r="AW476" s="51">
        <f>+AA487</f>
        <v>74196.079999999987</v>
      </c>
      <c r="AX476" s="51">
        <f>+AA488</f>
        <v>196853.53000000006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 t="e">
        <f t="shared" ref="C477:C494" si="234">VLOOKUP($B477,$AM$486:$BD$503,$H$472+1)</f>
        <v>#REF!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905.70999999999992</v>
      </c>
      <c r="AO477" s="51">
        <f>+Z479</f>
        <v>2146.1999999999998</v>
      </c>
      <c r="AP477" s="51">
        <f>+Z480</f>
        <v>3332.2599999999998</v>
      </c>
      <c r="AQ477" s="51">
        <f>+Z481</f>
        <v>5533.1399999999994</v>
      </c>
      <c r="AR477" s="51">
        <f>+Z482</f>
        <v>7197.2599999999993</v>
      </c>
      <c r="AS477" s="51">
        <f>+Z483</f>
        <v>11479.15</v>
      </c>
      <c r="AT477" s="51">
        <f>+Z484</f>
        <v>16973.28</v>
      </c>
      <c r="AU477" s="51">
        <f>+Z485</f>
        <v>26561.940000000002</v>
      </c>
      <c r="AV477" s="51">
        <f>+Z486</f>
        <v>30521.480000000003</v>
      </c>
      <c r="AW477" s="51">
        <f>+Z487</f>
        <v>39172.829999999994</v>
      </c>
      <c r="AX477" s="51">
        <f>+Z488</f>
        <v>67121.400000000023</v>
      </c>
      <c r="AY477" s="51">
        <f>+Z489</f>
        <v>217277.14999999997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 t="e">
        <f t="shared" si="234"/>
        <v>#REF!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0</v>
      </c>
      <c r="V478" s="51">
        <f>+V24</f>
        <v>0</v>
      </c>
      <c r="W478" s="51">
        <f>+W23</f>
        <v>0</v>
      </c>
      <c r="X478" s="51">
        <f>+X22</f>
        <v>215.1</v>
      </c>
      <c r="Y478" s="51">
        <f>+Y21</f>
        <v>0</v>
      </c>
      <c r="Z478" s="51">
        <f>+Z20</f>
        <v>905.70999999999992</v>
      </c>
      <c r="AA478" s="51">
        <f>+AA19</f>
        <v>98.34</v>
      </c>
      <c r="AB478" s="51">
        <f>+AB18</f>
        <v>740.65</v>
      </c>
      <c r="AC478" s="51">
        <f>+AC17</f>
        <v>8899.93</v>
      </c>
      <c r="AD478" s="51">
        <f>+AD16</f>
        <v>2139.6600000000003</v>
      </c>
      <c r="AE478" s="51">
        <f>+AE15</f>
        <v>2423.3599999999997</v>
      </c>
      <c r="AF478" s="51">
        <f>+AF14</f>
        <v>3862.5299999999997</v>
      </c>
      <c r="AG478" s="51">
        <f>+AG13</f>
        <v>6162.9800000000005</v>
      </c>
      <c r="AH478" s="51">
        <f>+AH12</f>
        <v>1974.7399999999998</v>
      </c>
      <c r="AI478" s="51">
        <f>+AI11</f>
        <v>19436.599999999999</v>
      </c>
      <c r="AJ478" s="51">
        <f>+AJ10</f>
        <v>24106.75</v>
      </c>
      <c r="AK478" s="51">
        <f>+AK9</f>
        <v>73477.610000000044</v>
      </c>
      <c r="AL478" s="530">
        <v>0</v>
      </c>
      <c r="AM478" s="42">
        <f t="shared" si="232"/>
        <v>44958</v>
      </c>
      <c r="AN478" s="51">
        <f>+Y478</f>
        <v>0</v>
      </c>
      <c r="AO478" s="51">
        <f>+Y479</f>
        <v>0</v>
      </c>
      <c r="AP478" s="51">
        <f>+Y480</f>
        <v>0</v>
      </c>
      <c r="AQ478" s="51">
        <f>+Y481</f>
        <v>433.93</v>
      </c>
      <c r="AR478" s="51">
        <f>+Y482</f>
        <v>552.68000000000006</v>
      </c>
      <c r="AS478" s="51">
        <f>+Y483</f>
        <v>1092.4100000000001</v>
      </c>
      <c r="AT478" s="51">
        <f>+Y484</f>
        <v>1104.1400000000001</v>
      </c>
      <c r="AU478" s="51">
        <f>+Y485</f>
        <v>1790.43</v>
      </c>
      <c r="AV478" s="51">
        <f>+Y486</f>
        <v>3461.88</v>
      </c>
      <c r="AW478" s="51">
        <f>+Y487</f>
        <v>4495.79</v>
      </c>
      <c r="AX478" s="51">
        <f>+Y488</f>
        <v>7148.2899999999991</v>
      </c>
      <c r="AY478" s="51">
        <f>+Y489</f>
        <v>15142.390000000001</v>
      </c>
      <c r="AZ478" s="51">
        <f>+Y490</f>
        <v>31657.290000000008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 t="e">
        <f t="shared" si="234"/>
        <v>#REF!</v>
      </c>
      <c r="D479" s="534"/>
      <c r="E479" s="156"/>
      <c r="F479" s="156"/>
      <c r="T479" s="530">
        <v>0</v>
      </c>
      <c r="U479" s="51">
        <f>SUM(U24:U$31)</f>
        <v>6.84</v>
      </c>
      <c r="V479" s="51">
        <f>SUM(V23:V$31)</f>
        <v>0</v>
      </c>
      <c r="W479" s="51">
        <f>SUM(W22:W$31)</f>
        <v>0</v>
      </c>
      <c r="X479" s="51">
        <f>SUM(X21:X$31)</f>
        <v>215.1</v>
      </c>
      <c r="Y479" s="51">
        <f>SUM(Y20:Y$31)</f>
        <v>0</v>
      </c>
      <c r="Z479" s="51">
        <f>SUM(Z19:Z$31)</f>
        <v>2146.1999999999998</v>
      </c>
      <c r="AA479" s="51">
        <f>SUM(AA18:AA$31)</f>
        <v>497.78</v>
      </c>
      <c r="AB479" s="51">
        <f>SUM(AB17:AB$31)</f>
        <v>3064.68</v>
      </c>
      <c r="AC479" s="51">
        <f>SUM(AC16:AC$31)</f>
        <v>11812.11</v>
      </c>
      <c r="AD479" s="51">
        <f>SUM(AD15:AD$31)</f>
        <v>3465.13</v>
      </c>
      <c r="AE479" s="51">
        <f>SUM(AE14:AE$31)</f>
        <v>9622.99</v>
      </c>
      <c r="AF479" s="51">
        <f>SUM(AF13:AF$31)</f>
        <v>12724.469999999998</v>
      </c>
      <c r="AG479" s="51">
        <f>SUM(AG12:AG$31)</f>
        <v>13359.02</v>
      </c>
      <c r="AH479" s="51">
        <f>SUM(AH11:AH$31)</f>
        <v>28467.369999999995</v>
      </c>
      <c r="AI479" s="51">
        <f>SUM(AI10:AI$31)</f>
        <v>58620.97</v>
      </c>
      <c r="AJ479" s="51">
        <f>SUM(AJ9:AJ$31)</f>
        <v>193276.84999999998</v>
      </c>
      <c r="AK479" s="530">
        <v>0</v>
      </c>
      <c r="AM479" s="42">
        <f t="shared" si="232"/>
        <v>44927</v>
      </c>
      <c r="AN479" s="51">
        <f>+X478</f>
        <v>215.1</v>
      </c>
      <c r="AO479" s="51">
        <f>+X479</f>
        <v>215.1</v>
      </c>
      <c r="AP479" s="51">
        <f>+X480</f>
        <v>363.37</v>
      </c>
      <c r="AQ479" s="51">
        <f>+X481</f>
        <v>478.54999999999995</v>
      </c>
      <c r="AR479" s="51">
        <f>+X482</f>
        <v>478.54999999999995</v>
      </c>
      <c r="AS479" s="51">
        <f>+X483</f>
        <v>792.33</v>
      </c>
      <c r="AT479" s="51">
        <f>+X484</f>
        <v>1290.33</v>
      </c>
      <c r="AU479" s="51">
        <f>+X485</f>
        <v>1477.3899999999999</v>
      </c>
      <c r="AV479" s="51">
        <f>+X486</f>
        <v>1504.9399999999998</v>
      </c>
      <c r="AW479" s="51">
        <f>+X487</f>
        <v>2616.39</v>
      </c>
      <c r="AX479" s="51">
        <f>+X488</f>
        <v>2687.1899999999996</v>
      </c>
      <c r="AY479" s="51">
        <f>+X489</f>
        <v>5262.8100000000013</v>
      </c>
      <c r="AZ479" s="51">
        <f>+X490</f>
        <v>6462.8600000000006</v>
      </c>
      <c r="BA479" s="51">
        <f>+X491</f>
        <v>27496.170000000009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 t="e">
        <f t="shared" si="234"/>
        <v>#REF!</v>
      </c>
      <c r="D480" s="534"/>
      <c r="E480" s="156"/>
      <c r="F480" s="156"/>
      <c r="T480" s="530">
        <v>0</v>
      </c>
      <c r="U480" s="51">
        <f>SUM(U23:U$31)</f>
        <v>6.84</v>
      </c>
      <c r="V480" s="51">
        <f>SUM(V22:V$31)</f>
        <v>0</v>
      </c>
      <c r="W480" s="51">
        <f>SUM(W21:W$31)</f>
        <v>0</v>
      </c>
      <c r="X480" s="51">
        <f>SUM(X20:X$31)</f>
        <v>363.37</v>
      </c>
      <c r="Y480" s="51">
        <f>SUM(Y19:Y$31)</f>
        <v>0</v>
      </c>
      <c r="Z480" s="51">
        <f>SUM(Z18:Z$31)</f>
        <v>3332.2599999999998</v>
      </c>
      <c r="AA480" s="51">
        <f>SUM(AA17:AA$31)</f>
        <v>3983.98</v>
      </c>
      <c r="AB480" s="51">
        <f>SUM(AB16:AB$31)</f>
        <v>4398.119999999999</v>
      </c>
      <c r="AC480" s="51">
        <f>SUM(AC15:AC$31)</f>
        <v>13884.52</v>
      </c>
      <c r="AD480" s="51">
        <f>SUM(AD14:AD$31)</f>
        <v>11826.839999999998</v>
      </c>
      <c r="AE480" s="51">
        <f>SUM(AE13:AE$31)</f>
        <v>16921.199999999997</v>
      </c>
      <c r="AF480" s="51">
        <f>SUM(AF12:AF$31)</f>
        <v>19822.559999999998</v>
      </c>
      <c r="AG480" s="51">
        <f>SUM(AG11:AG$31)</f>
        <v>29536.34</v>
      </c>
      <c r="AH480" s="51">
        <f>SUM(AH10:AH$31)</f>
        <v>96828.13999999997</v>
      </c>
      <c r="AI480" s="51">
        <f>SUM(AI9:AI$31)</f>
        <v>201549.64000000007</v>
      </c>
      <c r="AJ480" s="530">
        <v>0</v>
      </c>
      <c r="AM480" s="42">
        <f t="shared" si="232"/>
        <v>44896</v>
      </c>
      <c r="AN480" s="51">
        <f>+W478</f>
        <v>0</v>
      </c>
      <c r="AO480" s="51">
        <f>+W479</f>
        <v>0</v>
      </c>
      <c r="AP480" s="51">
        <f>+W480</f>
        <v>0</v>
      </c>
      <c r="AQ480" s="51">
        <f>+W481</f>
        <v>0</v>
      </c>
      <c r="AR480" s="51">
        <f>+W482</f>
        <v>114.37</v>
      </c>
      <c r="AS480" s="51">
        <f>+W483</f>
        <v>233.93</v>
      </c>
      <c r="AT480" s="51">
        <f>+W484</f>
        <v>233.93</v>
      </c>
      <c r="AU480" s="51">
        <f>+W485</f>
        <v>302.27999999999997</v>
      </c>
      <c r="AV480" s="51">
        <f>+W486</f>
        <v>441.99</v>
      </c>
      <c r="AW480" s="51">
        <f>+W487</f>
        <v>583.41000000000008</v>
      </c>
      <c r="AX480" s="51">
        <f>+W488</f>
        <v>26524.859999999993</v>
      </c>
      <c r="AY480" s="51">
        <f>+W489</f>
        <v>27239.979999999992</v>
      </c>
      <c r="AZ480" s="51">
        <f>+W490</f>
        <v>28061.399999999994</v>
      </c>
      <c r="BA480" s="51">
        <f>+W491</f>
        <v>38923.829999999994</v>
      </c>
      <c r="BB480" s="51">
        <f>+W492</f>
        <v>67403.610000000015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 t="e">
        <f t="shared" si="234"/>
        <v>#REF!</v>
      </c>
      <c r="D481" s="156"/>
      <c r="E481" s="156"/>
      <c r="F481" s="156"/>
      <c r="T481" s="530">
        <v>0</v>
      </c>
      <c r="U481" s="51">
        <f>SUM(U22:U$31)</f>
        <v>6.84</v>
      </c>
      <c r="V481" s="51">
        <f>SUM(V21:V$31)</f>
        <v>102.96</v>
      </c>
      <c r="W481" s="51">
        <f>SUM(W20:W$31)</f>
        <v>0</v>
      </c>
      <c r="X481" s="51">
        <f>SUM(X19:X$31)</f>
        <v>478.54999999999995</v>
      </c>
      <c r="Y481" s="51">
        <f>SUM(Y18:Y$31)</f>
        <v>433.93</v>
      </c>
      <c r="Z481" s="51">
        <f>SUM(Z17:Z$31)</f>
        <v>5533.1399999999994</v>
      </c>
      <c r="AA481" s="51">
        <f>SUM(AA16:AA$31)</f>
        <v>10818.140000000001</v>
      </c>
      <c r="AB481" s="51">
        <f>SUM(AB15:AB$31)</f>
        <v>9289.19</v>
      </c>
      <c r="AC481" s="51">
        <f>SUM(AC14:AC$31)</f>
        <v>16456.900000000001</v>
      </c>
      <c r="AD481" s="51">
        <f>SUM(AD13:AD$31)</f>
        <v>18202.519999999997</v>
      </c>
      <c r="AE481" s="51">
        <f>SUM(AE12:AE$31)</f>
        <v>29255.55</v>
      </c>
      <c r="AF481" s="51">
        <f>SUM(AF11:AF$31)</f>
        <v>30781.609999999993</v>
      </c>
      <c r="AG481" s="51">
        <f>SUM(AG10:AG$31)</f>
        <v>72895.389999999985</v>
      </c>
      <c r="AH481" s="51">
        <f>SUM(AH9:AH$31)</f>
        <v>242780.49000000005</v>
      </c>
      <c r="AI481" s="530">
        <v>0</v>
      </c>
      <c r="AM481" s="42">
        <f t="shared" si="232"/>
        <v>44866</v>
      </c>
      <c r="AN481" s="51">
        <f>+V478</f>
        <v>0</v>
      </c>
      <c r="AO481" s="51">
        <f>+V479</f>
        <v>0</v>
      </c>
      <c r="AP481" s="51">
        <f>+V480</f>
        <v>0</v>
      </c>
      <c r="AQ481" s="51">
        <f>+V481</f>
        <v>102.96</v>
      </c>
      <c r="AR481" s="51">
        <f>+V482</f>
        <v>102.96</v>
      </c>
      <c r="AS481" s="51">
        <f>+V483</f>
        <v>269.59999999999997</v>
      </c>
      <c r="AT481" s="51">
        <f>+V484</f>
        <v>1183.26</v>
      </c>
      <c r="AU481" s="51">
        <f>+V485</f>
        <v>1183.26</v>
      </c>
      <c r="AV481" s="51">
        <f>+V486</f>
        <v>1183.26</v>
      </c>
      <c r="AW481" s="51">
        <f>+V487</f>
        <v>1259.8899999999999</v>
      </c>
      <c r="AX481" s="51">
        <f>+V488</f>
        <v>1436.3200000000002</v>
      </c>
      <c r="AY481" s="51">
        <f>+V489</f>
        <v>3040.2799999999997</v>
      </c>
      <c r="AZ481" s="51">
        <f>+V490</f>
        <v>4382.9800000000005</v>
      </c>
      <c r="BA481" s="51">
        <f>+V491</f>
        <v>5654.38</v>
      </c>
      <c r="BB481" s="51">
        <f>+V492</f>
        <v>9846.5799999999981</v>
      </c>
      <c r="BC481" s="51">
        <f>+V493</f>
        <v>44942.19999999999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 t="e">
        <f t="shared" si="234"/>
        <v>#REF!</v>
      </c>
      <c r="D482" s="156"/>
      <c r="E482" s="156"/>
      <c r="F482" s="156"/>
      <c r="T482" s="530">
        <v>0</v>
      </c>
      <c r="U482" s="51">
        <f>SUM(U21:U$31)</f>
        <v>6.84</v>
      </c>
      <c r="V482" s="51">
        <f>SUM(V20:V$31)</f>
        <v>102.96</v>
      </c>
      <c r="W482" s="51">
        <f>SUM(W19:W$31)</f>
        <v>114.37</v>
      </c>
      <c r="X482" s="51">
        <f>SUM(X18:X$31)</f>
        <v>478.54999999999995</v>
      </c>
      <c r="Y482" s="51">
        <f>SUM(Y17:Y$31)</f>
        <v>552.68000000000006</v>
      </c>
      <c r="Z482" s="51">
        <f>SUM(Z16:Z$31)</f>
        <v>7197.2599999999993</v>
      </c>
      <c r="AA482" s="51">
        <f>SUM(AA15:AA$31)</f>
        <v>12833.050000000001</v>
      </c>
      <c r="AB482" s="51">
        <f>SUM(AB14:AB$31)</f>
        <v>12669.230000000001</v>
      </c>
      <c r="AC482" s="51">
        <f>SUM(AC13:AC$31)</f>
        <v>21580.840000000004</v>
      </c>
      <c r="AD482" s="51">
        <f>SUM(AD12:AD$31)</f>
        <v>35559.51</v>
      </c>
      <c r="AE482" s="51">
        <f>SUM(AE11:AE$31)</f>
        <v>48973.600000000013</v>
      </c>
      <c r="AF482" s="51">
        <f>SUM(AF10:AF$31)</f>
        <v>74777.399999999965</v>
      </c>
      <c r="AG482" s="51">
        <f>SUM(AG9:AG$31)</f>
        <v>255738.90000000023</v>
      </c>
      <c r="AH482" s="530">
        <v>0</v>
      </c>
      <c r="AM482" s="42">
        <f t="shared" si="232"/>
        <v>44835</v>
      </c>
      <c r="AN482" s="51">
        <f>+U478</f>
        <v>0</v>
      </c>
      <c r="AO482" s="51">
        <f>+U479</f>
        <v>6.84</v>
      </c>
      <c r="AP482" s="51">
        <f>+U480</f>
        <v>6.84</v>
      </c>
      <c r="AQ482" s="51">
        <f>+U481</f>
        <v>6.84</v>
      </c>
      <c r="AR482" s="51">
        <f>+U482</f>
        <v>6.84</v>
      </c>
      <c r="AS482" s="51">
        <f>+U483</f>
        <v>229.73999999999998</v>
      </c>
      <c r="AT482" s="51">
        <f>+U484</f>
        <v>229.73999999999998</v>
      </c>
      <c r="AU482" s="51">
        <f>+U485</f>
        <v>255.92</v>
      </c>
      <c r="AV482" s="51">
        <f>+U486</f>
        <v>611.75000000000011</v>
      </c>
      <c r="AW482" s="51">
        <f>+U487</f>
        <v>648.85</v>
      </c>
      <c r="AX482" s="51">
        <f>+U488</f>
        <v>761.84</v>
      </c>
      <c r="AY482" s="51">
        <f>+U489</f>
        <v>1760.0599999999997</v>
      </c>
      <c r="AZ482" s="51">
        <f>+U490</f>
        <v>1850.3099999999997</v>
      </c>
      <c r="BA482" s="51">
        <f>+U491</f>
        <v>2148.3200000000002</v>
      </c>
      <c r="BB482" s="51">
        <f>+U492</f>
        <v>3722.6699999999996</v>
      </c>
      <c r="BC482" s="51">
        <f>+U493</f>
        <v>36100.67</v>
      </c>
      <c r="BD482" s="51">
        <f>+U494</f>
        <v>52302.559999999998</v>
      </c>
    </row>
    <row r="483" spans="1:56" x14ac:dyDescent="0.2">
      <c r="A483" s="2">
        <f t="shared" si="235"/>
        <v>6</v>
      </c>
      <c r="B483" s="52">
        <f>+Final!A17</f>
        <v>45170</v>
      </c>
      <c r="C483" s="51" t="e">
        <f t="shared" si="234"/>
        <v>#REF!</v>
      </c>
      <c r="D483" s="156"/>
      <c r="E483" s="156"/>
      <c r="F483" s="156"/>
      <c r="T483" s="530">
        <v>0</v>
      </c>
      <c r="U483" s="51">
        <f>SUM(U20:U$31)</f>
        <v>229.73999999999998</v>
      </c>
      <c r="V483" s="51">
        <f>SUM(V19:V$31)</f>
        <v>269.59999999999997</v>
      </c>
      <c r="W483" s="51">
        <f>SUM(W18:W$31)</f>
        <v>233.93</v>
      </c>
      <c r="X483" s="51">
        <f>SUM(X17:X$31)</f>
        <v>792.33</v>
      </c>
      <c r="Y483" s="51">
        <f>SUM(Y16:Y$31)</f>
        <v>1092.4100000000001</v>
      </c>
      <c r="Z483" s="51">
        <f>SUM(Z15:Z$31)</f>
        <v>11479.15</v>
      </c>
      <c r="AA483" s="51">
        <f>SUM(AA14:AA$31)</f>
        <v>14804.980000000001</v>
      </c>
      <c r="AB483" s="51">
        <f>SUM(AB13:AB$31)</f>
        <v>16661.450000000004</v>
      </c>
      <c r="AC483" s="51">
        <f>SUM(AC12:AC$31)</f>
        <v>28971.82</v>
      </c>
      <c r="AD483" s="51">
        <f>SUM(AD11:AD$31)</f>
        <v>51221.150000000009</v>
      </c>
      <c r="AE483" s="51">
        <f>SUM(AE10:AE$31)</f>
        <v>114992.70000000003</v>
      </c>
      <c r="AF483" s="51">
        <f>SUM(AF9:AF$31)</f>
        <v>182878.47999999998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 t="e">
        <f t="shared" si="234"/>
        <v>#REF!</v>
      </c>
      <c r="D484" s="156"/>
      <c r="E484" s="156"/>
      <c r="F484" s="156"/>
      <c r="T484" s="530">
        <v>0</v>
      </c>
      <c r="U484" s="51">
        <f>SUM(U19:U$31)</f>
        <v>229.73999999999998</v>
      </c>
      <c r="V484" s="51">
        <f>SUM(V18:V$31)</f>
        <v>1183.26</v>
      </c>
      <c r="W484" s="51">
        <f>SUM(W17:W$31)</f>
        <v>233.93</v>
      </c>
      <c r="X484" s="51">
        <f>SUM(X16:X$31)</f>
        <v>1290.33</v>
      </c>
      <c r="Y484" s="51">
        <f>SUM(Y15:Y$31)</f>
        <v>1104.1400000000001</v>
      </c>
      <c r="Z484" s="51">
        <f>SUM(Z14:Z$31)</f>
        <v>16973.28</v>
      </c>
      <c r="AA484" s="51">
        <f>SUM(AA13:AA$31)</f>
        <v>19839.43</v>
      </c>
      <c r="AB484" s="51">
        <f>SUM(AB12:AB$31)</f>
        <v>25558.890000000003</v>
      </c>
      <c r="AC484" s="51">
        <f>SUM(AC11:AC$31)</f>
        <v>40479.370000000003</v>
      </c>
      <c r="AD484" s="51">
        <f>SUM(AD10:AD$31)</f>
        <v>72285.790000000023</v>
      </c>
      <c r="AE484" s="51">
        <f>SUM(AE9:AE$31)</f>
        <v>193804.48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 t="e">
        <f t="shared" si="234"/>
        <v>#REF!</v>
      </c>
      <c r="D485" s="156"/>
      <c r="E485" s="156"/>
      <c r="F485" s="156"/>
      <c r="T485" s="530">
        <v>0</v>
      </c>
      <c r="U485" s="51">
        <f>SUM(U18:U$31)</f>
        <v>255.92</v>
      </c>
      <c r="V485" s="51">
        <f>SUM(V17:V$31)</f>
        <v>1183.26</v>
      </c>
      <c r="W485" s="51">
        <f>SUM(W16:W$31)</f>
        <v>302.27999999999997</v>
      </c>
      <c r="X485" s="51">
        <f>SUM(X15:X$31)</f>
        <v>1477.3899999999999</v>
      </c>
      <c r="Y485" s="51">
        <f>SUM(Y14:Y$31)</f>
        <v>1790.43</v>
      </c>
      <c r="Z485" s="51">
        <f>SUM(Z13:Z$31)</f>
        <v>26561.940000000002</v>
      </c>
      <c r="AA485" s="51">
        <f>SUM(AA12:AA$31)</f>
        <v>25892.44</v>
      </c>
      <c r="AB485" s="51">
        <f>SUM(AB11:AB$31)</f>
        <v>46524.880000000012</v>
      </c>
      <c r="AC485" s="51">
        <f>SUM(AC10:AC$31)</f>
        <v>76369.049999999988</v>
      </c>
      <c r="AD485" s="51">
        <f>SUM(AD9:AD$31)</f>
        <v>259092.38000000006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 t="e">
        <f t="shared" si="234"/>
        <v>#REF!</v>
      </c>
      <c r="D486" s="156"/>
      <c r="E486" s="156"/>
      <c r="F486" s="156"/>
      <c r="T486" s="530">
        <v>0</v>
      </c>
      <c r="U486" s="51">
        <f>SUM(U17:U$31)</f>
        <v>611.75000000000011</v>
      </c>
      <c r="V486" s="51">
        <f>SUM(V16:V$31)</f>
        <v>1183.26</v>
      </c>
      <c r="W486" s="51">
        <f>SUM(W15:W$31)</f>
        <v>441.99</v>
      </c>
      <c r="X486" s="51">
        <f>SUM(X14:X$31)</f>
        <v>1504.9399999999998</v>
      </c>
      <c r="Y486" s="51">
        <f>SUM(Y13:Y$31)</f>
        <v>3461.88</v>
      </c>
      <c r="Z486" s="51">
        <f>SUM(Z12:Z$31)</f>
        <v>30521.480000000003</v>
      </c>
      <c r="AA486" s="51">
        <f>SUM(AA11:AA$31)</f>
        <v>37220.329999999994</v>
      </c>
      <c r="AB486" s="51">
        <f>SUM(AB10:AB$31)</f>
        <v>106793.27999999997</v>
      </c>
      <c r="AC486" s="51">
        <f>SUM(AC9:AC$31)</f>
        <v>224323.00000000009</v>
      </c>
      <c r="AD486" s="530">
        <v>0</v>
      </c>
      <c r="AM486" s="42">
        <f t="shared" ref="AM486:BD486" si="236">+AM482</f>
        <v>44835</v>
      </c>
      <c r="AN486" s="51">
        <f t="shared" si="236"/>
        <v>0</v>
      </c>
      <c r="AO486" s="51">
        <f t="shared" si="236"/>
        <v>6.84</v>
      </c>
      <c r="AP486" s="51">
        <f t="shared" si="236"/>
        <v>6.84</v>
      </c>
      <c r="AQ486" s="51">
        <f t="shared" si="236"/>
        <v>6.84</v>
      </c>
      <c r="AR486" s="51">
        <f t="shared" si="236"/>
        <v>6.84</v>
      </c>
      <c r="AS486" s="51">
        <f t="shared" si="236"/>
        <v>229.73999999999998</v>
      </c>
      <c r="AT486" s="51">
        <f t="shared" si="236"/>
        <v>229.73999999999998</v>
      </c>
      <c r="AU486" s="51">
        <f t="shared" si="236"/>
        <v>255.92</v>
      </c>
      <c r="AV486" s="51">
        <f t="shared" si="236"/>
        <v>611.75000000000011</v>
      </c>
      <c r="AW486" s="51">
        <f t="shared" si="236"/>
        <v>648.85</v>
      </c>
      <c r="AX486" s="51">
        <f t="shared" si="236"/>
        <v>761.84</v>
      </c>
      <c r="AY486" s="51">
        <f t="shared" si="236"/>
        <v>1760.0599999999997</v>
      </c>
      <c r="AZ486" s="51">
        <f t="shared" si="236"/>
        <v>1850.3099999999997</v>
      </c>
      <c r="BA486" s="51">
        <f t="shared" si="236"/>
        <v>2148.3200000000002</v>
      </c>
      <c r="BB486" s="51">
        <f t="shared" si="236"/>
        <v>3722.6699999999996</v>
      </c>
      <c r="BC486" s="51">
        <f t="shared" si="236"/>
        <v>36100.67</v>
      </c>
      <c r="BD486" s="51">
        <f t="shared" si="236"/>
        <v>52302.559999999998</v>
      </c>
    </row>
    <row r="487" spans="1:56" x14ac:dyDescent="0.2">
      <c r="A487" s="2">
        <f t="shared" si="235"/>
        <v>10</v>
      </c>
      <c r="B487" s="52">
        <f>+Final!A21</f>
        <v>45047</v>
      </c>
      <c r="C487" s="51" t="e">
        <f t="shared" si="234"/>
        <v>#REF!</v>
      </c>
      <c r="D487" s="156"/>
      <c r="E487" s="156"/>
      <c r="F487" s="156"/>
      <c r="T487" s="530">
        <v>0</v>
      </c>
      <c r="U487" s="51">
        <f>SUM(U16:U$31)</f>
        <v>648.85</v>
      </c>
      <c r="V487" s="51">
        <f>SUM(V15:V$31)</f>
        <v>1259.8899999999999</v>
      </c>
      <c r="W487" s="51">
        <f>SUM(W14:W$31)</f>
        <v>583.41000000000008</v>
      </c>
      <c r="X487" s="51">
        <f>SUM(X13:X$31)</f>
        <v>2616.39</v>
      </c>
      <c r="Y487" s="51">
        <f>SUM(Y12:Y$31)</f>
        <v>4495.79</v>
      </c>
      <c r="Z487" s="51">
        <f>SUM(Z11:Z$31)</f>
        <v>39172.829999999994</v>
      </c>
      <c r="AA487" s="51">
        <f>SUM(AA10:AA$31)</f>
        <v>74196.079999999987</v>
      </c>
      <c r="AB487" s="51">
        <f>SUM(AB9:AB$31)</f>
        <v>302091.38000000024</v>
      </c>
      <c r="AC487" s="530">
        <v>0</v>
      </c>
      <c r="AM487" s="42">
        <f t="shared" ref="AM487:BD487" si="237">+AM481</f>
        <v>44866</v>
      </c>
      <c r="AN487" s="51">
        <f t="shared" si="237"/>
        <v>0</v>
      </c>
      <c r="AO487" s="51">
        <f t="shared" si="237"/>
        <v>0</v>
      </c>
      <c r="AP487" s="51">
        <f t="shared" si="237"/>
        <v>0</v>
      </c>
      <c r="AQ487" s="51">
        <f t="shared" si="237"/>
        <v>102.96</v>
      </c>
      <c r="AR487" s="51">
        <f t="shared" si="237"/>
        <v>102.96</v>
      </c>
      <c r="AS487" s="51">
        <f t="shared" si="237"/>
        <v>269.59999999999997</v>
      </c>
      <c r="AT487" s="51">
        <f t="shared" si="237"/>
        <v>1183.26</v>
      </c>
      <c r="AU487" s="51">
        <f t="shared" si="237"/>
        <v>1183.26</v>
      </c>
      <c r="AV487" s="51">
        <f t="shared" si="237"/>
        <v>1183.26</v>
      </c>
      <c r="AW487" s="51">
        <f t="shared" si="237"/>
        <v>1259.8899999999999</v>
      </c>
      <c r="AX487" s="51">
        <f t="shared" si="237"/>
        <v>1436.3200000000002</v>
      </c>
      <c r="AY487" s="51">
        <f t="shared" si="237"/>
        <v>3040.2799999999997</v>
      </c>
      <c r="AZ487" s="51">
        <f t="shared" si="237"/>
        <v>4382.9800000000005</v>
      </c>
      <c r="BA487" s="51">
        <f t="shared" si="237"/>
        <v>5654.38</v>
      </c>
      <c r="BB487" s="51">
        <f t="shared" si="237"/>
        <v>9846.5799999999981</v>
      </c>
      <c r="BC487" s="51">
        <f t="shared" si="237"/>
        <v>44942.19999999999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 t="e">
        <f t="shared" si="234"/>
        <v>#REF!</v>
      </c>
      <c r="D488" s="156"/>
      <c r="E488" s="156"/>
      <c r="F488" s="156"/>
      <c r="T488" s="530">
        <v>0</v>
      </c>
      <c r="U488" s="51">
        <f>SUM(U15:U$31)</f>
        <v>761.84</v>
      </c>
      <c r="V488" s="51">
        <f>SUM(V14:V$31)</f>
        <v>1436.3200000000002</v>
      </c>
      <c r="W488" s="51">
        <f>SUM(W13:W$31)</f>
        <v>26524.859999999993</v>
      </c>
      <c r="X488" s="51">
        <f>SUM(X12:X$31)</f>
        <v>2687.1899999999996</v>
      </c>
      <c r="Y488" s="51">
        <f>SUM(Y11:Y$31)</f>
        <v>7148.2899999999991</v>
      </c>
      <c r="Z488" s="51">
        <f>SUM(Z10:Z$31)</f>
        <v>67121.400000000023</v>
      </c>
      <c r="AA488" s="51">
        <f>SUM(AA9:AA$31)</f>
        <v>196853.53000000006</v>
      </c>
      <c r="AB488" s="530">
        <v>0</v>
      </c>
      <c r="AM488" s="42">
        <f t="shared" ref="AM488:BD488" si="238">+AM480</f>
        <v>44896</v>
      </c>
      <c r="AN488" s="51">
        <f t="shared" si="238"/>
        <v>0</v>
      </c>
      <c r="AO488" s="51">
        <f t="shared" si="238"/>
        <v>0</v>
      </c>
      <c r="AP488" s="51">
        <f t="shared" si="238"/>
        <v>0</v>
      </c>
      <c r="AQ488" s="51">
        <f t="shared" si="238"/>
        <v>0</v>
      </c>
      <c r="AR488" s="51">
        <f t="shared" si="238"/>
        <v>114.37</v>
      </c>
      <c r="AS488" s="51">
        <f t="shared" si="238"/>
        <v>233.93</v>
      </c>
      <c r="AT488" s="51">
        <f t="shared" si="238"/>
        <v>233.93</v>
      </c>
      <c r="AU488" s="51">
        <f t="shared" si="238"/>
        <v>302.27999999999997</v>
      </c>
      <c r="AV488" s="51">
        <f t="shared" si="238"/>
        <v>441.99</v>
      </c>
      <c r="AW488" s="51">
        <f t="shared" si="238"/>
        <v>583.41000000000008</v>
      </c>
      <c r="AX488" s="51">
        <f t="shared" si="238"/>
        <v>26524.859999999993</v>
      </c>
      <c r="AY488" s="51">
        <f t="shared" si="238"/>
        <v>27239.979999999992</v>
      </c>
      <c r="AZ488" s="51">
        <f t="shared" si="238"/>
        <v>28061.399999999994</v>
      </c>
      <c r="BA488" s="51">
        <f t="shared" si="238"/>
        <v>38923.829999999994</v>
      </c>
      <c r="BB488" s="51">
        <f t="shared" si="238"/>
        <v>67403.610000000015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 t="e">
        <f t="shared" si="234"/>
        <v>#REF!</v>
      </c>
      <c r="D489" s="156"/>
      <c r="E489" s="156"/>
      <c r="F489" s="156"/>
      <c r="T489" s="530">
        <v>0</v>
      </c>
      <c r="U489" s="51">
        <f>SUM(U14:U$31)</f>
        <v>1760.0599999999997</v>
      </c>
      <c r="V489" s="51">
        <f>SUM(V13:V$31)</f>
        <v>3040.2799999999997</v>
      </c>
      <c r="W489" s="51">
        <f>SUM(W12:W$31)</f>
        <v>27239.979999999992</v>
      </c>
      <c r="X489" s="51">
        <f>SUM(X11:X$31)</f>
        <v>5262.8100000000013</v>
      </c>
      <c r="Y489" s="51">
        <f>SUM(Y10:Y$31)</f>
        <v>15142.390000000001</v>
      </c>
      <c r="Z489" s="51">
        <f>SUM(Z9:Z$31)</f>
        <v>217277.14999999997</v>
      </c>
      <c r="AA489" s="530">
        <v>0</v>
      </c>
      <c r="AM489" s="42">
        <f t="shared" ref="AM489:BD489" si="239">+AM479</f>
        <v>44927</v>
      </c>
      <c r="AN489" s="51">
        <f t="shared" si="239"/>
        <v>215.1</v>
      </c>
      <c r="AO489" s="51">
        <f t="shared" si="239"/>
        <v>215.1</v>
      </c>
      <c r="AP489" s="51">
        <f t="shared" si="239"/>
        <v>363.37</v>
      </c>
      <c r="AQ489" s="51">
        <f t="shared" si="239"/>
        <v>478.54999999999995</v>
      </c>
      <c r="AR489" s="51">
        <f t="shared" si="239"/>
        <v>478.54999999999995</v>
      </c>
      <c r="AS489" s="51">
        <f t="shared" si="239"/>
        <v>792.33</v>
      </c>
      <c r="AT489" s="51">
        <f t="shared" si="239"/>
        <v>1290.33</v>
      </c>
      <c r="AU489" s="51">
        <f t="shared" si="239"/>
        <v>1477.3899999999999</v>
      </c>
      <c r="AV489" s="51">
        <f t="shared" si="239"/>
        <v>1504.9399999999998</v>
      </c>
      <c r="AW489" s="51">
        <f t="shared" si="239"/>
        <v>2616.39</v>
      </c>
      <c r="AX489" s="51">
        <f t="shared" si="239"/>
        <v>2687.1899999999996</v>
      </c>
      <c r="AY489" s="51">
        <f t="shared" si="239"/>
        <v>5262.8100000000013</v>
      </c>
      <c r="AZ489" s="51">
        <f t="shared" si="239"/>
        <v>6462.8600000000006</v>
      </c>
      <c r="BA489" s="51">
        <f t="shared" si="239"/>
        <v>27496.170000000009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 t="e">
        <f t="shared" si="234"/>
        <v>#REF!</v>
      </c>
      <c r="D490" s="156"/>
      <c r="E490" s="156"/>
      <c r="F490" s="156"/>
      <c r="T490" s="530">
        <v>0</v>
      </c>
      <c r="U490" s="51">
        <f>SUM(U13:U$31)</f>
        <v>1850.3099999999997</v>
      </c>
      <c r="V490" s="51">
        <f>SUM(V12:V$31)</f>
        <v>4382.9800000000005</v>
      </c>
      <c r="W490" s="51">
        <f>SUM(W11:W$31)</f>
        <v>28061.399999999994</v>
      </c>
      <c r="X490" s="51">
        <f>SUM(X10:X$31)</f>
        <v>6462.8600000000006</v>
      </c>
      <c r="Y490" s="51">
        <f>SUM(Y9:Y$31)</f>
        <v>31657.290000000008</v>
      </c>
      <c r="Z490" s="530">
        <v>0</v>
      </c>
      <c r="AM490" s="42">
        <f t="shared" ref="AM490:BD490" si="240">+AM478</f>
        <v>44958</v>
      </c>
      <c r="AN490" s="51">
        <f t="shared" si="240"/>
        <v>0</v>
      </c>
      <c r="AO490" s="51">
        <f t="shared" si="240"/>
        <v>0</v>
      </c>
      <c r="AP490" s="51">
        <f t="shared" si="240"/>
        <v>0</v>
      </c>
      <c r="AQ490" s="51">
        <f t="shared" si="240"/>
        <v>433.93</v>
      </c>
      <c r="AR490" s="51">
        <f t="shared" si="240"/>
        <v>552.68000000000006</v>
      </c>
      <c r="AS490" s="51">
        <f t="shared" si="240"/>
        <v>1092.4100000000001</v>
      </c>
      <c r="AT490" s="51">
        <f t="shared" si="240"/>
        <v>1104.1400000000001</v>
      </c>
      <c r="AU490" s="51">
        <f t="shared" si="240"/>
        <v>1790.43</v>
      </c>
      <c r="AV490" s="51">
        <f t="shared" si="240"/>
        <v>3461.88</v>
      </c>
      <c r="AW490" s="51">
        <f t="shared" si="240"/>
        <v>4495.79</v>
      </c>
      <c r="AX490" s="51">
        <f t="shared" si="240"/>
        <v>7148.2899999999991</v>
      </c>
      <c r="AY490" s="51">
        <f t="shared" si="240"/>
        <v>15142.390000000001</v>
      </c>
      <c r="AZ490" s="51">
        <f t="shared" si="240"/>
        <v>31657.290000000008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 t="e">
        <f t="shared" si="234"/>
        <v>#REF!</v>
      </c>
      <c r="D491" s="156"/>
      <c r="E491" s="156"/>
      <c r="F491" s="156"/>
      <c r="T491" s="530">
        <v>0</v>
      </c>
      <c r="U491" s="51">
        <f>SUM(U12:U$31)</f>
        <v>2148.3200000000002</v>
      </c>
      <c r="V491" s="51">
        <f>SUM(V11:V$31)</f>
        <v>5654.38</v>
      </c>
      <c r="W491" s="51">
        <f>SUM(W10:W$31)</f>
        <v>38923.829999999994</v>
      </c>
      <c r="X491" s="51">
        <f>SUM(X9:X$31)</f>
        <v>27496.170000000009</v>
      </c>
      <c r="Y491" s="530">
        <v>0</v>
      </c>
      <c r="AM491" s="42">
        <f t="shared" ref="AM491:BD491" si="241">+AM477</f>
        <v>44986</v>
      </c>
      <c r="AN491" s="51">
        <f t="shared" si="241"/>
        <v>905.70999999999992</v>
      </c>
      <c r="AO491" s="51">
        <f t="shared" si="241"/>
        <v>2146.1999999999998</v>
      </c>
      <c r="AP491" s="51">
        <f t="shared" si="241"/>
        <v>3332.2599999999998</v>
      </c>
      <c r="AQ491" s="51">
        <f t="shared" si="241"/>
        <v>5533.1399999999994</v>
      </c>
      <c r="AR491" s="51">
        <f t="shared" si="241"/>
        <v>7197.2599999999993</v>
      </c>
      <c r="AS491" s="51">
        <f t="shared" si="241"/>
        <v>11479.15</v>
      </c>
      <c r="AT491" s="51">
        <f t="shared" si="241"/>
        <v>16973.28</v>
      </c>
      <c r="AU491" s="51">
        <f t="shared" si="241"/>
        <v>26561.940000000002</v>
      </c>
      <c r="AV491" s="51">
        <f t="shared" si="241"/>
        <v>30521.480000000003</v>
      </c>
      <c r="AW491" s="51">
        <f t="shared" si="241"/>
        <v>39172.829999999994</v>
      </c>
      <c r="AX491" s="51">
        <f t="shared" si="241"/>
        <v>67121.400000000023</v>
      </c>
      <c r="AY491" s="51">
        <f t="shared" si="241"/>
        <v>217277.14999999997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 t="e">
        <f t="shared" si="234"/>
        <v>#REF!</v>
      </c>
      <c r="D492" s="156"/>
      <c r="E492" s="156"/>
      <c r="F492" s="156"/>
      <c r="T492" s="530">
        <v>0</v>
      </c>
      <c r="U492" s="51">
        <f>SUM(U11:U$31)</f>
        <v>3722.6699999999996</v>
      </c>
      <c r="V492" s="51">
        <f>SUM(V10:V$31)</f>
        <v>9846.5799999999981</v>
      </c>
      <c r="W492" s="51">
        <f>SUM(W9:W$31)</f>
        <v>67403.610000000015</v>
      </c>
      <c r="X492" s="530">
        <v>0</v>
      </c>
      <c r="AM492" s="42">
        <f t="shared" ref="AM492:BD492" si="242">+AM476</f>
        <v>45017</v>
      </c>
      <c r="AN492" s="51">
        <f t="shared" si="242"/>
        <v>98.34</v>
      </c>
      <c r="AO492" s="51">
        <f t="shared" si="242"/>
        <v>497.78</v>
      </c>
      <c r="AP492" s="51">
        <f t="shared" si="242"/>
        <v>3983.98</v>
      </c>
      <c r="AQ492" s="51">
        <f t="shared" si="242"/>
        <v>10818.140000000001</v>
      </c>
      <c r="AR492" s="51">
        <f t="shared" si="242"/>
        <v>12833.050000000001</v>
      </c>
      <c r="AS492" s="51">
        <f t="shared" si="242"/>
        <v>14804.980000000001</v>
      </c>
      <c r="AT492" s="51">
        <f t="shared" si="242"/>
        <v>19839.43</v>
      </c>
      <c r="AU492" s="51">
        <f t="shared" si="242"/>
        <v>25892.44</v>
      </c>
      <c r="AV492" s="51">
        <f t="shared" si="242"/>
        <v>37220.329999999994</v>
      </c>
      <c r="AW492" s="51">
        <f t="shared" si="242"/>
        <v>74196.079999999987</v>
      </c>
      <c r="AX492" s="51">
        <f t="shared" si="242"/>
        <v>196853.53000000006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 t="e">
        <f t="shared" si="234"/>
        <v>#REF!</v>
      </c>
      <c r="D493" s="156"/>
      <c r="E493" s="156"/>
      <c r="F493" s="156"/>
      <c r="T493" s="530">
        <v>0</v>
      </c>
      <c r="U493" s="51">
        <f>SUM(U10:U$31)</f>
        <v>36100.67</v>
      </c>
      <c r="V493" s="51">
        <f>SUM(V9:V$31)</f>
        <v>44942.19999999999</v>
      </c>
      <c r="W493" s="530">
        <v>0</v>
      </c>
      <c r="AM493" s="42">
        <f t="shared" ref="AM493:BD493" si="243">+AM475</f>
        <v>45047</v>
      </c>
      <c r="AN493" s="51">
        <f t="shared" si="243"/>
        <v>740.65</v>
      </c>
      <c r="AO493" s="51">
        <f t="shared" si="243"/>
        <v>3064.68</v>
      </c>
      <c r="AP493" s="51">
        <f t="shared" si="243"/>
        <v>4398.119999999999</v>
      </c>
      <c r="AQ493" s="51">
        <f t="shared" si="243"/>
        <v>9289.19</v>
      </c>
      <c r="AR493" s="51">
        <f t="shared" si="243"/>
        <v>12669.230000000001</v>
      </c>
      <c r="AS493" s="51">
        <f t="shared" si="243"/>
        <v>16661.450000000004</v>
      </c>
      <c r="AT493" s="51">
        <f t="shared" si="243"/>
        <v>25558.890000000003</v>
      </c>
      <c r="AU493" s="51">
        <f t="shared" si="243"/>
        <v>46524.880000000012</v>
      </c>
      <c r="AV493" s="51">
        <f t="shared" si="243"/>
        <v>106793.27999999997</v>
      </c>
      <c r="AW493" s="51">
        <f t="shared" si="243"/>
        <v>302091.38000000024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 t="e">
        <f t="shared" si="234"/>
        <v>#REF!</v>
      </c>
      <c r="D494" s="156"/>
      <c r="E494" s="156"/>
      <c r="F494" s="156"/>
      <c r="T494" s="530">
        <v>0</v>
      </c>
      <c r="U494" s="51">
        <f>SUM(U9:U$31)</f>
        <v>52302.559999999998</v>
      </c>
      <c r="V494" s="530">
        <v>0</v>
      </c>
      <c r="AM494" s="42">
        <f t="shared" ref="AM494:BD494" si="244">+AM474</f>
        <v>45078</v>
      </c>
      <c r="AN494" s="51">
        <f t="shared" si="244"/>
        <v>8899.93</v>
      </c>
      <c r="AO494" s="51">
        <f t="shared" si="244"/>
        <v>11812.11</v>
      </c>
      <c r="AP494" s="51">
        <f t="shared" si="244"/>
        <v>13884.52</v>
      </c>
      <c r="AQ494" s="51">
        <f t="shared" si="244"/>
        <v>16456.900000000001</v>
      </c>
      <c r="AR494" s="51">
        <f t="shared" si="244"/>
        <v>21580.840000000004</v>
      </c>
      <c r="AS494" s="51">
        <f t="shared" si="244"/>
        <v>28971.82</v>
      </c>
      <c r="AT494" s="51">
        <f t="shared" si="244"/>
        <v>40479.370000000003</v>
      </c>
      <c r="AU494" s="51">
        <f t="shared" si="244"/>
        <v>76369.049999999988</v>
      </c>
      <c r="AV494" s="51">
        <f t="shared" si="244"/>
        <v>224323.00000000009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2139.6600000000003</v>
      </c>
      <c r="AO495" s="51">
        <f t="shared" si="245"/>
        <v>3465.13</v>
      </c>
      <c r="AP495" s="51">
        <f t="shared" si="245"/>
        <v>11826.839999999998</v>
      </c>
      <c r="AQ495" s="51">
        <f t="shared" si="245"/>
        <v>18202.519999999997</v>
      </c>
      <c r="AR495" s="51">
        <f t="shared" si="245"/>
        <v>35559.51</v>
      </c>
      <c r="AS495" s="51">
        <f t="shared" si="245"/>
        <v>51221.150000000009</v>
      </c>
      <c r="AT495" s="51">
        <f t="shared" si="245"/>
        <v>72285.790000000023</v>
      </c>
      <c r="AU495" s="51">
        <f t="shared" si="245"/>
        <v>259092.38000000006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2423.3599999999997</v>
      </c>
      <c r="AO496" s="51">
        <f t="shared" si="246"/>
        <v>9622.99</v>
      </c>
      <c r="AP496" s="51">
        <f t="shared" si="246"/>
        <v>16921.199999999997</v>
      </c>
      <c r="AQ496" s="51">
        <f t="shared" si="246"/>
        <v>29255.55</v>
      </c>
      <c r="AR496" s="51">
        <f t="shared" si="246"/>
        <v>48973.600000000013</v>
      </c>
      <c r="AS496" s="51">
        <f t="shared" si="246"/>
        <v>114992.70000000003</v>
      </c>
      <c r="AT496" s="51">
        <f t="shared" si="246"/>
        <v>193804.48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3862.5299999999997</v>
      </c>
      <c r="AO497" s="51">
        <f t="shared" si="247"/>
        <v>12724.469999999998</v>
      </c>
      <c r="AP497" s="51">
        <f t="shared" si="247"/>
        <v>19822.559999999998</v>
      </c>
      <c r="AQ497" s="51">
        <f t="shared" si="247"/>
        <v>30781.609999999993</v>
      </c>
      <c r="AR497" s="51">
        <f t="shared" si="247"/>
        <v>74777.399999999965</v>
      </c>
      <c r="AS497" s="51">
        <f t="shared" si="247"/>
        <v>182878.47999999998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6162.9800000000005</v>
      </c>
      <c r="AO498" s="51">
        <f t="shared" si="248"/>
        <v>13359.02</v>
      </c>
      <c r="AP498" s="51">
        <f t="shared" si="248"/>
        <v>29536.34</v>
      </c>
      <c r="AQ498" s="51">
        <f t="shared" si="248"/>
        <v>72895.389999999985</v>
      </c>
      <c r="AR498" s="51">
        <f t="shared" si="248"/>
        <v>255738.90000000023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1974.7399999999998</v>
      </c>
      <c r="AO499" s="51">
        <f t="shared" si="249"/>
        <v>28467.369999999995</v>
      </c>
      <c r="AP499" s="51">
        <f t="shared" si="249"/>
        <v>96828.13999999997</v>
      </c>
      <c r="AQ499" s="51">
        <f t="shared" si="249"/>
        <v>242780.49000000005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19436.599999999999</v>
      </c>
      <c r="AO500" s="51">
        <f t="shared" si="250"/>
        <v>58620.97</v>
      </c>
      <c r="AP500" s="51">
        <f t="shared" si="250"/>
        <v>201549.64000000007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24106.75</v>
      </c>
      <c r="AO501" s="51">
        <f t="shared" si="251"/>
        <v>193276.84999999998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73477.610000000044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zoomScaleNormal="100" zoomScaleSheetLayoutView="110" workbookViewId="0">
      <selection activeCell="H2" sqref="H2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3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AAMG - Commercial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510037.16773511516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0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510037.16773511516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5892</v>
      </c>
      <c r="C11" s="53">
        <f ca="1">X11</f>
        <v>227019</v>
      </c>
      <c r="D11" s="53">
        <f>-Data!BZ8</f>
        <v>0</v>
      </c>
      <c r="E11" s="53">
        <f ca="1">C11+D11</f>
        <v>227019</v>
      </c>
      <c r="F11" s="54">
        <f ca="1">IF(B11=0,0,E11/B11)</f>
        <v>38.530040733197559</v>
      </c>
      <c r="G11" s="30"/>
      <c r="H11" s="53">
        <f>+Data!$CA8</f>
        <v>39963.089999999982</v>
      </c>
      <c r="I11" s="30"/>
      <c r="J11" s="55">
        <f ca="1">IF(B11=0,0,H11/E11)</f>
        <v>0.17603412049211731</v>
      </c>
      <c r="K11" s="30"/>
      <c r="L11" s="53">
        <f ca="1">E11-H11</f>
        <v>187055.91000000003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31.747438900203672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227019</v>
      </c>
      <c r="W11" s="53">
        <f>Log!$N40</f>
        <v>0</v>
      </c>
      <c r="X11" s="53">
        <f t="shared" ref="X11:X22" ca="1" si="4">IF(X$8=1,V11,W11)</f>
        <v>227019</v>
      </c>
      <c r="Y11" s="53">
        <f ca="1">X11</f>
        <v>227019</v>
      </c>
      <c r="AA11" s="610">
        <f t="shared" si="0"/>
        <v>44834</v>
      </c>
      <c r="AB11" s="51">
        <f ca="1">$Y28</f>
        <v>3797756.5747651816</v>
      </c>
      <c r="AC11" s="51">
        <f>SUM(Data!U$142:'Data'!$AL$142)</f>
        <v>3456712.37</v>
      </c>
      <c r="AD11" s="43">
        <f t="shared" ref="AD11:AD27" ca="1" si="5">$L$47-AB11+AC11</f>
        <v>59152.962969933636</v>
      </c>
      <c r="AE11" s="43">
        <f ca="1">AE12-L28</f>
        <v>106.59296993405587</v>
      </c>
      <c r="AF11" s="43">
        <f t="shared" ref="AF11:AF29" ca="1" si="6">AD11-AE11</f>
        <v>59046.369999999581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5831</v>
      </c>
      <c r="C12" s="53">
        <f t="shared" ref="C12:C46" ca="1" si="7">X12</f>
        <v>203371</v>
      </c>
      <c r="D12" s="53">
        <f>-Data!BZ9</f>
        <v>0</v>
      </c>
      <c r="E12" s="53">
        <f t="shared" ref="E12:E28" ca="1" si="8">C12+D12</f>
        <v>203371</v>
      </c>
      <c r="F12" s="54">
        <f t="shared" ref="F12:F28" ca="1" si="9">IF(B12=0,0,E12/B12)</f>
        <v>34.877551020408163</v>
      </c>
      <c r="G12" s="30"/>
      <c r="H12" s="53">
        <f>+Data!$CA9</f>
        <v>129661.01000000001</v>
      </c>
      <c r="I12" s="30"/>
      <c r="J12" s="55">
        <f t="shared" ref="J12:J46" ca="1" si="10">IF(B12=0,0,H12/E12)</f>
        <v>0.63755899317011766</v>
      </c>
      <c r="K12" s="30"/>
      <c r="L12" s="53">
        <f t="shared" ref="L12:L46" ca="1" si="11">E12-H12</f>
        <v>73709.989999999991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12.641054707597323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203371</v>
      </c>
      <c r="W12" s="53">
        <f>Log!$N41</f>
        <v>0</v>
      </c>
      <c r="X12" s="53">
        <f t="shared" ca="1" si="4"/>
        <v>203371</v>
      </c>
      <c r="Y12" s="53">
        <f ca="1">SUM(X$11:X12)</f>
        <v>430390</v>
      </c>
      <c r="AA12" s="610">
        <f t="shared" si="0"/>
        <v>44865</v>
      </c>
      <c r="AB12" s="51">
        <f ca="1">$Y27</f>
        <v>3730595.6014178353</v>
      </c>
      <c r="AC12" s="51">
        <f>SUM(Data!V$142:'Data'!$AL$142)</f>
        <v>3402503.3600000003</v>
      </c>
      <c r="AD12" s="43">
        <f t="shared" ca="1" si="5"/>
        <v>72104.926317280158</v>
      </c>
      <c r="AE12" s="43">
        <f ca="1">AE13-L27</f>
        <v>216.23631728013424</v>
      </c>
      <c r="AF12" s="43">
        <f t="shared" ca="1" si="6"/>
        <v>71888.690000000031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5760</v>
      </c>
      <c r="C13" s="53">
        <f t="shared" ca="1" si="7"/>
        <v>269622</v>
      </c>
      <c r="D13" s="53">
        <f>-Data!BZ10</f>
        <v>0</v>
      </c>
      <c r="E13" s="53">
        <f t="shared" ca="1" si="8"/>
        <v>269622</v>
      </c>
      <c r="F13" s="54">
        <f t="shared" ca="1" si="9"/>
        <v>46.809375000000003</v>
      </c>
      <c r="G13" s="30"/>
      <c r="H13" s="53">
        <f>+Data!$CA10</f>
        <v>237774.08999999997</v>
      </c>
      <c r="I13" s="30"/>
      <c r="J13" s="55">
        <f t="shared" ca="1" si="10"/>
        <v>0.88187940895030814</v>
      </c>
      <c r="K13" s="30"/>
      <c r="L13" s="53">
        <f t="shared" ca="1" si="11"/>
        <v>31847.910000000033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5.5291510416666725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269622</v>
      </c>
      <c r="W13" s="53">
        <f>Log!$N42</f>
        <v>0</v>
      </c>
      <c r="X13" s="53">
        <f t="shared" ca="1" si="4"/>
        <v>269622</v>
      </c>
      <c r="Y13" s="53">
        <f ca="1">SUM(X$11:X13)</f>
        <v>700012</v>
      </c>
      <c r="Z13" s="66"/>
      <c r="AA13" s="610">
        <f t="shared" si="0"/>
        <v>44895</v>
      </c>
      <c r="AB13" s="51">
        <f ca="1">$Y26</f>
        <v>3680873.7367463359</v>
      </c>
      <c r="AC13" s="51">
        <f>SUM(Data!W$142:'Data'!$AL$142)</f>
        <v>3377385.22</v>
      </c>
      <c r="AD13" s="43">
        <f t="shared" ca="1" si="5"/>
        <v>96708.650988779496</v>
      </c>
      <c r="AE13" s="43">
        <f ca="1">AE14-L26</f>
        <v>318.6009887797627</v>
      </c>
      <c r="AF13" s="43">
        <f t="shared" ca="1" si="6"/>
        <v>96390.049999999726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5910</v>
      </c>
      <c r="C14" s="53">
        <f t="shared" ca="1" si="7"/>
        <v>259356</v>
      </c>
      <c r="D14" s="53">
        <f>-Data!BZ11</f>
        <v>0</v>
      </c>
      <c r="E14" s="53">
        <f t="shared" ca="1" si="8"/>
        <v>259356</v>
      </c>
      <c r="F14" s="54">
        <f t="shared" ca="1" si="9"/>
        <v>43.884263959390864</v>
      </c>
      <c r="G14" s="30"/>
      <c r="H14" s="53">
        <f>+Data!$CA11</f>
        <v>233438.95000000007</v>
      </c>
      <c r="I14" s="30"/>
      <c r="J14" s="55">
        <f t="shared" ca="1" si="10"/>
        <v>0.90007152331158746</v>
      </c>
      <c r="K14" s="30"/>
      <c r="L14" s="53">
        <f t="shared" ca="1" si="11"/>
        <v>25917.04999999993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4.3852876480541338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259356</v>
      </c>
      <c r="W14" s="53">
        <f ca="1">Log!$N43</f>
        <v>65925</v>
      </c>
      <c r="X14" s="53">
        <f t="shared" ca="1" si="4"/>
        <v>259356</v>
      </c>
      <c r="Y14" s="53">
        <f ca="1">SUM(X$11:X14)</f>
        <v>959368</v>
      </c>
      <c r="Z14" s="66"/>
      <c r="AA14" s="610">
        <f t="shared" si="0"/>
        <v>44926</v>
      </c>
      <c r="AB14" s="51">
        <f ca="1">$Y25</f>
        <v>3600026.1704403288</v>
      </c>
      <c r="AC14" s="51">
        <f>SUM(Data!X$142:'Data'!$AL$142)</f>
        <v>3287125.4000000004</v>
      </c>
      <c r="AD14" s="43">
        <f t="shared" ca="1" si="5"/>
        <v>87296.397294786759</v>
      </c>
      <c r="AE14" s="43">
        <f ca="1">AE15-L25</f>
        <v>486.41729478684283</v>
      </c>
      <c r="AF14" s="43">
        <f t="shared" ca="1" si="6"/>
        <v>86809.979999999923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6019</v>
      </c>
      <c r="C15" s="53">
        <f t="shared" ca="1" si="7"/>
        <v>307863</v>
      </c>
      <c r="D15" s="53">
        <f>-Data!BZ12</f>
        <v>0</v>
      </c>
      <c r="E15" s="53">
        <f t="shared" ca="1" si="8"/>
        <v>307863</v>
      </c>
      <c r="F15" s="54">
        <f t="shared" ca="1" si="9"/>
        <v>51.148529656089053</v>
      </c>
      <c r="G15" s="30"/>
      <c r="H15" s="53">
        <f>+Data!$CA12</f>
        <v>282059.79000000004</v>
      </c>
      <c r="I15" s="30"/>
      <c r="J15" s="55">
        <f t="shared" ca="1" si="10"/>
        <v>0.91618606328139474</v>
      </c>
      <c r="K15" s="30"/>
      <c r="L15" s="53">
        <f t="shared" ca="1" si="11"/>
        <v>25803.209999999963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4.2869596278451505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307863</v>
      </c>
      <c r="W15" s="53">
        <f ca="1">Log!$N44</f>
        <v>272295</v>
      </c>
      <c r="X15" s="53">
        <f t="shared" ca="1" si="4"/>
        <v>307863</v>
      </c>
      <c r="Y15" s="53">
        <f ca="1">SUM(X$11:X15)</f>
        <v>1267231</v>
      </c>
      <c r="AA15" s="610">
        <f t="shared" si="0"/>
        <v>44957</v>
      </c>
      <c r="AB15" s="51">
        <f ca="1">$Y24</f>
        <v>3562587.9978223648</v>
      </c>
      <c r="AC15" s="51">
        <f>SUM(Data!Y$142:'Data'!$AL$142)</f>
        <v>3241837.1700000004</v>
      </c>
      <c r="AD15" s="43">
        <f t="shared" ca="1" si="5"/>
        <v>79446.339912750758</v>
      </c>
      <c r="AE15" s="43">
        <f ca="1">AE16-L24</f>
        <v>564.33991275102017</v>
      </c>
      <c r="AF15" s="43">
        <f t="shared" ca="1" si="6"/>
        <v>78881.999999999738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6813</v>
      </c>
      <c r="C16" s="53">
        <f t="shared" ca="1" si="7"/>
        <v>299907</v>
      </c>
      <c r="D16" s="53">
        <f>-Data!BZ13</f>
        <v>0</v>
      </c>
      <c r="E16" s="53">
        <f t="shared" ca="1" si="8"/>
        <v>299907</v>
      </c>
      <c r="F16" s="54">
        <f t="shared" ca="1" si="9"/>
        <v>44.019815059445179</v>
      </c>
      <c r="G16" s="30"/>
      <c r="H16" s="53">
        <f>+Data!$CA13</f>
        <v>281445.81000000017</v>
      </c>
      <c r="I16" s="30"/>
      <c r="J16" s="55">
        <f t="shared" ca="1" si="10"/>
        <v>0.93844361752143224</v>
      </c>
      <c r="K16" s="30"/>
      <c r="L16" s="53">
        <f t="shared" ca="1" si="11"/>
        <v>18461.189999999828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2.7097005724350254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299907</v>
      </c>
      <c r="W16" s="53">
        <f ca="1">Log!$N45</f>
        <v>284647</v>
      </c>
      <c r="X16" s="53">
        <f t="shared" ca="1" si="4"/>
        <v>299907</v>
      </c>
      <c r="Y16" s="53">
        <f ca="1">SUM(X$11:X16)</f>
        <v>1567138</v>
      </c>
      <c r="Z16" s="66"/>
      <c r="AA16" s="610">
        <f t="shared" si="0"/>
        <v>44985</v>
      </c>
      <c r="AB16" s="51">
        <f ca="1">$Y23</f>
        <v>3523643.6781033631</v>
      </c>
      <c r="AC16" s="51">
        <f>SUM(Data!Z$142:'Data'!$AL$142)</f>
        <v>3198545.5300000003</v>
      </c>
      <c r="AD16" s="43">
        <f t="shared" ca="1" si="5"/>
        <v>75099.019631752279</v>
      </c>
      <c r="AE16" s="43">
        <f ca="1">AE17-L23</f>
        <v>682.68963175249519</v>
      </c>
      <c r="AF16" s="43">
        <f t="shared" ca="1" si="6"/>
        <v>74416.329999999783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7169</v>
      </c>
      <c r="C17" s="53">
        <f t="shared" ca="1" si="7"/>
        <v>237341</v>
      </c>
      <c r="D17" s="53">
        <f>-Data!BZ14</f>
        <v>0</v>
      </c>
      <c r="E17" s="53">
        <f t="shared" ca="1" si="8"/>
        <v>237341</v>
      </c>
      <c r="F17" s="54">
        <f t="shared" ca="1" si="9"/>
        <v>33.106569953968474</v>
      </c>
      <c r="G17" s="30"/>
      <c r="H17" s="53">
        <f>+Data!$CA14</f>
        <v>226458.18999999994</v>
      </c>
      <c r="I17" s="30"/>
      <c r="J17" s="55">
        <f t="shared" ca="1" si="10"/>
        <v>0.95414694469139316</v>
      </c>
      <c r="K17" s="30"/>
      <c r="L17" s="53">
        <f t="shared" ca="1" si="11"/>
        <v>10882.810000000056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1.518037383177578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237341</v>
      </c>
      <c r="W17" s="53">
        <f ca="1">Log!$N46</f>
        <v>254344</v>
      </c>
      <c r="X17" s="53">
        <f t="shared" ca="1" si="4"/>
        <v>237341</v>
      </c>
      <c r="Y17" s="53">
        <f ca="1">SUM(X$11:X17)</f>
        <v>1804479</v>
      </c>
      <c r="Z17" s="66"/>
      <c r="AA17" s="610">
        <f t="shared" si="0"/>
        <v>45016</v>
      </c>
      <c r="AB17" s="51">
        <f ca="1">$Y22</f>
        <v>3276722</v>
      </c>
      <c r="AC17" s="51">
        <f>SUM(Data!AA$142:'Data'!$AL$142)</f>
        <v>3149648.85</v>
      </c>
      <c r="AD17" s="43">
        <f t="shared" ca="1" si="5"/>
        <v>273124.01773511525</v>
      </c>
      <c r="AE17" s="43">
        <f ca="1">AE18-L22</f>
        <v>1568.5777351156285</v>
      </c>
      <c r="AF17" s="43">
        <f t="shared" ca="1" si="6"/>
        <v>271555.43999999959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7204</v>
      </c>
      <c r="C18" s="53">
        <f t="shared" ca="1" si="7"/>
        <v>302144</v>
      </c>
      <c r="D18" s="53">
        <f>-Data!BZ15</f>
        <v>0</v>
      </c>
      <c r="E18" s="53">
        <f t="shared" ca="1" si="8"/>
        <v>302144</v>
      </c>
      <c r="F18" s="54">
        <f t="shared" ca="1" si="9"/>
        <v>41.941143808995001</v>
      </c>
      <c r="G18" s="30"/>
      <c r="H18" s="53">
        <f>+Data!$CA15</f>
        <v>291451.95</v>
      </c>
      <c r="I18" s="30"/>
      <c r="J18" s="55">
        <f t="shared" ca="1" si="10"/>
        <v>0.96461273432535488</v>
      </c>
      <c r="K18" s="30"/>
      <c r="L18" s="53">
        <f t="shared" ca="1" si="11"/>
        <v>10692.049999999988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1.4841823986674054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302144</v>
      </c>
      <c r="W18" s="53">
        <f ca="1">Log!$N47</f>
        <v>301816</v>
      </c>
      <c r="X18" s="53">
        <f t="shared" ca="1" si="4"/>
        <v>302144</v>
      </c>
      <c r="Y18" s="53">
        <f ca="1">SUM(X$11:X18)</f>
        <v>2106623</v>
      </c>
      <c r="AA18" s="610">
        <f t="shared" si="0"/>
        <v>45046</v>
      </c>
      <c r="AB18" s="51">
        <f ca="1">$Y21</f>
        <v>3027985</v>
      </c>
      <c r="AC18" s="51">
        <f>SUM(Data!AB$142:'Data'!$AL$142)</f>
        <v>2934708.0500000003</v>
      </c>
      <c r="AD18" s="43">
        <f t="shared" ca="1" si="5"/>
        <v>306920.21773511544</v>
      </c>
      <c r="AE18" s="43">
        <f ca="1">AE19-L21</f>
        <v>2915.2877351156203</v>
      </c>
      <c r="AF18" s="43">
        <f t="shared" ca="1" si="6"/>
        <v>304004.92999999982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7219</v>
      </c>
      <c r="C19" s="53">
        <f t="shared" ca="1" si="7"/>
        <v>310223</v>
      </c>
      <c r="D19" s="53">
        <f>-Data!BZ16</f>
        <v>0</v>
      </c>
      <c r="E19" s="53">
        <f t="shared" ca="1" si="8"/>
        <v>310223</v>
      </c>
      <c r="F19" s="54">
        <f t="shared" ca="1" si="9"/>
        <v>42.973126471810502</v>
      </c>
      <c r="G19" s="30"/>
      <c r="H19" s="53">
        <f>+Data!$CA16</f>
        <v>302917.12</v>
      </c>
      <c r="I19" s="30"/>
      <c r="J19" s="55">
        <f t="shared" ca="1" si="10"/>
        <v>0.97644958626536393</v>
      </c>
      <c r="K19" s="30"/>
      <c r="L19" s="53">
        <f t="shared" ca="1" si="11"/>
        <v>7305.8800000000047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1.0120349078819788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310223</v>
      </c>
      <c r="W19" s="53">
        <f ca="1">Log!$N48</f>
        <v>293175</v>
      </c>
      <c r="X19" s="53">
        <f t="shared" ca="1" si="4"/>
        <v>310223</v>
      </c>
      <c r="Y19" s="53">
        <f ca="1">SUM(X$11:X19)</f>
        <v>2416846</v>
      </c>
      <c r="Z19" s="66"/>
      <c r="AA19" s="610">
        <f t="shared" si="0"/>
        <v>45077</v>
      </c>
      <c r="AB19" s="51">
        <f ca="1">$Y20</f>
        <v>2684707</v>
      </c>
      <c r="AC19" s="51">
        <f>SUM(Data!AC$142:'Data'!$AL$142)</f>
        <v>2715939.2900000005</v>
      </c>
      <c r="AD19" s="43">
        <f t="shared" ca="1" si="5"/>
        <v>431429.45773511566</v>
      </c>
      <c r="AE19" s="43">
        <f ca="1">AE20-L20</f>
        <v>5533.8977351153735</v>
      </c>
      <c r="AF19" s="43">
        <f t="shared" ca="1" si="6"/>
        <v>425895.56000000029</v>
      </c>
      <c r="AH19" s="28" t="s">
        <v>428</v>
      </c>
      <c r="AI19" s="178">
        <v>2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7227</v>
      </c>
      <c r="C20" s="53">
        <f t="shared" ca="1" si="7"/>
        <v>267861</v>
      </c>
      <c r="D20" s="53">
        <f>-Data!BZ17</f>
        <v>0</v>
      </c>
      <c r="E20" s="53">
        <f t="shared" ca="1" si="8"/>
        <v>267861</v>
      </c>
      <c r="F20" s="54">
        <f t="shared" ca="1" si="9"/>
        <v>37.06392694063927</v>
      </c>
      <c r="G20" s="30"/>
      <c r="H20" s="53">
        <f>+Data!$CA17</f>
        <v>264873.73000000004</v>
      </c>
      <c r="I20" s="30"/>
      <c r="J20" s="55">
        <f t="shared" ca="1" si="10"/>
        <v>0.98884768592665617</v>
      </c>
      <c r="K20" s="30"/>
      <c r="L20" s="53">
        <f t="shared" ca="1" si="11"/>
        <v>2987.2699999999604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0.41334855403348009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267861</v>
      </c>
      <c r="W20" s="53">
        <f ca="1">Log!$N49</f>
        <v>279808</v>
      </c>
      <c r="X20" s="53">
        <f t="shared" ca="1" si="4"/>
        <v>267861</v>
      </c>
      <c r="Y20" s="53">
        <f ca="1">SUM(X$11:X20)</f>
        <v>2684707</v>
      </c>
      <c r="Z20" s="66"/>
      <c r="AA20" s="610">
        <f t="shared" si="0"/>
        <v>45107</v>
      </c>
      <c r="AB20" s="51">
        <f ca="1">$Y19</f>
        <v>2416846</v>
      </c>
      <c r="AC20" s="51">
        <f>SUM(Data!AD$142:'Data'!$AL$142)</f>
        <v>2431995.35</v>
      </c>
      <c r="AD20" s="43">
        <f t="shared" ca="1" si="5"/>
        <v>415346.51773511525</v>
      </c>
      <c r="AE20" s="43">
        <f ca="1">AE21-L19</f>
        <v>8521.1677351153339</v>
      </c>
      <c r="AF20" s="43">
        <f t="shared" ca="1" si="6"/>
        <v>406825.34999999992</v>
      </c>
      <c r="AI20" t="str">
        <f>CHOOSE(AI19,AH5,AH6,AH7,AH8,AH9,AH10,AH11,AH12,AH13,AH14,AH15,AH16,AH17,AH18)</f>
        <v>6 Month Method</v>
      </c>
    </row>
    <row r="21" spans="1:41" ht="11.1" customHeight="1" x14ac:dyDescent="0.2">
      <c r="A21" s="52">
        <f>Data!$AN18</f>
        <v>45047</v>
      </c>
      <c r="B21" s="35">
        <f>+Data!AO18</f>
        <v>7193</v>
      </c>
      <c r="C21" s="53">
        <f t="shared" ca="1" si="7"/>
        <v>343278</v>
      </c>
      <c r="D21" s="53">
        <f>-Data!BZ18</f>
        <v>0</v>
      </c>
      <c r="E21" s="53">
        <f t="shared" ca="1" si="8"/>
        <v>343278</v>
      </c>
      <c r="F21" s="54">
        <f t="shared" ca="1" si="9"/>
        <v>47.723898234394554</v>
      </c>
      <c r="G21" s="30"/>
      <c r="H21" s="53">
        <f>+Data!$CA18</f>
        <v>340659.39000000025</v>
      </c>
      <c r="I21" s="30"/>
      <c r="J21" s="55">
        <f t="shared" ca="1" si="10"/>
        <v>0.99237175117543286</v>
      </c>
      <c r="K21" s="30"/>
      <c r="L21" s="53">
        <f t="shared" ca="1" si="11"/>
        <v>2618.6099999997532</v>
      </c>
      <c r="M21" s="178" t="str">
        <f t="shared" ca="1" si="12"/>
        <v/>
      </c>
      <c r="Q21" s="52">
        <f t="shared" si="1"/>
        <v>45047</v>
      </c>
      <c r="R21" s="54">
        <f t="shared" ca="1" si="2"/>
        <v>0.36404977061028126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343278</v>
      </c>
      <c r="W21" s="116">
        <f ca="1">V21</f>
        <v>343278</v>
      </c>
      <c r="X21" s="53">
        <f t="shared" ca="1" si="4"/>
        <v>343278</v>
      </c>
      <c r="Y21" s="53">
        <f ca="1">SUM(X$11:X21)</f>
        <v>3027985</v>
      </c>
      <c r="AA21" s="610">
        <f t="shared" si="0"/>
        <v>45138</v>
      </c>
      <c r="AB21" s="51">
        <f ca="1">$Y18</f>
        <v>2106623</v>
      </c>
      <c r="AC21" s="51">
        <f>SUM(Data!AE$142:'Data'!$AL$142)</f>
        <v>2162305.12</v>
      </c>
      <c r="AD21" s="43">
        <f t="shared" ca="1" si="5"/>
        <v>455879.28773511527</v>
      </c>
      <c r="AE21" s="43">
        <f ca="1">AE22-L18</f>
        <v>15827.047735115339</v>
      </c>
      <c r="AF21" s="43">
        <f t="shared" ca="1" si="6"/>
        <v>440052.23999999993</v>
      </c>
    </row>
    <row r="22" spans="1:41" ht="11.1" customHeight="1" x14ac:dyDescent="0.2">
      <c r="A22" s="52">
        <f>Data!$AN19</f>
        <v>45017</v>
      </c>
      <c r="B22" s="35">
        <f>+Data!AO19</f>
        <v>7156</v>
      </c>
      <c r="C22" s="53">
        <f t="shared" ca="1" si="7"/>
        <v>248737</v>
      </c>
      <c r="D22" s="53">
        <f>-Data!BZ19</f>
        <v>0</v>
      </c>
      <c r="E22" s="53">
        <f t="shared" ca="1" si="8"/>
        <v>248737</v>
      </c>
      <c r="F22" s="54">
        <f t="shared" ca="1" si="9"/>
        <v>34.759223029625488</v>
      </c>
      <c r="G22" s="30"/>
      <c r="H22" s="53">
        <f>+Data!$CA19</f>
        <v>247390.29</v>
      </c>
      <c r="I22" s="30"/>
      <c r="J22" s="55">
        <f t="shared" ca="1" si="10"/>
        <v>0.99458580749948744</v>
      </c>
      <c r="K22" s="30"/>
      <c r="L22" s="53">
        <f t="shared" ca="1" si="11"/>
        <v>1346.7099999999919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0.18819312465064167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248737</v>
      </c>
      <c r="W22" s="116">
        <f ca="1">V22</f>
        <v>248737</v>
      </c>
      <c r="X22" s="53">
        <f t="shared" ca="1" si="4"/>
        <v>248737</v>
      </c>
      <c r="Y22" s="53">
        <f ca="1">SUM(X$11:X22)</f>
        <v>3276722</v>
      </c>
      <c r="Z22" s="66"/>
      <c r="AA22" s="610">
        <f t="shared" si="0"/>
        <v>45169</v>
      </c>
      <c r="AB22" s="51">
        <f ca="1">$Y17</f>
        <v>1804479</v>
      </c>
      <c r="AC22" s="51">
        <f>SUM(Data!AF$142:'Data'!$AL$142)</f>
        <v>1804277.7600000005</v>
      </c>
      <c r="AD22" s="43">
        <f t="shared" ca="1" si="5"/>
        <v>399995.92773511563</v>
      </c>
      <c r="AE22" s="43">
        <f ca="1">AE23-L17</f>
        <v>26519.097735115327</v>
      </c>
      <c r="AF22" s="43">
        <f t="shared" ca="1" si="6"/>
        <v>373476.83000000031</v>
      </c>
    </row>
    <row r="23" spans="1:41" ht="11.1" customHeight="1" x14ac:dyDescent="0.2">
      <c r="A23" s="52">
        <f>Data!$AN20</f>
        <v>44986</v>
      </c>
      <c r="B23" s="35">
        <f>+Data!AO20</f>
        <v>7104</v>
      </c>
      <c r="C23" s="53">
        <f t="shared" si="7"/>
        <v>246921.67810336311</v>
      </c>
      <c r="D23" s="53">
        <f>-Data!BZ20</f>
        <v>0</v>
      </c>
      <c r="E23" s="53">
        <f t="shared" si="8"/>
        <v>246921.67810336311</v>
      </c>
      <c r="F23" s="54">
        <f t="shared" si="9"/>
        <v>34.758119102387823</v>
      </c>
      <c r="G23" s="30"/>
      <c r="H23" s="53">
        <f>+Data!$CA20</f>
        <v>246035.78999999998</v>
      </c>
      <c r="I23" s="30"/>
      <c r="J23" s="55">
        <f t="shared" si="10"/>
        <v>0.99641227084568773</v>
      </c>
      <c r="K23" s="30"/>
      <c r="L23" s="53">
        <f t="shared" si="11"/>
        <v>885.88810336313327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246921.67810336311</v>
      </c>
      <c r="Y23" s="53">
        <f ca="1">SUM(X$11:X23)</f>
        <v>3523643.6781033631</v>
      </c>
      <c r="Z23" s="66"/>
      <c r="AA23" s="610">
        <f t="shared" si="0"/>
        <v>45199</v>
      </c>
      <c r="AB23" s="51">
        <f ca="1">$Y16</f>
        <v>1567138</v>
      </c>
      <c r="AC23" s="51">
        <f>SUM(Data!AG$142:'Data'!$AL$142)</f>
        <v>1628397.1700000002</v>
      </c>
      <c r="AD23" s="43">
        <f t="shared" ca="1" si="5"/>
        <v>461456.33773511532</v>
      </c>
      <c r="AE23" s="43">
        <f ca="1">AE24-L16</f>
        <v>37401.907735115383</v>
      </c>
      <c r="AF23" s="43">
        <f t="shared" ca="1" si="6"/>
        <v>424054.42999999993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1190</v>
      </c>
      <c r="C24" s="53">
        <f t="shared" si="7"/>
        <v>38944.319719001476</v>
      </c>
      <c r="D24" s="53">
        <f>-Data!BZ21</f>
        <v>0</v>
      </c>
      <c r="E24" s="53">
        <f t="shared" si="8"/>
        <v>38944.319719001476</v>
      </c>
      <c r="F24" s="54">
        <f t="shared" si="9"/>
        <v>32.72631909159788</v>
      </c>
      <c r="G24" s="30"/>
      <c r="H24" s="53">
        <f>+Data!$CA21</f>
        <v>38825.97</v>
      </c>
      <c r="I24" s="30"/>
      <c r="J24" s="55">
        <f t="shared" si="10"/>
        <v>0.9969610531174915</v>
      </c>
      <c r="K24" s="30"/>
      <c r="L24" s="53">
        <f t="shared" si="11"/>
        <v>118.34971900147502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38944.319719001476</v>
      </c>
      <c r="Y24" s="53">
        <f ca="1">SUM(X$11:X24)</f>
        <v>3562587.9978223648</v>
      </c>
      <c r="Z24" s="66"/>
      <c r="AA24" s="610">
        <f t="shared" si="0"/>
        <v>45230</v>
      </c>
      <c r="AB24" s="51">
        <f ca="1">$Y15</f>
        <v>1267231</v>
      </c>
      <c r="AC24" s="51">
        <f>SUM(Data!AH$142:'Data'!$AL$142)</f>
        <v>1393908.8100000003</v>
      </c>
      <c r="AD24" s="43">
        <f t="shared" ca="1" si="5"/>
        <v>526874.97773511545</v>
      </c>
      <c r="AE24" s="43">
        <f ca="1">AE25-L15</f>
        <v>55863.097735115211</v>
      </c>
      <c r="AF24" s="43">
        <f t="shared" ca="1" si="6"/>
        <v>471011.88000000024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1152</v>
      </c>
      <c r="C25" s="53">
        <f t="shared" si="7"/>
        <v>37438.172617964185</v>
      </c>
      <c r="D25" s="53">
        <f>-Data!BZ22</f>
        <v>0</v>
      </c>
      <c r="E25" s="53">
        <f t="shared" si="8"/>
        <v>37438.172617964185</v>
      </c>
      <c r="F25" s="54">
        <f t="shared" si="9"/>
        <v>32.49841373087169</v>
      </c>
      <c r="G25" s="30"/>
      <c r="H25" s="53">
        <f>+Data!$CA22</f>
        <v>37360.250000000007</v>
      </c>
      <c r="I25" s="30"/>
      <c r="J25" s="55">
        <f t="shared" si="10"/>
        <v>0.99791863190654806</v>
      </c>
      <c r="K25" s="30"/>
      <c r="L25" s="53">
        <f t="shared" si="11"/>
        <v>77.922617964177334</v>
      </c>
      <c r="M25" s="178" t="str">
        <f t="shared" si="12"/>
        <v/>
      </c>
      <c r="N25" s="59" t="str">
        <f ca="1">"IBNR Estimate =  "&amp;FIXED(+L47/SUM(C11:C13)*3,2,TRUE)&amp;"  Months"</f>
        <v>IBNR Estimate =  1.72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37438.172617964185</v>
      </c>
      <c r="Y25" s="53">
        <f ca="1">SUM(X$11:X25)</f>
        <v>3600026.1704403288</v>
      </c>
      <c r="Z25" s="66"/>
      <c r="AA25" s="610">
        <f t="shared" si="0"/>
        <v>45260</v>
      </c>
      <c r="AB25" s="51">
        <f ca="1">$Y14</f>
        <v>959368</v>
      </c>
      <c r="AC25" s="51">
        <f>SUM(Data!AI$142:'Data'!$AL$142)</f>
        <v>1077872.3500000001</v>
      </c>
      <c r="AD25" s="43">
        <f t="shared" ca="1" si="5"/>
        <v>518701.51773511525</v>
      </c>
      <c r="AE25" s="43">
        <f ca="1">AE26-L14</f>
        <v>81666.307735115173</v>
      </c>
      <c r="AF25" s="43">
        <f t="shared" ca="1" si="6"/>
        <v>437035.21000000008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1136</v>
      </c>
      <c r="C26" s="53">
        <f t="shared" si="7"/>
        <v>80847.56630600708</v>
      </c>
      <c r="D26" s="53">
        <f>-Data!BZ23</f>
        <v>0</v>
      </c>
      <c r="E26" s="53">
        <f t="shared" si="8"/>
        <v>80847.56630600708</v>
      </c>
      <c r="F26" s="54">
        <f t="shared" si="9"/>
        <v>71.168632311625956</v>
      </c>
      <c r="G26" s="30"/>
      <c r="H26" s="53">
        <f>+Data!$CA23</f>
        <v>80679.75</v>
      </c>
      <c r="I26" s="30"/>
      <c r="J26" s="55">
        <f t="shared" si="10"/>
        <v>0.99792428747487716</v>
      </c>
      <c r="K26" s="30"/>
      <c r="L26" s="53">
        <f t="shared" si="11"/>
        <v>167.81630600708013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80847.56630600708</v>
      </c>
      <c r="Y26" s="53">
        <f ca="1">SUM(X$11:X26)</f>
        <v>3680873.7367463359</v>
      </c>
      <c r="Z26" s="66"/>
      <c r="AA26" s="610">
        <f t="shared" si="0"/>
        <v>45291</v>
      </c>
      <c r="AB26" s="51">
        <f ca="1">$Y13</f>
        <v>700012</v>
      </c>
      <c r="AC26" s="51">
        <f>SUM(Data!AJ$142:'Data'!$AL$142)</f>
        <v>809852</v>
      </c>
      <c r="AD26" s="43">
        <f t="shared" ca="1" si="5"/>
        <v>510037.16773511516</v>
      </c>
      <c r="AE26" s="43">
        <f ca="1">AE27-L13</f>
        <v>107583.3577351151</v>
      </c>
      <c r="AF26" s="43">
        <f t="shared" ca="1" si="6"/>
        <v>402453.81000000006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1138</v>
      </c>
      <c r="C27" s="53">
        <f t="shared" si="7"/>
        <v>49721.864671499621</v>
      </c>
      <c r="D27" s="53">
        <f>-Data!BZ24</f>
        <v>0</v>
      </c>
      <c r="E27" s="53">
        <f t="shared" si="8"/>
        <v>49721.864671499621</v>
      </c>
      <c r="F27" s="54">
        <f t="shared" si="9"/>
        <v>43.692323964410917</v>
      </c>
      <c r="G27" s="30"/>
      <c r="H27" s="53">
        <f>+Data!$CA24</f>
        <v>49619.499999999993</v>
      </c>
      <c r="I27" s="30"/>
      <c r="J27" s="55">
        <f t="shared" si="10"/>
        <v>0.99794125437217762</v>
      </c>
      <c r="K27" s="30"/>
      <c r="L27" s="53">
        <f t="shared" si="11"/>
        <v>102.36467149962846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49721.864671499621</v>
      </c>
      <c r="Y27" s="53">
        <f ca="1">SUM(X$11:X27)</f>
        <v>3730595.6014178353</v>
      </c>
      <c r="Z27" s="66"/>
      <c r="AA27" s="610">
        <f t="shared" si="0"/>
        <v>45322</v>
      </c>
      <c r="AB27" s="51">
        <f ca="1">$Y12</f>
        <v>430390</v>
      </c>
      <c r="AC27" s="51">
        <f>SUM(Data!AK$142:'Data'!$AL$142)</f>
        <v>506903.60999999993</v>
      </c>
      <c r="AD27" s="43">
        <f t="shared" ca="1" si="5"/>
        <v>476710.77773511509</v>
      </c>
      <c r="AE27" s="43">
        <f ca="1">AE28-L12</f>
        <v>139431.26773511514</v>
      </c>
      <c r="AF27" s="43">
        <f t="shared" ca="1" si="6"/>
        <v>337279.50999999995</v>
      </c>
    </row>
    <row r="28" spans="1:41" ht="11.1" customHeight="1" x14ac:dyDescent="0.2">
      <c r="A28" s="52">
        <f>Data!$AN25</f>
        <v>44835</v>
      </c>
      <c r="B28" s="35">
        <f>+Data!AO25</f>
        <v>1150</v>
      </c>
      <c r="C28" s="53">
        <f t="shared" si="7"/>
        <v>67160.97334734608</v>
      </c>
      <c r="D28" s="53">
        <f>-Data!BZ25</f>
        <v>0</v>
      </c>
      <c r="E28" s="53">
        <f t="shared" si="8"/>
        <v>67160.97334734608</v>
      </c>
      <c r="F28" s="54">
        <f t="shared" si="9"/>
        <v>58.400846388996591</v>
      </c>
      <c r="G28" s="30"/>
      <c r="H28" s="53">
        <f>+Data!$CA25</f>
        <v>67051.33</v>
      </c>
      <c r="I28" s="30"/>
      <c r="J28" s="55">
        <f t="shared" si="10"/>
        <v>0.9983674544622958</v>
      </c>
      <c r="K28" s="30"/>
      <c r="L28" s="53">
        <f t="shared" si="11"/>
        <v>109.64334734607837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67160.97334734608</v>
      </c>
      <c r="Y28" s="53">
        <f ca="1">SUM(X$11:X28)</f>
        <v>3797756.5747651816</v>
      </c>
      <c r="Z28" s="66"/>
      <c r="AA28" s="610">
        <f t="shared" ref="AA28" si="14">DATE(YEAR(AA29),MONTH(AA29),1)-1</f>
        <v>45351</v>
      </c>
      <c r="AB28" s="51">
        <f ca="1">$Y11</f>
        <v>227019</v>
      </c>
      <c r="AC28" s="51">
        <f>Data!$AL$142</f>
        <v>184407.05</v>
      </c>
      <c r="AD28" s="43">
        <f ca="1">$L$47-AB28+AC28</f>
        <v>357585.21773511515</v>
      </c>
      <c r="AE28" s="43">
        <f ca="1">AE29-L11</f>
        <v>213141.25773511513</v>
      </c>
      <c r="AF28" s="43">
        <f t="shared" ca="1" si="6"/>
        <v>144443.96000000002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1145</v>
      </c>
      <c r="C29" s="53">
        <f t="shared" si="7"/>
        <v>73992.70853652159</v>
      </c>
      <c r="D29" s="53">
        <f>-Data!BZ26</f>
        <v>0</v>
      </c>
      <c r="E29" s="53">
        <f t="shared" ref="E29:E46" si="15">C29+D29</f>
        <v>73992.70853652159</v>
      </c>
      <c r="F29" s="54">
        <f t="shared" ref="F29:F46" si="16">IF(B29=0,0,E29/B29)</f>
        <v>64.622452870324537</v>
      </c>
      <c r="G29" s="30"/>
      <c r="H29" s="53">
        <f>+Data!$CA26</f>
        <v>73966.600000000006</v>
      </c>
      <c r="I29" s="30"/>
      <c r="J29" s="55">
        <f t="shared" si="10"/>
        <v>0.99964714717114733</v>
      </c>
      <c r="K29" s="30"/>
      <c r="L29" s="53">
        <f t="shared" si="11"/>
        <v>26.108536521584028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73992.70853652159</v>
      </c>
      <c r="Y29" s="53">
        <f ca="1">SUM(X$11:X29)</f>
        <v>3871749.2833017032</v>
      </c>
      <c r="Z29" s="66"/>
      <c r="AA29" s="100">
        <f>C3</f>
        <v>45382</v>
      </c>
      <c r="AD29" s="43">
        <f ca="1">L47</f>
        <v>400197.16773511516</v>
      </c>
      <c r="AE29" s="43">
        <f ca="1">L47</f>
        <v>400197.16773511516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1103</v>
      </c>
      <c r="C30" s="53">
        <f t="shared" si="7"/>
        <v>50486.62434822051</v>
      </c>
      <c r="D30" s="53">
        <f>-Data!BZ27</f>
        <v>0</v>
      </c>
      <c r="E30" s="53">
        <f t="shared" si="15"/>
        <v>50486.62434822051</v>
      </c>
      <c r="F30" s="54">
        <f t="shared" si="16"/>
        <v>45.772098230480971</v>
      </c>
      <c r="G30" s="30"/>
      <c r="H30" s="53">
        <f>+Data!$CA27</f>
        <v>50468.810000000019</v>
      </c>
      <c r="I30" s="30"/>
      <c r="J30" s="55">
        <f t="shared" si="10"/>
        <v>0.99964714717114733</v>
      </c>
      <c r="K30" s="30"/>
      <c r="L30" s="53">
        <f t="shared" si="11"/>
        <v>17.814348220490501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50486.62434822051</v>
      </c>
      <c r="Y30" s="53">
        <f ca="1">SUM(X$11:X30)</f>
        <v>3922235.9076499236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1108</v>
      </c>
      <c r="C31" s="53">
        <f t="shared" si="7"/>
        <v>50875.821677599146</v>
      </c>
      <c r="D31" s="53">
        <f>-Data!BZ28</f>
        <v>0</v>
      </c>
      <c r="E31" s="53">
        <f t="shared" si="15"/>
        <v>50875.821677599146</v>
      </c>
      <c r="F31" s="54">
        <f t="shared" si="16"/>
        <v>45.916806568230278</v>
      </c>
      <c r="G31" s="30"/>
      <c r="H31" s="53">
        <f>+Data!$CA28</f>
        <v>50857.87</v>
      </c>
      <c r="I31" s="30"/>
      <c r="J31" s="55">
        <f t="shared" si="10"/>
        <v>0.99964714717114733</v>
      </c>
      <c r="K31" s="30"/>
      <c r="L31" s="53">
        <f t="shared" si="11"/>
        <v>17.951677599143295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50875.821677599146</v>
      </c>
      <c r="Y31" s="53">
        <f ca="1">SUM(X$11:X31)</f>
        <v>3973111.7293275227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1102</v>
      </c>
      <c r="C32" s="53">
        <f t="shared" si="7"/>
        <v>50772.415190327607</v>
      </c>
      <c r="D32" s="53">
        <f>-Data!BZ29</f>
        <v>0</v>
      </c>
      <c r="E32" s="53">
        <f t="shared" si="15"/>
        <v>50772.415190327607</v>
      </c>
      <c r="F32" s="54">
        <f t="shared" si="16"/>
        <v>46.072972042039574</v>
      </c>
      <c r="G32" s="30"/>
      <c r="H32" s="53">
        <f>+Data!$CA29</f>
        <v>50754.500000000015</v>
      </c>
      <c r="I32" s="30"/>
      <c r="J32" s="55">
        <f t="shared" si="10"/>
        <v>0.99964714717114722</v>
      </c>
      <c r="K32" s="30"/>
      <c r="L32" s="53">
        <f t="shared" si="11"/>
        <v>17.915190327592427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50772.415190327607</v>
      </c>
      <c r="Y32" s="53">
        <f ca="1">SUM(X$11:X32)</f>
        <v>4023884.1445178501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1106</v>
      </c>
      <c r="C33" s="53">
        <f t="shared" si="7"/>
        <v>42748.543944660232</v>
      </c>
      <c r="D33" s="53">
        <f>-Data!BZ30</f>
        <v>0</v>
      </c>
      <c r="E33" s="53">
        <f t="shared" si="15"/>
        <v>42748.543944660232</v>
      </c>
      <c r="F33" s="54">
        <f t="shared" si="16"/>
        <v>38.651486387577066</v>
      </c>
      <c r="G33" s="30"/>
      <c r="H33" s="53">
        <f>+Data!$CA30</f>
        <v>42733.460000000028</v>
      </c>
      <c r="I33" s="30"/>
      <c r="J33" s="55">
        <f t="shared" si="10"/>
        <v>0.99964714717114733</v>
      </c>
      <c r="K33" s="30"/>
      <c r="L33" s="53">
        <f t="shared" si="11"/>
        <v>15.083944660203997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42748.543944660232</v>
      </c>
      <c r="Y33" s="53">
        <f ca="1">SUM(X$11:X33)</f>
        <v>4066632.6884625102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1107</v>
      </c>
      <c r="C34" s="53">
        <f t="shared" si="7"/>
        <v>44281.939272605101</v>
      </c>
      <c r="D34" s="53">
        <f>-Data!BZ31</f>
        <v>0</v>
      </c>
      <c r="E34" s="53">
        <f t="shared" si="15"/>
        <v>44281.939272605101</v>
      </c>
      <c r="F34" s="54">
        <f t="shared" si="16"/>
        <v>40.001751827104876</v>
      </c>
      <c r="G34" s="30"/>
      <c r="H34" s="53">
        <f>+Data!$CA31</f>
        <v>44270.220000000016</v>
      </c>
      <c r="I34" s="30"/>
      <c r="J34" s="55">
        <f t="shared" si="10"/>
        <v>0.99973534870428915</v>
      </c>
      <c r="K34" s="30"/>
      <c r="L34" s="53">
        <f t="shared" si="11"/>
        <v>11.71927260508528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44281.939272605101</v>
      </c>
      <c r="Y34" s="53">
        <f ca="1">SUM(X$11:X34)</f>
        <v>4110914.6277351151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1114</v>
      </c>
      <c r="C35" s="53">
        <f t="shared" si="7"/>
        <v>41139.020000000004</v>
      </c>
      <c r="D35" s="53">
        <f>-Data!BZ32</f>
        <v>0</v>
      </c>
      <c r="E35" s="53">
        <f t="shared" si="15"/>
        <v>41139.020000000004</v>
      </c>
      <c r="F35" s="54">
        <f t="shared" si="16"/>
        <v>36.92910233393178</v>
      </c>
      <c r="G35" s="30"/>
      <c r="H35" s="53">
        <f>+Data!$CA32</f>
        <v>41139.020000000004</v>
      </c>
      <c r="I35" s="30"/>
      <c r="J35" s="55">
        <f t="shared" si="10"/>
        <v>1</v>
      </c>
      <c r="K35" s="30"/>
      <c r="L35" s="53">
        <f t="shared" si="11"/>
        <v>0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41139.020000000004</v>
      </c>
      <c r="Y35" s="53">
        <f ca="1">SUM(X$11:X35)</f>
        <v>4152053.6477351151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1105</v>
      </c>
      <c r="C36" s="53">
        <f t="shared" si="7"/>
        <v>49796.490000000005</v>
      </c>
      <c r="D36" s="53">
        <f>-Data!BZ33</f>
        <v>0</v>
      </c>
      <c r="E36" s="53">
        <f t="shared" si="15"/>
        <v>49796.490000000005</v>
      </c>
      <c r="F36" s="54">
        <f t="shared" si="16"/>
        <v>45.064696832579187</v>
      </c>
      <c r="G36" s="30"/>
      <c r="H36" s="53">
        <f>+Data!$CA33</f>
        <v>49796.490000000005</v>
      </c>
      <c r="I36" s="30"/>
      <c r="J36" s="55">
        <f t="shared" si="10"/>
        <v>1</v>
      </c>
      <c r="K36" s="30"/>
      <c r="L36" s="53">
        <f t="shared" si="11"/>
        <v>0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49796.490000000005</v>
      </c>
      <c r="Y36" s="53">
        <f ca="1">SUM(X$11:X36)</f>
        <v>4201850.1377351154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1112</v>
      </c>
      <c r="C37" s="53">
        <f t="shared" si="7"/>
        <v>41234.950000000004</v>
      </c>
      <c r="D37" s="53">
        <f>-Data!BZ34</f>
        <v>0</v>
      </c>
      <c r="E37" s="53">
        <f t="shared" si="15"/>
        <v>41234.950000000004</v>
      </c>
      <c r="F37" s="54">
        <f t="shared" si="16"/>
        <v>37.081789568345329</v>
      </c>
      <c r="G37" s="30"/>
      <c r="H37" s="53">
        <f>+Data!$CA34</f>
        <v>41234.950000000004</v>
      </c>
      <c r="I37" s="30"/>
      <c r="J37" s="55">
        <f t="shared" si="10"/>
        <v>1</v>
      </c>
      <c r="K37" s="30"/>
      <c r="L37" s="53">
        <f t="shared" si="11"/>
        <v>0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41234.950000000004</v>
      </c>
      <c r="Y37" s="53">
        <f ca="1">SUM(X$11:X37)</f>
        <v>4243085.0877351156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1112</v>
      </c>
      <c r="C38" s="53">
        <f t="shared" si="7"/>
        <v>56568.250000000022</v>
      </c>
      <c r="D38" s="53">
        <f>-Data!BZ35</f>
        <v>0</v>
      </c>
      <c r="E38" s="53">
        <f t="shared" si="15"/>
        <v>56568.250000000022</v>
      </c>
      <c r="F38" s="54">
        <f t="shared" si="16"/>
        <v>50.870728417266207</v>
      </c>
      <c r="G38" s="30"/>
      <c r="H38" s="53">
        <f>+Data!$CA35</f>
        <v>56568.250000000022</v>
      </c>
      <c r="I38" s="30"/>
      <c r="J38" s="55">
        <f t="shared" si="10"/>
        <v>1</v>
      </c>
      <c r="K38" s="30"/>
      <c r="L38" s="53">
        <f t="shared" si="11"/>
        <v>0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56568.250000000022</v>
      </c>
      <c r="Y38" s="53">
        <f ca="1">SUM(X$11:X38)</f>
        <v>4299653.3377351156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1094</v>
      </c>
      <c r="C39" s="53">
        <f t="shared" si="7"/>
        <v>62006.120000000024</v>
      </c>
      <c r="D39" s="53">
        <f>-Data!BZ36</f>
        <v>0</v>
      </c>
      <c r="E39" s="53">
        <f t="shared" si="15"/>
        <v>62006.120000000024</v>
      </c>
      <c r="F39" s="54">
        <f t="shared" si="16"/>
        <v>56.678354661791616</v>
      </c>
      <c r="G39" s="30"/>
      <c r="H39" s="53">
        <f>+Data!$CA36</f>
        <v>62006.120000000024</v>
      </c>
      <c r="I39" s="30"/>
      <c r="J39" s="55">
        <f t="shared" si="10"/>
        <v>1</v>
      </c>
      <c r="K39" s="30"/>
      <c r="L39" s="53">
        <f t="shared" si="11"/>
        <v>0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62006.120000000024</v>
      </c>
      <c r="Y39" s="53">
        <f ca="1">SUM(X$11:X39)</f>
        <v>4361659.4577351157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1107</v>
      </c>
      <c r="C40" s="53">
        <f t="shared" si="7"/>
        <v>72197.69</v>
      </c>
      <c r="D40" s="53">
        <f>-Data!BZ37</f>
        <v>0</v>
      </c>
      <c r="E40" s="53">
        <f t="shared" si="15"/>
        <v>72197.69</v>
      </c>
      <c r="F40" s="54">
        <f t="shared" si="16"/>
        <v>65.219232158988262</v>
      </c>
      <c r="G40" s="30"/>
      <c r="H40" s="53">
        <f>+Data!$CA37</f>
        <v>72197.69</v>
      </c>
      <c r="I40" s="30"/>
      <c r="J40" s="55">
        <f t="shared" si="10"/>
        <v>1</v>
      </c>
      <c r="K40" s="30"/>
      <c r="L40" s="53">
        <f t="shared" si="11"/>
        <v>0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72197.69</v>
      </c>
      <c r="Y40" s="53">
        <f ca="1">SUM(X$11:X40)</f>
        <v>4433857.1477351161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1124</v>
      </c>
      <c r="C41" s="53">
        <f t="shared" si="7"/>
        <v>53239.62</v>
      </c>
      <c r="D41" s="53">
        <f>-Data!BZ38</f>
        <v>0</v>
      </c>
      <c r="E41" s="53">
        <f t="shared" si="15"/>
        <v>53239.62</v>
      </c>
      <c r="F41" s="54">
        <f t="shared" si="16"/>
        <v>47.366209964412811</v>
      </c>
      <c r="G41" s="30"/>
      <c r="H41" s="53">
        <f>+Data!$CA38</f>
        <v>53239.62</v>
      </c>
      <c r="I41" s="30"/>
      <c r="J41" s="55">
        <f t="shared" si="10"/>
        <v>1</v>
      </c>
      <c r="K41" s="30"/>
      <c r="L41" s="53">
        <f t="shared" si="11"/>
        <v>0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53239.62</v>
      </c>
      <c r="Y41" s="53">
        <f ca="1">SUM(X$11:X41)</f>
        <v>4487096.7677351162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1147</v>
      </c>
      <c r="C42" s="53">
        <f t="shared" si="7"/>
        <v>69182.52999999997</v>
      </c>
      <c r="D42" s="53">
        <f>-Data!BZ39</f>
        <v>0</v>
      </c>
      <c r="E42" s="53">
        <f t="shared" si="15"/>
        <v>69182.52999999997</v>
      </c>
      <c r="F42" s="54">
        <f t="shared" si="16"/>
        <v>60.316068003487331</v>
      </c>
      <c r="G42" s="30"/>
      <c r="H42" s="53">
        <f>+Data!$CA39</f>
        <v>69182.52999999997</v>
      </c>
      <c r="I42" s="30"/>
      <c r="J42" s="55">
        <f t="shared" si="10"/>
        <v>1</v>
      </c>
      <c r="K42" s="30"/>
      <c r="L42" s="53">
        <f t="shared" si="11"/>
        <v>0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69182.52999999997</v>
      </c>
      <c r="Y42" s="53">
        <f ca="1">SUM(X$11:X42)</f>
        <v>4556279.2977351164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1189</v>
      </c>
      <c r="C43" s="53">
        <f t="shared" si="7"/>
        <v>52327.960000000014</v>
      </c>
      <c r="D43" s="53">
        <f>-Data!BZ40</f>
        <v>0</v>
      </c>
      <c r="E43" s="53">
        <f t="shared" si="15"/>
        <v>52327.960000000014</v>
      </c>
      <c r="F43" s="54">
        <f t="shared" si="16"/>
        <v>44.010058873002535</v>
      </c>
      <c r="G43" s="30"/>
      <c r="H43" s="53">
        <f>+Data!$CA40</f>
        <v>52327.960000000014</v>
      </c>
      <c r="I43" s="30"/>
      <c r="J43" s="55">
        <f t="shared" si="10"/>
        <v>1</v>
      </c>
      <c r="K43" s="30"/>
      <c r="L43" s="53">
        <f t="shared" si="11"/>
        <v>0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52327.960000000014</v>
      </c>
      <c r="Y43" s="53">
        <f ca="1">SUM(X$11:X43)</f>
        <v>4608607.2577351164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1228</v>
      </c>
      <c r="C44" s="53">
        <f t="shared" si="7"/>
        <v>109952.08999999998</v>
      </c>
      <c r="D44" s="53">
        <f>-Data!BZ41</f>
        <v>0</v>
      </c>
      <c r="E44" s="53">
        <f t="shared" si="15"/>
        <v>109952.08999999998</v>
      </c>
      <c r="F44" s="54">
        <f t="shared" si="16"/>
        <v>89.537532573289894</v>
      </c>
      <c r="G44" s="30"/>
      <c r="H44" s="53">
        <f>+Data!$CA41</f>
        <v>109952.08999999998</v>
      </c>
      <c r="I44" s="30"/>
      <c r="J44" s="55">
        <f t="shared" si="10"/>
        <v>1</v>
      </c>
      <c r="K44" s="30"/>
      <c r="L44" s="53">
        <f t="shared" si="11"/>
        <v>0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109952.08999999998</v>
      </c>
      <c r="Y44" s="53">
        <f ca="1">SUM(X$11:X44)</f>
        <v>4718559.3477351163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2326</v>
      </c>
      <c r="C45" s="53">
        <f t="shared" si="7"/>
        <v>137813.97000000003</v>
      </c>
      <c r="D45" s="53">
        <f>-Data!BZ42</f>
        <v>0</v>
      </c>
      <c r="E45" s="53">
        <f t="shared" si="15"/>
        <v>137813.97000000003</v>
      </c>
      <c r="F45" s="54">
        <f t="shared" si="16"/>
        <v>59.249342218400699</v>
      </c>
      <c r="G45" s="30"/>
      <c r="H45" s="53">
        <f>+Data!$CA42</f>
        <v>137813.97000000003</v>
      </c>
      <c r="I45" s="30"/>
      <c r="J45" s="55">
        <f t="shared" si="10"/>
        <v>1</v>
      </c>
      <c r="K45" s="30"/>
      <c r="L45" s="53">
        <f t="shared" si="11"/>
        <v>0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137813.97000000003</v>
      </c>
      <c r="Y45" s="53">
        <f ca="1">SUM(X$11:X45)</f>
        <v>4856373.317735116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837</v>
      </c>
      <c r="C46" s="53">
        <f t="shared" si="7"/>
        <v>35923.329999999994</v>
      </c>
      <c r="D46" s="53">
        <f>-Data!BZ43</f>
        <v>0</v>
      </c>
      <c r="E46" s="53">
        <f t="shared" si="15"/>
        <v>35923.329999999994</v>
      </c>
      <c r="F46" s="54">
        <f t="shared" si="16"/>
        <v>42.919151732377529</v>
      </c>
      <c r="G46" s="30"/>
      <c r="H46" s="53">
        <f>+Data!$CA43</f>
        <v>35923.329999999994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35923.329999999994</v>
      </c>
      <c r="Y46" s="53">
        <f ca="1">SUM(X$11:X46)</f>
        <v>4892296.6477351161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113429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400197.16773511516</v>
      </c>
      <c r="M47" s="178" t="str">
        <f t="shared" ca="1" si="12"/>
        <v/>
      </c>
    </row>
    <row r="48" spans="1:39" ht="11.25" customHeight="1" x14ac:dyDescent="0.2">
      <c r="A48" s="34" t="str">
        <f>Data!$C$1</f>
        <v>AAMG - Commercial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184407.05</v>
      </c>
      <c r="I56" s="324" t="s">
        <v>663</v>
      </c>
      <c r="J56" s="222"/>
      <c r="K56" s="223">
        <f ca="1">SUMPRODUCT(L11:L22,S11:S22)</f>
        <v>292613.81000000006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402453.81000000006</v>
      </c>
      <c r="D57" s="43"/>
      <c r="E57" s="53" t="s">
        <v>111</v>
      </c>
      <c r="F57" s="30"/>
      <c r="G57" s="53">
        <f ca="1">L47</f>
        <v>400197.16773511516</v>
      </c>
      <c r="I57" s="146" t="s">
        <v>661</v>
      </c>
      <c r="J57" s="30"/>
      <c r="K57" s="53">
        <f ca="1">L47-K56</f>
        <v>107583.3577351151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107583.3577351151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510037.16773511516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400197.16773511516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10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227019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2018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510037.16773511516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400197.16773511516</v>
      </c>
      <c r="K63" s="551">
        <v>0</v>
      </c>
      <c r="L63" s="551">
        <f ca="1">L47</f>
        <v>400197.16773511516</v>
      </c>
      <c r="R63" s="227" t="s">
        <v>92</v>
      </c>
      <c r="S63" s="4">
        <f>DATE(S62,S61+1,1)-1</f>
        <v>43404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8003.9433547023036</v>
      </c>
      <c r="AD64" s="51">
        <f>SUM(Data!M$142:'Data'!$AL$142)</f>
        <v>3904772.74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20009.858386755761</v>
      </c>
      <c r="AD65" s="51">
        <f>SUM(Data!N$142:'Data'!$AL$142)</f>
        <v>3856120.31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428210.96947657323</v>
      </c>
    </row>
    <row r="67" spans="1:30" ht="11.25" customHeight="1" x14ac:dyDescent="0.2"/>
    <row r="68" spans="1:30" ht="11.25" customHeight="1" x14ac:dyDescent="0.2">
      <c r="A68" s="34" t="str">
        <f>Data!$C$1</f>
        <v>AAMG - Commercial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10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2018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43404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43404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e">
        <f>IF(Data!C477=0,"",Data!C477)</f>
        <v>#REF!</v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e">
        <f>IF(Data!C478=0,"",Data!C478)</f>
        <v>#REF!</v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e">
        <f>IF(Data!C479=0,"",Data!C479)</f>
        <v>#REF!</v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e">
        <f>IF(Data!C480=0,"",Data!C480)</f>
        <v>#REF!</v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e">
        <f>IF(Data!C481=0,"",Data!C481)</f>
        <v>#REF!</v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e">
        <f>IF(Data!C482=0,"",Data!C482)</f>
        <v>#REF!</v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 t="e">
        <f>VLOOKUP(J77,AA10:AD28,4)</f>
        <v>#N/A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e">
        <f>IF(Data!C483=0,"",Data!C483)</f>
        <v>#REF!</v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e">
        <f>IF(Data!C484=0,"",Data!C484)</f>
        <v>#REF!</v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0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e">
        <f>IF(Data!C485=0,"",Data!C485)</f>
        <v>#REF!</v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e">
        <f>IF(Data!C486=0,"",Data!C486)</f>
        <v>#REF!</v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0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e">
        <f>IF(Data!C487=0,"",Data!C487)</f>
        <v>#REF!</v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e">
        <f>IF(Data!C488=0,"",Data!C488)</f>
        <v>#REF!</v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 t="e">
        <f>R83-R87</f>
        <v>#N/A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e">
        <f>IF(Data!C489=0,"",Data!C489)</f>
        <v>#REF!</v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e">
        <f>IF(Data!C490=0,"",Data!C490)</f>
        <v>#REF!</v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e">
        <f>IF(Data!C491=0,"",Data!C491)</f>
        <v>#REF!</v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 t="str">
        <f t="shared" si="21"/>
        <v/>
      </c>
      <c r="B93" s="35" t="str">
        <f t="shared" si="33"/>
        <v/>
      </c>
      <c r="C93" s="53" t="str">
        <f t="shared" si="33"/>
        <v/>
      </c>
      <c r="D93" s="53" t="str">
        <f t="shared" si="33"/>
        <v/>
      </c>
      <c r="E93" s="53" t="str">
        <f t="shared" si="33"/>
        <v/>
      </c>
      <c r="F93" s="54" t="str">
        <f t="shared" si="33"/>
        <v/>
      </c>
      <c r="G93" s="30"/>
      <c r="H93" s="53" t="str">
        <f t="shared" si="20"/>
        <v/>
      </c>
      <c r="I93" s="53" t="str">
        <f t="shared" si="31"/>
        <v/>
      </c>
      <c r="J93" s="53" t="e">
        <f>IF(Data!C492=0,"",Data!C492)</f>
        <v>#REF!</v>
      </c>
      <c r="K93" s="30"/>
      <c r="L93" s="53" t="str">
        <f t="shared" si="32"/>
        <v/>
      </c>
      <c r="M93" s="178" t="str">
        <f t="shared" si="27"/>
        <v/>
      </c>
    </row>
    <row r="94" spans="1:18" ht="11.25" customHeight="1" x14ac:dyDescent="0.2">
      <c r="A94" s="52" t="str">
        <f t="shared" si="21"/>
        <v/>
      </c>
      <c r="B94" s="35" t="str">
        <f t="shared" si="33"/>
        <v/>
      </c>
      <c r="C94" s="53" t="str">
        <f t="shared" si="33"/>
        <v/>
      </c>
      <c r="D94" s="53" t="str">
        <f t="shared" si="33"/>
        <v/>
      </c>
      <c r="E94" s="53" t="str">
        <f t="shared" si="33"/>
        <v/>
      </c>
      <c r="F94" s="54" t="str">
        <f t="shared" si="33"/>
        <v/>
      </c>
      <c r="G94" s="30"/>
      <c r="H94" s="53" t="str">
        <f t="shared" si="20"/>
        <v/>
      </c>
      <c r="I94" s="53" t="str">
        <f t="shared" si="31"/>
        <v/>
      </c>
      <c r="J94" s="53" t="e">
        <f>IF(Data!C493=0,"",Data!C493)</f>
        <v>#REF!</v>
      </c>
      <c r="K94" s="30"/>
      <c r="L94" s="53" t="str">
        <f t="shared" si="32"/>
        <v/>
      </c>
      <c r="M94" s="178" t="str">
        <f t="shared" si="27"/>
        <v/>
      </c>
    </row>
    <row r="95" spans="1:18" ht="11.25" customHeight="1" x14ac:dyDescent="0.2">
      <c r="A95" s="52" t="str">
        <f t="shared" si="21"/>
        <v/>
      </c>
      <c r="B95" s="35" t="str">
        <f t="shared" si="33"/>
        <v/>
      </c>
      <c r="C95" s="53" t="str">
        <f t="shared" si="33"/>
        <v/>
      </c>
      <c r="D95" s="53" t="str">
        <f t="shared" si="33"/>
        <v/>
      </c>
      <c r="E95" s="53" t="str">
        <f t="shared" si="33"/>
        <v/>
      </c>
      <c r="F95" s="54" t="str">
        <f t="shared" si="33"/>
        <v/>
      </c>
      <c r="G95" s="30"/>
      <c r="H95" s="53" t="str">
        <f t="shared" si="20"/>
        <v/>
      </c>
      <c r="I95" s="53" t="str">
        <f t="shared" si="31"/>
        <v/>
      </c>
      <c r="J95" s="53" t="e">
        <f>IF(Data!C494=0,"",Data!C494)</f>
        <v>#REF!</v>
      </c>
      <c r="K95" s="30"/>
      <c r="L95" s="53" t="str">
        <f t="shared" si="32"/>
        <v/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0</v>
      </c>
      <c r="C96" s="53">
        <f>SUM(C78:C95)</f>
        <v>0</v>
      </c>
      <c r="D96" s="53">
        <f t="shared" ref="D96" si="34">SUM(D78:D95)</f>
        <v>0</v>
      </c>
      <c r="E96" s="53">
        <f t="shared" ref="E96" si="35">SUM(E78:E95)</f>
        <v>0</v>
      </c>
      <c r="F96" s="54">
        <f t="shared" ref="F96" si="36">IF(B96=0,0,E96/B96)</f>
        <v>0</v>
      </c>
      <c r="G96" s="30"/>
      <c r="H96" s="53">
        <f t="shared" ref="H96:L96" si="37">SUM(H78:H95)</f>
        <v>0</v>
      </c>
      <c r="I96" s="53">
        <f t="shared" si="37"/>
        <v>0</v>
      </c>
      <c r="J96" s="53" t="e">
        <f t="shared" si="37"/>
        <v>#REF!</v>
      </c>
      <c r="K96" s="53"/>
      <c r="L96" s="53">
        <f t="shared" si="37"/>
        <v>0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0</v>
      </c>
      <c r="J98" s="53" t="e">
        <f>J97+J96</f>
        <v>#REF!</v>
      </c>
      <c r="K98" s="30"/>
      <c r="L98" s="53">
        <f>SUM(L96:L97)</f>
        <v>0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0</v>
      </c>
      <c r="K102" s="551" t="e">
        <f>J98</f>
        <v>#REF!</v>
      </c>
      <c r="L102" s="551" t="e">
        <f>SUM(J102:K102)</f>
        <v>#REF!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 t="e">
        <f>J102*J103+K102*K103</f>
        <v>#REF!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 t="e">
        <f>J104*J102+K104*K102</f>
        <v>#REF!</v>
      </c>
      <c r="P104" s="43"/>
    </row>
    <row r="105" spans="1:18" x14ac:dyDescent="0.2">
      <c r="D105" s="43"/>
      <c r="I105" s="550" t="s">
        <v>940</v>
      </c>
      <c r="J105" s="553"/>
      <c r="K105" s="553"/>
      <c r="L105" s="553" t="e">
        <f>SUM(L102:L104)</f>
        <v>#REF!</v>
      </c>
      <c r="P105" s="43"/>
    </row>
    <row r="106" spans="1:18" x14ac:dyDescent="0.2">
      <c r="P106" s="43"/>
    </row>
    <row r="107" spans="1:18" ht="12.75" x14ac:dyDescent="0.2">
      <c r="A107" s="34" t="str">
        <f>A1</f>
        <v>AAMG - Commercial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233337.33333333334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244116.33333333334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278947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289042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281703.66666666669</v>
      </c>
    </row>
    <row r="116" spans="1:21" x14ac:dyDescent="0.2">
      <c r="P116" s="43"/>
      <c r="R116" s="43">
        <f t="shared" ca="1" si="38"/>
        <v>279797.33333333331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400197.16773511516</v>
      </c>
      <c r="D117" s="35"/>
      <c r="E117" s="53">
        <f t="shared" ref="E117:E134" ca="1" si="39">SUM(B117:C117)</f>
        <v>400197.16773511516</v>
      </c>
      <c r="F117" s="35"/>
      <c r="G117" s="35"/>
      <c r="H117" s="53">
        <f ca="1">L47</f>
        <v>400197.16773511516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1.7151013171279141</v>
      </c>
      <c r="P117" s="43"/>
      <c r="R117" s="43">
        <f t="shared" ca="1" si="38"/>
        <v>283236</v>
      </c>
    </row>
    <row r="118" spans="1:21" x14ac:dyDescent="0.2">
      <c r="A118" s="138">
        <f>AA28</f>
        <v>45351</v>
      </c>
      <c r="B118" s="53">
        <f ca="1">AF28</f>
        <v>144443.96000000002</v>
      </c>
      <c r="C118" s="53">
        <f ca="1">AE28</f>
        <v>213141.25773511513</v>
      </c>
      <c r="D118" s="30"/>
      <c r="E118" s="53">
        <f t="shared" ca="1" si="39"/>
        <v>357585.21773511515</v>
      </c>
      <c r="F118" s="30"/>
      <c r="G118" s="30"/>
      <c r="H118" s="53">
        <f>Data!$AS9</f>
        <v>0</v>
      </c>
      <c r="I118" s="53">
        <f t="shared" ca="1" si="40"/>
        <v>357585.21773511515</v>
      </c>
      <c r="J118" s="55" t="str">
        <f t="shared" si="41"/>
        <v>NA</v>
      </c>
      <c r="K118" s="453"/>
      <c r="L118" s="454">
        <f t="shared" ca="1" si="42"/>
        <v>1.464814798962442</v>
      </c>
      <c r="P118" s="43"/>
      <c r="R118" s="43">
        <f t="shared" ca="1" si="38"/>
        <v>293409.33333333331</v>
      </c>
    </row>
    <row r="119" spans="1:21" x14ac:dyDescent="0.2">
      <c r="A119" s="138">
        <f>AA27</f>
        <v>45322</v>
      </c>
      <c r="B119" s="53">
        <f ca="1">AF27</f>
        <v>337279.50999999995</v>
      </c>
      <c r="C119" s="53">
        <f ca="1">AE27</f>
        <v>139431.26773511514</v>
      </c>
      <c r="D119" s="35"/>
      <c r="E119" s="53">
        <f t="shared" ca="1" si="39"/>
        <v>476710.77773511509</v>
      </c>
      <c r="F119" s="35"/>
      <c r="G119" s="35"/>
      <c r="H119" s="53">
        <f>Data!$AS10</f>
        <v>0</v>
      </c>
      <c r="I119" s="53">
        <f t="shared" ca="1" si="40"/>
        <v>476710.77773511509</v>
      </c>
      <c r="J119" s="55" t="str">
        <f t="shared" si="41"/>
        <v>NA</v>
      </c>
      <c r="K119" s="453"/>
      <c r="L119" s="454">
        <f t="shared" ca="1" si="42"/>
        <v>1.70896542258965</v>
      </c>
      <c r="P119" s="43"/>
      <c r="R119" s="43">
        <f t="shared" ca="1" si="38"/>
        <v>307120.66666666669</v>
      </c>
      <c r="T119" s="116">
        <f>Data!$BO20</f>
        <v>246921.67810336311</v>
      </c>
      <c r="U119" s="43">
        <f>AVERAGE(T119:T121)</f>
        <v>107768.05681344292</v>
      </c>
    </row>
    <row r="120" spans="1:21" x14ac:dyDescent="0.2">
      <c r="A120" s="138">
        <f>AA26</f>
        <v>45291</v>
      </c>
      <c r="B120" s="53">
        <f ca="1">AF26</f>
        <v>402453.81000000006</v>
      </c>
      <c r="C120" s="53">
        <f ca="1">AE26</f>
        <v>107583.3577351151</v>
      </c>
      <c r="D120" s="35"/>
      <c r="E120" s="53">
        <f t="shared" ca="1" si="39"/>
        <v>510037.16773511516</v>
      </c>
      <c r="F120" s="35"/>
      <c r="G120" s="35"/>
      <c r="H120" s="53">
        <f>Data!$AS11</f>
        <v>0</v>
      </c>
      <c r="I120" s="53">
        <f t="shared" ca="1" si="40"/>
        <v>510037.16773511516</v>
      </c>
      <c r="J120" s="55" t="str">
        <f t="shared" si="41"/>
        <v>NA</v>
      </c>
      <c r="K120" s="453"/>
      <c r="L120" s="454">
        <f t="shared" ca="1" si="42"/>
        <v>1.7645780465645655</v>
      </c>
      <c r="P120" s="43"/>
      <c r="R120" s="43">
        <f t="shared" ca="1" si="38"/>
        <v>286625.33333333331</v>
      </c>
      <c r="T120" s="116">
        <f>Data!$BO21</f>
        <v>38944.319719001476</v>
      </c>
    </row>
    <row r="121" spans="1:21" x14ac:dyDescent="0.2">
      <c r="A121" s="138">
        <f>AA25</f>
        <v>45260</v>
      </c>
      <c r="B121" s="53">
        <f ca="1">AF25</f>
        <v>437035.21000000008</v>
      </c>
      <c r="C121" s="53">
        <f ca="1">AE25</f>
        <v>81666.307735115173</v>
      </c>
      <c r="D121" s="35"/>
      <c r="E121" s="53">
        <f t="shared" ca="1" si="39"/>
        <v>518701.51773511525</v>
      </c>
      <c r="F121" s="35"/>
      <c r="G121" s="35"/>
      <c r="H121" s="53">
        <f>Data!$AS12</f>
        <v>0</v>
      </c>
      <c r="I121" s="53">
        <f t="shared" ca="1" si="40"/>
        <v>518701.51773511525</v>
      </c>
      <c r="J121" s="55" t="str">
        <f t="shared" si="41"/>
        <v>NA</v>
      </c>
      <c r="K121" s="453"/>
      <c r="L121" s="454">
        <f t="shared" ca="1" si="42"/>
        <v>1.8413019747765036</v>
      </c>
      <c r="P121" s="43"/>
      <c r="R121" s="43">
        <f t="shared" ca="1" si="38"/>
        <v>279645.55936778773</v>
      </c>
      <c r="T121" s="116">
        <f>Data!$BO22</f>
        <v>37438.172617964185</v>
      </c>
    </row>
    <row r="122" spans="1:21" x14ac:dyDescent="0.2">
      <c r="A122" s="138">
        <f>AA24</f>
        <v>45230</v>
      </c>
      <c r="B122" s="53">
        <f ca="1">AF24</f>
        <v>471011.88000000024</v>
      </c>
      <c r="C122" s="53">
        <f ca="1">AE24</f>
        <v>55863.097735115211</v>
      </c>
      <c r="D122" s="35"/>
      <c r="E122" s="53">
        <f t="shared" ca="1" si="39"/>
        <v>526874.97773511545</v>
      </c>
      <c r="F122" s="35"/>
      <c r="G122" s="35"/>
      <c r="H122" s="53">
        <f>Data!$AS13</f>
        <v>0</v>
      </c>
      <c r="I122" s="53">
        <f t="shared" ca="1" si="40"/>
        <v>526874.97773511545</v>
      </c>
      <c r="J122" s="55" t="str">
        <f t="shared" si="41"/>
        <v>NA</v>
      </c>
      <c r="K122" s="453"/>
      <c r="L122" s="454">
        <f t="shared" ca="1" si="42"/>
        <v>1.8830593253275543</v>
      </c>
      <c r="P122" s="43"/>
      <c r="R122" s="43">
        <f t="shared" ca="1" si="38"/>
        <v>178200.99927412151</v>
      </c>
      <c r="T122" s="116">
        <f>Data!$BO23</f>
        <v>80847.56630600708</v>
      </c>
    </row>
    <row r="123" spans="1:21" x14ac:dyDescent="0.2">
      <c r="A123" s="138">
        <f>AA23</f>
        <v>45199</v>
      </c>
      <c r="B123" s="53">
        <f ca="1">AF23</f>
        <v>424054.42999999993</v>
      </c>
      <c r="C123" s="53">
        <f ca="1">AE23</f>
        <v>37401.907735115383</v>
      </c>
      <c r="D123" s="35"/>
      <c r="E123" s="53">
        <f t="shared" ca="1" si="39"/>
        <v>461456.33773511532</v>
      </c>
      <c r="F123" s="35"/>
      <c r="G123" s="35"/>
      <c r="H123" s="53">
        <f>Data!$AS14</f>
        <v>0</v>
      </c>
      <c r="I123" s="53">
        <f t="shared" ca="1" si="40"/>
        <v>461456.33773511532</v>
      </c>
      <c r="J123" s="55" t="str">
        <f t="shared" si="41"/>
        <v>NA</v>
      </c>
      <c r="K123" s="453"/>
      <c r="L123" s="454">
        <f t="shared" ca="1" si="42"/>
        <v>1.6292291154200571</v>
      </c>
      <c r="P123" s="43"/>
      <c r="R123" s="451">
        <f t="shared" ref="R123:R128" si="43">AVERAGE(T119:T121)</f>
        <v>107768.05681344292</v>
      </c>
      <c r="T123" s="116">
        <f>Data!$BO24</f>
        <v>49721.864671499621</v>
      </c>
    </row>
    <row r="124" spans="1:21" x14ac:dyDescent="0.2">
      <c r="A124" s="138">
        <f>AA22</f>
        <v>45169</v>
      </c>
      <c r="B124" s="53">
        <f ca="1">AF22</f>
        <v>373476.83000000031</v>
      </c>
      <c r="C124" s="53">
        <f ca="1">AE22</f>
        <v>26519.097735115327</v>
      </c>
      <c r="D124" s="30"/>
      <c r="E124" s="53">
        <f t="shared" ca="1" si="39"/>
        <v>399995.92773511563</v>
      </c>
      <c r="F124" s="30"/>
      <c r="G124" s="30"/>
      <c r="H124" s="53">
        <f>Data!$AS15</f>
        <v>0</v>
      </c>
      <c r="I124" s="53">
        <f t="shared" ca="1" si="40"/>
        <v>399995.92773511563</v>
      </c>
      <c r="J124" s="55" t="str">
        <f t="shared" si="41"/>
        <v>NA</v>
      </c>
      <c r="K124" s="453"/>
      <c r="L124" s="454">
        <f t="shared" ca="1" si="42"/>
        <v>1.3632692702406046</v>
      </c>
      <c r="P124" s="43"/>
      <c r="R124" s="451">
        <f t="shared" si="43"/>
        <v>52410.019547657575</v>
      </c>
      <c r="T124" s="116">
        <f>Data!$BO25</f>
        <v>67160.97334734608</v>
      </c>
    </row>
    <row r="125" spans="1:21" x14ac:dyDescent="0.2">
      <c r="A125" s="138">
        <f>AA21</f>
        <v>45138</v>
      </c>
      <c r="B125" s="53">
        <f ca="1">AF21</f>
        <v>440052.23999999993</v>
      </c>
      <c r="C125" s="53">
        <f ca="1">AE21</f>
        <v>15827.047735115339</v>
      </c>
      <c r="D125" s="35"/>
      <c r="E125" s="53">
        <f t="shared" ca="1" si="39"/>
        <v>455879.28773511527</v>
      </c>
      <c r="F125" s="35"/>
      <c r="G125" s="35"/>
      <c r="H125" s="53">
        <f>Data!$AS16</f>
        <v>0</v>
      </c>
      <c r="I125" s="53">
        <f t="shared" ca="1" si="40"/>
        <v>455879.28773511527</v>
      </c>
      <c r="J125" s="55" t="str">
        <f t="shared" si="41"/>
        <v>NA</v>
      </c>
      <c r="K125" s="453"/>
      <c r="L125" s="454">
        <f t="shared" ca="1" si="42"/>
        <v>1.4843653886369805</v>
      </c>
      <c r="P125" s="43"/>
      <c r="R125" s="451">
        <f t="shared" si="43"/>
        <v>56002.534531823629</v>
      </c>
      <c r="T125" s="116">
        <f>Data!$BO26</f>
        <v>73992.70853652159</v>
      </c>
    </row>
    <row r="126" spans="1:21" x14ac:dyDescent="0.2">
      <c r="A126" s="138">
        <f>AA20</f>
        <v>45107</v>
      </c>
      <c r="B126" s="53">
        <f ca="1">AF20</f>
        <v>406825.34999999992</v>
      </c>
      <c r="C126" s="53">
        <f ca="1">AE20</f>
        <v>8521.1677351153339</v>
      </c>
      <c r="D126" s="30"/>
      <c r="E126" s="53">
        <f t="shared" ca="1" si="39"/>
        <v>415346.51773511525</v>
      </c>
      <c r="F126" s="30"/>
      <c r="G126" s="30"/>
      <c r="H126" s="53">
        <f>Data!$AS17</f>
        <v>0</v>
      </c>
      <c r="I126" s="53">
        <f t="shared" ca="1" si="40"/>
        <v>415346.51773511525</v>
      </c>
      <c r="J126" s="55" t="str">
        <f t="shared" si="41"/>
        <v>NA</v>
      </c>
      <c r="K126" s="453"/>
      <c r="L126" s="454">
        <f t="shared" ca="1" si="42"/>
        <v>1.4490921402683012</v>
      </c>
      <c r="P126" s="43"/>
      <c r="R126" s="451">
        <f t="shared" si="43"/>
        <v>65910.13477495093</v>
      </c>
      <c r="T126" s="116">
        <f>Data!$BO27</f>
        <v>50486.62434822051</v>
      </c>
    </row>
    <row r="127" spans="1:21" x14ac:dyDescent="0.2">
      <c r="A127" s="138">
        <f>AA19</f>
        <v>45077</v>
      </c>
      <c r="B127" s="53">
        <f ca="1">AF19</f>
        <v>425895.56000000029</v>
      </c>
      <c r="C127" s="53">
        <f ca="1">AE19</f>
        <v>5533.8977351153735</v>
      </c>
      <c r="D127" s="30"/>
      <c r="E127" s="53">
        <f t="shared" ca="1" si="39"/>
        <v>431429.45773511566</v>
      </c>
      <c r="F127" s="30"/>
      <c r="G127" s="30"/>
      <c r="H127" s="53">
        <f>Data!$AS18</f>
        <v>0</v>
      </c>
      <c r="I127" s="53">
        <f t="shared" ca="1" si="40"/>
        <v>431429.45773511566</v>
      </c>
      <c r="J127" s="55" t="str">
        <f t="shared" si="41"/>
        <v>NA</v>
      </c>
      <c r="K127" s="453"/>
      <c r="L127" s="454">
        <f t="shared" ca="1" si="42"/>
        <v>1.5427724248884027</v>
      </c>
      <c r="P127" s="43"/>
      <c r="R127" s="451">
        <f t="shared" si="43"/>
        <v>63625.18218512243</v>
      </c>
      <c r="T127" s="116">
        <f>Data!$BO28</f>
        <v>50875.821677599146</v>
      </c>
    </row>
    <row r="128" spans="1:21" x14ac:dyDescent="0.2">
      <c r="A128" s="138">
        <f>AA18</f>
        <v>45046</v>
      </c>
      <c r="B128" s="53">
        <f ca="1">AF18</f>
        <v>304004.92999999982</v>
      </c>
      <c r="C128" s="53">
        <f ca="1">AE18</f>
        <v>2915.2877351156203</v>
      </c>
      <c r="D128" s="30"/>
      <c r="E128" s="53">
        <f t="shared" ca="1" si="39"/>
        <v>306920.21773511544</v>
      </c>
      <c r="F128" s="30"/>
      <c r="G128" s="30"/>
      <c r="H128" s="53">
        <f>Data!$AS19</f>
        <v>0</v>
      </c>
      <c r="I128" s="53">
        <f t="shared" ca="1" si="40"/>
        <v>306920.21773511544</v>
      </c>
      <c r="J128" s="55" t="str">
        <f t="shared" si="41"/>
        <v>NA</v>
      </c>
      <c r="K128" s="453"/>
      <c r="L128" s="454">
        <f t="shared" ca="1" si="42"/>
        <v>1.7223260194124324</v>
      </c>
      <c r="P128" s="43"/>
      <c r="R128" s="451">
        <f t="shared" si="43"/>
        <v>63880.102077362717</v>
      </c>
      <c r="T128" s="116">
        <f>Data!$BO29</f>
        <v>50772.415190327607</v>
      </c>
    </row>
    <row r="129" spans="1:16" x14ac:dyDescent="0.2">
      <c r="A129" s="138">
        <f>AA17</f>
        <v>45016</v>
      </c>
      <c r="B129" s="53">
        <f ca="1">AF17</f>
        <v>271555.43999999959</v>
      </c>
      <c r="C129" s="53">
        <f ca="1">AE17</f>
        <v>1568.5777351156285</v>
      </c>
      <c r="D129" s="35"/>
      <c r="E129" s="53">
        <f t="shared" ca="1" si="39"/>
        <v>273124.01773511525</v>
      </c>
      <c r="F129" s="35"/>
      <c r="G129" s="35"/>
      <c r="H129" s="53">
        <f>Data!$AS20</f>
        <v>0</v>
      </c>
      <c r="I129" s="53">
        <f t="shared" ca="1" si="40"/>
        <v>273124.01773511525</v>
      </c>
      <c r="J129" s="55" t="str">
        <f t="shared" si="41"/>
        <v>NA</v>
      </c>
      <c r="K129" s="453"/>
      <c r="L129" s="454">
        <f t="shared" ca="1" si="42"/>
        <v>2.5343689569156815</v>
      </c>
      <c r="P129" s="43"/>
    </row>
    <row r="130" spans="1:16" x14ac:dyDescent="0.2">
      <c r="A130" s="138">
        <f>AA16</f>
        <v>44985</v>
      </c>
      <c r="B130" s="53">
        <f ca="1">AF16</f>
        <v>74416.329999999783</v>
      </c>
      <c r="C130" s="53">
        <f ca="1">AE16</f>
        <v>682.68963175249519</v>
      </c>
      <c r="D130" s="30"/>
      <c r="E130" s="53">
        <f t="shared" ca="1" si="39"/>
        <v>75099.019631752279</v>
      </c>
      <c r="F130" s="30"/>
      <c r="G130" s="30"/>
      <c r="H130" s="53">
        <f>Data!$AS21</f>
        <v>0</v>
      </c>
      <c r="I130" s="53">
        <f t="shared" ca="1" si="40"/>
        <v>75099.019631752279</v>
      </c>
      <c r="J130" s="55" t="str">
        <f t="shared" si="41"/>
        <v>NA</v>
      </c>
      <c r="K130" s="453"/>
      <c r="L130" s="454">
        <f t="shared" ca="1" si="42"/>
        <v>1.4329134062517015</v>
      </c>
      <c r="P130" s="43"/>
    </row>
    <row r="131" spans="1:16" x14ac:dyDescent="0.2">
      <c r="A131" s="138">
        <f>AA15</f>
        <v>44957</v>
      </c>
      <c r="B131" s="53">
        <f ca="1">AF15</f>
        <v>78881.999999999738</v>
      </c>
      <c r="C131" s="53">
        <f ca="1">AE15</f>
        <v>564.33991275102017</v>
      </c>
      <c r="D131" s="30"/>
      <c r="E131" s="53">
        <f t="shared" ca="1" si="39"/>
        <v>79446.339912750758</v>
      </c>
      <c r="F131" s="30"/>
      <c r="G131" s="30"/>
      <c r="H131" s="53">
        <f>Data!$AS22</f>
        <v>0</v>
      </c>
      <c r="I131" s="53">
        <f t="shared" ca="1" si="40"/>
        <v>79446.339912750758</v>
      </c>
      <c r="J131" s="55" t="str">
        <f t="shared" si="41"/>
        <v>NA</v>
      </c>
      <c r="K131" s="453"/>
      <c r="L131" s="454">
        <f t="shared" ca="1" si="42"/>
        <v>1.4186204352519993</v>
      </c>
      <c r="P131" s="43"/>
    </row>
    <row r="132" spans="1:16" x14ac:dyDescent="0.2">
      <c r="A132" s="138">
        <f>AA14</f>
        <v>44926</v>
      </c>
      <c r="B132" s="53">
        <f ca="1">AF14</f>
        <v>86809.979999999923</v>
      </c>
      <c r="C132" s="53">
        <f ca="1">AE14</f>
        <v>486.41729478684283</v>
      </c>
      <c r="D132" s="30"/>
      <c r="E132" s="53">
        <f t="shared" ca="1" si="39"/>
        <v>87296.397294786759</v>
      </c>
      <c r="F132" s="30"/>
      <c r="G132" s="30"/>
      <c r="H132" s="53">
        <f>Data!$AS23</f>
        <v>0</v>
      </c>
      <c r="I132" s="53">
        <f t="shared" ca="1" si="40"/>
        <v>87296.397294786759</v>
      </c>
      <c r="J132" s="55" t="str">
        <f t="shared" si="41"/>
        <v>NA</v>
      </c>
      <c r="K132" s="453"/>
      <c r="L132" s="454">
        <f t="shared" ca="1" si="42"/>
        <v>1.3244760853980784</v>
      </c>
    </row>
    <row r="133" spans="1:16" x14ac:dyDescent="0.2">
      <c r="A133" s="138">
        <f>AA13</f>
        <v>44895</v>
      </c>
      <c r="B133" s="53">
        <f ca="1">AF13</f>
        <v>96390.049999999726</v>
      </c>
      <c r="C133" s="53">
        <f ca="1">AE13</f>
        <v>318.6009887797627</v>
      </c>
      <c r="D133" s="30"/>
      <c r="E133" s="53">
        <f t="shared" ca="1" si="39"/>
        <v>96708.650988779496</v>
      </c>
      <c r="F133" s="30"/>
      <c r="G133" s="30"/>
      <c r="H133" s="53">
        <f>Data!$AS24</f>
        <v>0</v>
      </c>
      <c r="I133" s="53">
        <f t="shared" ca="1" si="40"/>
        <v>96708.650988779496</v>
      </c>
      <c r="J133" s="55" t="str">
        <f t="shared" si="41"/>
        <v>NA</v>
      </c>
      <c r="K133" s="453"/>
      <c r="L133" s="454">
        <f t="shared" ca="1" si="42"/>
        <v>1.5199744451402613</v>
      </c>
    </row>
    <row r="134" spans="1:16" x14ac:dyDescent="0.2">
      <c r="A134" s="138">
        <f>AA12</f>
        <v>44865</v>
      </c>
      <c r="B134" s="53">
        <f ca="1">AF12</f>
        <v>71888.690000000031</v>
      </c>
      <c r="C134" s="53">
        <f ca="1">AE12</f>
        <v>216.23631728013424</v>
      </c>
      <c r="D134" s="35"/>
      <c r="E134" s="53">
        <f t="shared" ca="1" si="39"/>
        <v>72104.926317280158</v>
      </c>
      <c r="F134" s="35"/>
      <c r="G134" s="35"/>
      <c r="H134" s="53">
        <f>Data!$AS25</f>
        <v>0</v>
      </c>
      <c r="I134" s="53">
        <f t="shared" ca="1" si="40"/>
        <v>72104.926317280158</v>
      </c>
      <c r="J134" s="55" t="str">
        <f t="shared" si="41"/>
        <v>NA</v>
      </c>
      <c r="K134" s="453"/>
      <c r="L134" s="454">
        <f t="shared" ca="1" si="42"/>
        <v>1.1287540873049431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AAMG - Commercial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203371</v>
      </c>
      <c r="D146" s="53"/>
      <c r="E146" s="180">
        <v>597594</v>
      </c>
      <c r="F146" s="30"/>
      <c r="G146" s="30"/>
      <c r="H146" s="53">
        <f t="shared" ref="H146:H156" ca="1" si="44">C146-E146</f>
        <v>-394223</v>
      </c>
      <c r="I146" s="63"/>
      <c r="J146" s="55">
        <f t="shared" ref="J146:J157" ca="1" si="45">H146/C146</f>
        <v>-1.9384425508061622</v>
      </c>
    </row>
    <row r="147" spans="1:22" x14ac:dyDescent="0.2">
      <c r="A147" s="52">
        <f>$A$13</f>
        <v>45292</v>
      </c>
      <c r="B147" s="30"/>
      <c r="C147" s="53">
        <f ca="1">IF(E147&gt;0,+C$13,"")</f>
        <v>269622</v>
      </c>
      <c r="D147" s="53"/>
      <c r="E147" s="180">
        <v>647734</v>
      </c>
      <c r="F147" s="30"/>
      <c r="G147" s="30"/>
      <c r="H147" s="53">
        <f t="shared" ca="1" si="44"/>
        <v>-378112</v>
      </c>
      <c r="I147" s="63"/>
      <c r="J147" s="55">
        <f t="shared" ca="1" si="45"/>
        <v>-1.4023781442167182</v>
      </c>
    </row>
    <row r="148" spans="1:22" x14ac:dyDescent="0.2">
      <c r="A148" s="52">
        <f>$A$14</f>
        <v>45261</v>
      </c>
      <c r="B148" s="30"/>
      <c r="C148" s="53">
        <f ca="1">IF(E148&gt;0,+C$14,"")</f>
        <v>259356</v>
      </c>
      <c r="D148" s="53"/>
      <c r="E148" s="180">
        <v>734382</v>
      </c>
      <c r="F148" s="30"/>
      <c r="G148" s="30"/>
      <c r="H148" s="53">
        <f t="shared" ca="1" si="44"/>
        <v>-475026</v>
      </c>
      <c r="I148" s="63"/>
      <c r="J148" s="55">
        <f t="shared" ca="1" si="45"/>
        <v>-1.8315597094341369</v>
      </c>
    </row>
    <row r="149" spans="1:22" x14ac:dyDescent="0.2">
      <c r="A149" s="52">
        <f>$A$15</f>
        <v>45231</v>
      </c>
      <c r="B149" s="30"/>
      <c r="C149" s="53">
        <f ca="1">C$15</f>
        <v>307863</v>
      </c>
      <c r="D149" s="53"/>
      <c r="E149" s="180">
        <v>652312</v>
      </c>
      <c r="F149" s="30"/>
      <c r="G149" s="30"/>
      <c r="H149" s="53">
        <f t="shared" ca="1" si="44"/>
        <v>-344449</v>
      </c>
      <c r="I149" s="63"/>
      <c r="J149" s="55">
        <f t="shared" ca="1" si="45"/>
        <v>-1.1188385743009066</v>
      </c>
    </row>
    <row r="150" spans="1:22" x14ac:dyDescent="0.2">
      <c r="A150" s="52">
        <f>$A$16</f>
        <v>45200</v>
      </c>
      <c r="B150" s="30"/>
      <c r="C150" s="53">
        <f ca="1">C$16</f>
        <v>299907</v>
      </c>
      <c r="D150" s="53"/>
      <c r="E150" s="180">
        <v>697101</v>
      </c>
      <c r="F150" s="30"/>
      <c r="G150" s="30"/>
      <c r="H150" s="53">
        <f t="shared" ca="1" si="44"/>
        <v>-397194</v>
      </c>
      <c r="I150" s="63"/>
      <c r="J150" s="55">
        <f t="shared" ca="1" si="45"/>
        <v>-1.3243905610739328</v>
      </c>
    </row>
    <row r="151" spans="1:22" x14ac:dyDescent="0.2">
      <c r="A151" s="52">
        <f>$A$17</f>
        <v>45170</v>
      </c>
      <c r="B151" s="30"/>
      <c r="C151" s="53">
        <f ca="1">C$17</f>
        <v>237341</v>
      </c>
      <c r="D151" s="53"/>
      <c r="E151" s="180">
        <v>631384</v>
      </c>
      <c r="F151" s="30"/>
      <c r="G151" s="30"/>
      <c r="H151" s="53">
        <f t="shared" ca="1" si="44"/>
        <v>-394043</v>
      </c>
      <c r="I151" s="63"/>
      <c r="J151" s="55">
        <f t="shared" ca="1" si="45"/>
        <v>-1.6602399079805006</v>
      </c>
    </row>
    <row r="152" spans="1:22" x14ac:dyDescent="0.2">
      <c r="A152" s="52">
        <f>$A$18</f>
        <v>45139</v>
      </c>
      <c r="B152" s="30"/>
      <c r="C152" s="53">
        <f ca="1">C$18</f>
        <v>302144</v>
      </c>
      <c r="D152" s="53"/>
      <c r="E152" s="180">
        <v>636196</v>
      </c>
      <c r="F152" s="30"/>
      <c r="G152" s="30"/>
      <c r="H152" s="53">
        <f t="shared" ca="1" si="44"/>
        <v>-334052</v>
      </c>
      <c r="I152" s="63"/>
      <c r="J152" s="55">
        <f t="shared" ca="1" si="45"/>
        <v>-1.105605274306291</v>
      </c>
      <c r="V152" s="559"/>
    </row>
    <row r="153" spans="1:22" x14ac:dyDescent="0.2">
      <c r="A153" s="52">
        <f>$A$19</f>
        <v>45108</v>
      </c>
      <c r="B153" s="30"/>
      <c r="C153" s="53">
        <f ca="1">C$19</f>
        <v>310223</v>
      </c>
      <c r="D153" s="53"/>
      <c r="E153" s="180">
        <v>575744</v>
      </c>
      <c r="F153" s="30"/>
      <c r="G153" s="30"/>
      <c r="H153" s="53">
        <f t="shared" ca="1" si="44"/>
        <v>-265521</v>
      </c>
      <c r="I153" s="63"/>
      <c r="J153" s="55">
        <f t="shared" ca="1" si="45"/>
        <v>-0.85590365640200761</v>
      </c>
      <c r="V153" s="559"/>
    </row>
    <row r="154" spans="1:22" x14ac:dyDescent="0.2">
      <c r="A154" s="52">
        <f>$A$20</f>
        <v>45078</v>
      </c>
      <c r="B154" s="30"/>
      <c r="C154" s="53">
        <f ca="1">C$20</f>
        <v>267861</v>
      </c>
      <c r="D154" s="53"/>
      <c r="E154" s="180">
        <v>598368</v>
      </c>
      <c r="F154" s="30"/>
      <c r="G154" s="30"/>
      <c r="H154" s="53">
        <f t="shared" ca="1" si="44"/>
        <v>-330507</v>
      </c>
      <c r="I154" s="63"/>
      <c r="J154" s="55">
        <f t="shared" ca="1" si="45"/>
        <v>-1.2338750321995364</v>
      </c>
      <c r="V154" s="559"/>
    </row>
    <row r="155" spans="1:22" x14ac:dyDescent="0.2">
      <c r="A155" s="52">
        <f>$A$21</f>
        <v>45047</v>
      </c>
      <c r="B155" s="30"/>
      <c r="C155" s="53">
        <f ca="1">C$21</f>
        <v>343278</v>
      </c>
      <c r="D155" s="53"/>
      <c r="E155" s="180">
        <v>568069</v>
      </c>
      <c r="F155" s="30"/>
      <c r="G155" s="30"/>
      <c r="H155" s="53">
        <f t="shared" ca="1" si="44"/>
        <v>-224791</v>
      </c>
      <c r="I155" s="63"/>
      <c r="J155" s="55">
        <f t="shared" ca="1" si="45"/>
        <v>-0.65483660473435523</v>
      </c>
      <c r="V155" s="559"/>
    </row>
    <row r="156" spans="1:22" x14ac:dyDescent="0.2">
      <c r="A156" s="52">
        <f>$A$22</f>
        <v>45017</v>
      </c>
      <c r="B156" s="30"/>
      <c r="C156" s="53">
        <f ca="1">C$22</f>
        <v>248737</v>
      </c>
      <c r="D156" s="53"/>
      <c r="E156" s="180">
        <v>607912</v>
      </c>
      <c r="F156" s="30"/>
      <c r="G156" s="30"/>
      <c r="H156" s="53">
        <f t="shared" ca="1" si="44"/>
        <v>-359175</v>
      </c>
      <c r="I156" s="63"/>
      <c r="J156" s="55">
        <f t="shared" ca="1" si="45"/>
        <v>-1.4439950630585718</v>
      </c>
    </row>
    <row r="157" spans="1:22" x14ac:dyDescent="0.2">
      <c r="A157" s="56" t="s">
        <v>632</v>
      </c>
      <c r="B157" s="30"/>
      <c r="C157" s="53">
        <f ca="1">SUM(C146:C156)</f>
        <v>3049703</v>
      </c>
      <c r="D157" s="53"/>
      <c r="E157" s="53">
        <f>SUM(E146:E156)</f>
        <v>6946796</v>
      </c>
      <c r="F157" s="30"/>
      <c r="G157" s="30"/>
      <c r="H157" s="53">
        <f ca="1">SUM(H146:H156)</f>
        <v>-3897093</v>
      </c>
      <c r="I157" s="63"/>
      <c r="J157" s="55">
        <f t="shared" ca="1" si="45"/>
        <v>-1.277859844056946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9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1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tabSelected="1" workbookViewId="0">
      <selection activeCell="X14" sqref="X14"/>
    </sheetView>
  </sheetViews>
  <sheetFormatPr defaultRowHeight="11.25" x14ac:dyDescent="0.2"/>
  <cols>
    <col min="1" max="1" width="13.33203125" customWidth="1"/>
    <col min="4" max="4" width="10.33203125" bestFit="1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3" ht="12.75" x14ac:dyDescent="0.2">
      <c r="C1" s="34" t="str">
        <f>+[0]!Name</f>
        <v>AAMG - Commercial</v>
      </c>
      <c r="R1" s="208" t="s">
        <v>874</v>
      </c>
    </row>
    <row r="2" spans="1:23" x14ac:dyDescent="0.2">
      <c r="C2" s="130" t="s">
        <v>344</v>
      </c>
    </row>
    <row r="3" spans="1:23" x14ac:dyDescent="0.2">
      <c r="W3" t="s">
        <v>1069</v>
      </c>
    </row>
    <row r="4" spans="1:23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3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3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3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3" x14ac:dyDescent="0.2">
      <c r="A8" s="178"/>
      <c r="B8" s="313">
        <f>+Data!BN9</f>
        <v>0.65483901128037991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35">
        <f ca="1">OFFSET([1]MonthlyDays!$F$60,-V8,0)-1</f>
        <v>19</v>
      </c>
    </row>
    <row r="9" spans="1:23" x14ac:dyDescent="0.2">
      <c r="A9" s="178"/>
      <c r="B9" s="313">
        <f>+Data!BN10</f>
        <v>0.8225391026416583</v>
      </c>
      <c r="C9" s="188"/>
      <c r="D9" s="190"/>
      <c r="E9" s="189"/>
      <c r="F9" s="189"/>
      <c r="G9" s="190"/>
      <c r="J9" s="52">
        <f>+Data!AN8</f>
        <v>45352</v>
      </c>
      <c r="K9" s="54">
        <f t="shared" ref="K9:K20" ca="1" si="1">$G$29</f>
        <v>1.9169958794778059</v>
      </c>
      <c r="L9" s="75">
        <f t="shared" ref="L9:L20" si="2">(1+$G$31)^((J9-$D$31+15)/365)</f>
        <v>0.95720606503962014</v>
      </c>
      <c r="M9" s="627">
        <f ca="1">W7</f>
        <v>21</v>
      </c>
      <c r="N9" s="75">
        <f t="shared" ref="N9:N20" si="3">1/VLOOKUP(J9,$A$81:$C$104,3)</f>
        <v>1</v>
      </c>
      <c r="O9" s="358">
        <v>1</v>
      </c>
      <c r="P9" s="54">
        <f t="shared" ref="P9:P20" ca="1" si="4">ROUND(+K9*L9*M9*N9,2)</f>
        <v>38.53</v>
      </c>
      <c r="Q9" s="35">
        <f>+Data!BL8</f>
        <v>5892</v>
      </c>
      <c r="R9" s="53">
        <f t="shared" ref="R9:R20" ca="1" si="5">ROUND($Q9*$P9,0)</f>
        <v>227019</v>
      </c>
      <c r="U9" s="42">
        <f t="shared" si="0"/>
        <v>45292</v>
      </c>
      <c r="V9" s="625">
        <f t="shared" ref="V9:V23" si="6">V8+1</f>
        <v>2</v>
      </c>
      <c r="W9" s="625">
        <f ca="1">OFFSET([1]MonthlyDays!$F$60,-V9,0)</f>
        <v>21</v>
      </c>
    </row>
    <row r="10" spans="1:23" x14ac:dyDescent="0.2">
      <c r="A10" s="178"/>
      <c r="B10" s="313">
        <f>+Data!BN11</f>
        <v>0.88524574736067785</v>
      </c>
      <c r="C10" s="188">
        <f>+Data!AV11</f>
        <v>45261</v>
      </c>
      <c r="D10" s="190">
        <f>+Data!BQ11</f>
        <v>44.619221757462526</v>
      </c>
      <c r="E10" s="626">
        <f t="shared" ref="E10" ca="1" si="7">W10</f>
        <v>20</v>
      </c>
      <c r="F10" s="189">
        <f t="shared" ref="F10" si="8">1/VLOOKUP(C10,$A$81:$C$104,3)</f>
        <v>1</v>
      </c>
      <c r="G10" s="190">
        <f t="shared" ref="G10" ca="1" si="9">D10/E10/F10</f>
        <v>2.2309610878731263</v>
      </c>
      <c r="J10" s="52">
        <f>+Data!AN9</f>
        <v>45323</v>
      </c>
      <c r="K10" s="54">
        <f t="shared" ca="1" si="1"/>
        <v>1.9169958794778059</v>
      </c>
      <c r="L10" s="75">
        <f t="shared" si="2"/>
        <v>0.96192339855257747</v>
      </c>
      <c r="M10" s="627">
        <f t="shared" ref="M10:M20" ca="1" si="10">W8</f>
        <v>19</v>
      </c>
      <c r="N10" s="75">
        <f t="shared" si="3"/>
        <v>1</v>
      </c>
      <c r="O10" s="358">
        <v>1</v>
      </c>
      <c r="P10" s="54">
        <f t="shared" ca="1" si="4"/>
        <v>35.04</v>
      </c>
      <c r="Q10" s="35">
        <f>+Data!BL9</f>
        <v>5831</v>
      </c>
      <c r="R10" s="53">
        <f t="shared" ca="1" si="5"/>
        <v>204318</v>
      </c>
      <c r="U10" s="42">
        <f>C10</f>
        <v>45261</v>
      </c>
      <c r="V10" s="625">
        <f t="shared" si="6"/>
        <v>3</v>
      </c>
      <c r="W10" s="625">
        <f ca="1">OFFSET([1]MonthlyDays!$F$60,-V10,0)</f>
        <v>20</v>
      </c>
    </row>
    <row r="11" spans="1:23" x14ac:dyDescent="0.2">
      <c r="A11" s="178"/>
      <c r="B11" s="313">
        <f>+Data!BN12</f>
        <v>0.91618567270283457</v>
      </c>
      <c r="C11" s="188">
        <f>+Data!AV12</f>
        <v>45231</v>
      </c>
      <c r="D11" s="190">
        <f>+Data!BQ12</f>
        <v>51.148551461187807</v>
      </c>
      <c r="E11" s="626">
        <f t="shared" ref="E11" ca="1" si="11">W11</f>
        <v>21</v>
      </c>
      <c r="F11" s="189">
        <f t="shared" ref="F11" si="12">1/VLOOKUP(C11,$A$81:$C$104,3)</f>
        <v>1</v>
      </c>
      <c r="G11" s="190">
        <f t="shared" ref="G11" ca="1" si="13">D11/E11/F11</f>
        <v>2.4356453076756099</v>
      </c>
      <c r="J11" s="52">
        <f>+Data!AN10</f>
        <v>45292</v>
      </c>
      <c r="K11" s="54">
        <f t="shared" ca="1" si="1"/>
        <v>1.9169958794778059</v>
      </c>
      <c r="L11" s="75">
        <f t="shared" si="2"/>
        <v>0.9669917766983499</v>
      </c>
      <c r="M11" s="627">
        <f t="shared" ca="1" si="10"/>
        <v>21</v>
      </c>
      <c r="N11" s="75">
        <f t="shared" si="3"/>
        <v>1</v>
      </c>
      <c r="O11" s="358">
        <v>1</v>
      </c>
      <c r="P11" s="54">
        <f t="shared" ca="1" si="4"/>
        <v>38.93</v>
      </c>
      <c r="Q11" s="35">
        <f>+Data!BL10</f>
        <v>5760</v>
      </c>
      <c r="R11" s="53">
        <f t="shared" ca="1" si="5"/>
        <v>224237</v>
      </c>
      <c r="U11" s="42">
        <f t="shared" ref="U11:U23" si="14">C11</f>
        <v>45231</v>
      </c>
      <c r="V11" s="625">
        <f t="shared" si="6"/>
        <v>4</v>
      </c>
      <c r="W11" s="625">
        <f ca="1">OFFSET([1]MonthlyDays!$F$60,-V11,0)</f>
        <v>21</v>
      </c>
    </row>
    <row r="12" spans="1:23" x14ac:dyDescent="0.2">
      <c r="A12" s="178"/>
      <c r="B12" s="313">
        <f>+Data!BN13</f>
        <v>0.93844338986626585</v>
      </c>
      <c r="C12" s="188">
        <f>+Data!AV13</f>
        <v>45200</v>
      </c>
      <c r="D12" s="190">
        <f>+Data!BQ13</f>
        <v>44.019825738126954</v>
      </c>
      <c r="E12" s="626">
        <f t="shared" ref="E12" ca="1" si="15">W12</f>
        <v>21</v>
      </c>
      <c r="F12" s="189">
        <f t="shared" ref="F12" si="16">1/VLOOKUP(C12,$A$81:$C$104,3)</f>
        <v>1</v>
      </c>
      <c r="G12" s="190">
        <f t="shared" ref="G12" ca="1" si="17">D12/E12/F12</f>
        <v>2.0961821780060452</v>
      </c>
      <c r="J12" s="52">
        <f>+Data!AN11</f>
        <v>45261</v>
      </c>
      <c r="K12" s="54">
        <f t="shared" ca="1" si="1"/>
        <v>1.9169958794778059</v>
      </c>
      <c r="L12" s="75">
        <f t="shared" si="2"/>
        <v>0.97208686014837753</v>
      </c>
      <c r="M12" s="627">
        <f t="shared" ca="1" si="10"/>
        <v>20</v>
      </c>
      <c r="N12" s="75">
        <f t="shared" si="3"/>
        <v>1</v>
      </c>
      <c r="O12" s="358">
        <v>1</v>
      </c>
      <c r="P12" s="54">
        <f t="shared" ca="1" si="4"/>
        <v>37.270000000000003</v>
      </c>
      <c r="Q12" s="35">
        <f>+Data!BL11</f>
        <v>5910</v>
      </c>
      <c r="R12" s="53">
        <f t="shared" ca="1" si="5"/>
        <v>220266</v>
      </c>
      <c r="U12" s="42">
        <f t="shared" si="14"/>
        <v>45200</v>
      </c>
      <c r="V12" s="625">
        <f t="shared" si="6"/>
        <v>5</v>
      </c>
      <c r="W12" s="625">
        <f ca="1">OFFSET([1]MonthlyDays!$F$60,-V12,0)</f>
        <v>21</v>
      </c>
    </row>
    <row r="13" spans="1:23" x14ac:dyDescent="0.2">
      <c r="A13" s="178"/>
      <c r="B13" s="313">
        <f>+Data!BN14</f>
        <v>0.95414634495957895</v>
      </c>
      <c r="C13" s="188">
        <f>+Data!AV14</f>
        <v>45170</v>
      </c>
      <c r="D13" s="190">
        <f>+Data!BQ14</f>
        <v>33.106590763211592</v>
      </c>
      <c r="E13" s="626">
        <f t="shared" ref="E13:E21" ca="1" si="18">W13</f>
        <v>20</v>
      </c>
      <c r="F13" s="189">
        <f t="shared" ref="F13" si="19">1/VLOOKUP(C13,$A$81:$C$104,3)</f>
        <v>1</v>
      </c>
      <c r="G13" s="190">
        <f t="shared" ref="G13" ca="1" si="20">D13/E13/F13</f>
        <v>1.6553295381605797</v>
      </c>
      <c r="J13" s="52">
        <f>+Data!AN12</f>
        <v>45231</v>
      </c>
      <c r="K13" s="54">
        <f t="shared" ca="1" si="1"/>
        <v>1.9169958794778059</v>
      </c>
      <c r="L13" s="75">
        <f t="shared" si="2"/>
        <v>0.97704314560319261</v>
      </c>
      <c r="M13" s="627">
        <f t="shared" ca="1" si="10"/>
        <v>21</v>
      </c>
      <c r="N13" s="75">
        <f t="shared" si="3"/>
        <v>1</v>
      </c>
      <c r="O13" s="358">
        <v>1</v>
      </c>
      <c r="P13" s="54">
        <f t="shared" ca="1" si="4"/>
        <v>39.33</v>
      </c>
      <c r="Q13" s="35">
        <f>+Data!BL12</f>
        <v>6019</v>
      </c>
      <c r="R13" s="53">
        <f t="shared" ca="1" si="5"/>
        <v>236727</v>
      </c>
      <c r="U13" s="42">
        <f t="shared" si="14"/>
        <v>45170</v>
      </c>
      <c r="V13" s="625">
        <f t="shared" si="6"/>
        <v>6</v>
      </c>
      <c r="W13" s="625">
        <f ca="1">OFFSET([1]MonthlyDays!$F$60,-V13,0)</f>
        <v>20</v>
      </c>
    </row>
    <row r="14" spans="1:23" x14ac:dyDescent="0.2">
      <c r="A14" s="178"/>
      <c r="B14" s="313">
        <f>+Data!BN15</f>
        <v>0.96461221708344935</v>
      </c>
      <c r="C14" s="188">
        <f>+Data!AV15</f>
        <v>45139</v>
      </c>
      <c r="D14" s="190">
        <f>+Data!BQ15</f>
        <v>41.941166298568284</v>
      </c>
      <c r="E14" s="626">
        <f t="shared" ca="1" si="18"/>
        <v>22</v>
      </c>
      <c r="F14" s="189">
        <f t="shared" ref="F14:F15" si="21">1/VLOOKUP(C14,$A$81:$C$104,3)</f>
        <v>1</v>
      </c>
      <c r="G14" s="190">
        <f t="shared" ref="G14:G15" ca="1" si="22">D14/E14/F14</f>
        <v>1.906416649934922</v>
      </c>
      <c r="J14" s="52">
        <f>+Data!AN13</f>
        <v>45200</v>
      </c>
      <c r="K14" s="54">
        <f t="shared" ca="1" si="1"/>
        <v>1.9169958794778059</v>
      </c>
      <c r="L14" s="75">
        <f t="shared" si="2"/>
        <v>0.98219118975525643</v>
      </c>
      <c r="M14" s="627">
        <f t="shared" ca="1" si="10"/>
        <v>21</v>
      </c>
      <c r="N14" s="75">
        <f t="shared" si="3"/>
        <v>1</v>
      </c>
      <c r="O14" s="358">
        <v>1</v>
      </c>
      <c r="P14" s="54">
        <f t="shared" ca="1" si="4"/>
        <v>39.54</v>
      </c>
      <c r="Q14" s="35">
        <f>+Data!BL13</f>
        <v>6813</v>
      </c>
      <c r="R14" s="53">
        <f t="shared" ca="1" si="5"/>
        <v>269386</v>
      </c>
      <c r="U14" s="42">
        <f t="shared" si="14"/>
        <v>45139</v>
      </c>
      <c r="V14" s="625">
        <f t="shared" si="6"/>
        <v>7</v>
      </c>
      <c r="W14" s="625">
        <f ca="1">OFFSET([1]MonthlyDays!$F$60,-V14,0)</f>
        <v>22</v>
      </c>
    </row>
    <row r="15" spans="1:23" x14ac:dyDescent="0.2">
      <c r="A15" s="178"/>
      <c r="B15" s="313">
        <f>+Data!BN16</f>
        <v>0.97644923512466342</v>
      </c>
      <c r="C15" s="188">
        <f>+Data!AV16</f>
        <v>45108</v>
      </c>
      <c r="D15" s="190">
        <f>+Data!BQ16</f>
        <v>42.973141925367315</v>
      </c>
      <c r="E15" s="626">
        <f t="shared" ca="1" si="18"/>
        <v>20</v>
      </c>
      <c r="F15" s="189">
        <f t="shared" si="21"/>
        <v>1</v>
      </c>
      <c r="G15" s="190">
        <f t="shared" ca="1" si="22"/>
        <v>2.1486570962683658</v>
      </c>
      <c r="J15" s="52">
        <f>+Data!AN14</f>
        <v>45170</v>
      </c>
      <c r="K15" s="54">
        <f t="shared" ca="1" si="1"/>
        <v>1.9169958794778059</v>
      </c>
      <c r="L15" s="75">
        <f t="shared" si="2"/>
        <v>0.98719899318023885</v>
      </c>
      <c r="M15" s="627">
        <f t="shared" ca="1" si="10"/>
        <v>20</v>
      </c>
      <c r="N15" s="75">
        <f t="shared" si="3"/>
        <v>1</v>
      </c>
      <c r="O15" s="358">
        <v>1</v>
      </c>
      <c r="P15" s="54">
        <f t="shared" ca="1" si="4"/>
        <v>37.85</v>
      </c>
      <c r="Q15" s="35">
        <f>+Data!BL14</f>
        <v>7169</v>
      </c>
      <c r="R15" s="53">
        <f t="shared" ca="1" si="5"/>
        <v>271347</v>
      </c>
      <c r="U15" s="42">
        <f t="shared" si="14"/>
        <v>45108</v>
      </c>
      <c r="V15" s="625">
        <f t="shared" si="6"/>
        <v>8</v>
      </c>
      <c r="W15" s="625">
        <f ca="1">OFFSET([1]MonthlyDays!$F$60,-V15,0)</f>
        <v>20</v>
      </c>
    </row>
    <row r="16" spans="1:23" x14ac:dyDescent="0.2">
      <c r="A16" s="178"/>
      <c r="B16" s="313">
        <f>+Data!BN17</f>
        <v>0.9888472365669273</v>
      </c>
      <c r="C16" s="188">
        <f>+Data!AV17</f>
        <v>45078</v>
      </c>
      <c r="D16" s="190">
        <f>+Data!BQ17</f>
        <v>37.063943783520095</v>
      </c>
      <c r="E16" s="626">
        <f t="shared" ca="1" si="18"/>
        <v>21</v>
      </c>
      <c r="F16" s="189">
        <f t="shared" ref="F16" si="23">1/VLOOKUP(C16,$A$81:$C$104,3)</f>
        <v>1</v>
      </c>
      <c r="G16" s="190">
        <f t="shared" ref="G16" ca="1" si="24">D16/E16/F16</f>
        <v>1.7649497039771473</v>
      </c>
      <c r="J16" s="52">
        <f>+Data!AN15</f>
        <v>45139</v>
      </c>
      <c r="K16" s="54">
        <f t="shared" ca="1" si="1"/>
        <v>1.9169958794778059</v>
      </c>
      <c r="L16" s="75">
        <f t="shared" si="2"/>
        <v>0.99240054853287107</v>
      </c>
      <c r="M16" s="627">
        <f t="shared" ca="1" si="10"/>
        <v>22</v>
      </c>
      <c r="N16" s="75">
        <f t="shared" si="3"/>
        <v>1</v>
      </c>
      <c r="O16" s="358">
        <v>1</v>
      </c>
      <c r="P16" s="54">
        <f t="shared" ca="1" si="4"/>
        <v>41.85</v>
      </c>
      <c r="Q16" s="35">
        <f>+Data!BL15</f>
        <v>7204</v>
      </c>
      <c r="R16" s="53">
        <f t="shared" ca="1" si="5"/>
        <v>301487</v>
      </c>
      <c r="T16" s="623"/>
      <c r="U16" s="42">
        <f t="shared" si="14"/>
        <v>45078</v>
      </c>
      <c r="V16" s="625">
        <f t="shared" si="6"/>
        <v>9</v>
      </c>
      <c r="W16" s="625">
        <f ca="1">OFFSET([1]MonthlyDays!$F$60,-V16,0)</f>
        <v>21</v>
      </c>
    </row>
    <row r="17" spans="1:29" x14ac:dyDescent="0.2">
      <c r="A17" s="178"/>
      <c r="B17" s="313">
        <f>+Data!BN18</f>
        <v>0.99237227838733333</v>
      </c>
      <c r="C17" s="188">
        <f>+Data!AV18</f>
        <v>45047</v>
      </c>
      <c r="D17" s="190">
        <f>+Data!BQ18</f>
        <v>47.723872880394211</v>
      </c>
      <c r="E17" s="626">
        <f t="shared" ca="1" si="18"/>
        <v>22</v>
      </c>
      <c r="F17" s="189">
        <f t="shared" ref="F17:F19" si="25">1/VLOOKUP(C17,$A$81:$C$104,3)</f>
        <v>1</v>
      </c>
      <c r="G17" s="190">
        <f t="shared" ref="G17:G19" ca="1" si="26">D17/E17/F17</f>
        <v>2.1692669491088279</v>
      </c>
      <c r="J17" s="52">
        <f>+Data!AN16</f>
        <v>45108</v>
      </c>
      <c r="K17" s="54">
        <f t="shared" ca="1" si="1"/>
        <v>1.9169958794778059</v>
      </c>
      <c r="L17" s="75">
        <f t="shared" si="2"/>
        <v>0.99762951090098173</v>
      </c>
      <c r="M17" s="627">
        <f t="shared" ca="1" si="10"/>
        <v>20</v>
      </c>
      <c r="N17" s="75">
        <f t="shared" si="3"/>
        <v>1</v>
      </c>
      <c r="O17" s="358">
        <v>1</v>
      </c>
      <c r="P17" s="54">
        <f t="shared" ca="1" si="4"/>
        <v>38.25</v>
      </c>
      <c r="Q17" s="35">
        <f>+Data!BL16</f>
        <v>7219</v>
      </c>
      <c r="R17" s="53">
        <f t="shared" ca="1" si="5"/>
        <v>276127</v>
      </c>
      <c r="U17" s="42">
        <f t="shared" si="14"/>
        <v>45047</v>
      </c>
      <c r="V17" s="625">
        <f t="shared" si="6"/>
        <v>10</v>
      </c>
      <c r="W17" s="625">
        <f ca="1">OFFSET([1]MonthlyDays!$F$60,-V17,0)</f>
        <v>22</v>
      </c>
    </row>
    <row r="18" spans="1:29" x14ac:dyDescent="0.2">
      <c r="A18" s="178"/>
      <c r="B18" s="313">
        <f>+Data!BN19</f>
        <v>0.99458592875873786</v>
      </c>
      <c r="C18" s="188">
        <f>+Data!AV19</f>
        <v>45017</v>
      </c>
      <c r="D18" s="190">
        <f>+Data!BQ19</f>
        <v>34.759218791804294</v>
      </c>
      <c r="E18" s="626">
        <f t="shared" ca="1" si="18"/>
        <v>20</v>
      </c>
      <c r="F18" s="189">
        <f t="shared" si="25"/>
        <v>1</v>
      </c>
      <c r="G18" s="190">
        <f t="shared" ca="1" si="26"/>
        <v>1.7379609395902147</v>
      </c>
      <c r="J18" s="52">
        <f>+Data!AN17</f>
        <v>45078</v>
      </c>
      <c r="K18" s="54">
        <f t="shared" ca="1" si="1"/>
        <v>1.9169958794778059</v>
      </c>
      <c r="L18" s="75">
        <f t="shared" si="2"/>
        <v>1.0027160282039913</v>
      </c>
      <c r="M18" s="627">
        <f t="shared" ca="1" si="10"/>
        <v>21</v>
      </c>
      <c r="N18" s="75">
        <f t="shared" si="3"/>
        <v>1</v>
      </c>
      <c r="O18" s="358">
        <v>1</v>
      </c>
      <c r="P18" s="54">
        <f t="shared" ca="1" si="4"/>
        <v>40.369999999999997</v>
      </c>
      <c r="Q18" s="35">
        <f>+Data!BL17</f>
        <v>7227</v>
      </c>
      <c r="R18" s="53">
        <f t="shared" ca="1" si="5"/>
        <v>291754</v>
      </c>
      <c r="U18" s="42">
        <f t="shared" si="14"/>
        <v>45017</v>
      </c>
      <c r="V18" s="625">
        <f t="shared" si="6"/>
        <v>11</v>
      </c>
      <c r="W18" s="625">
        <f ca="1">OFFSET([1]MonthlyDays!$F$60,-V18,0)</f>
        <v>20</v>
      </c>
    </row>
    <row r="19" spans="1:29" x14ac:dyDescent="0.2">
      <c r="A19" s="178"/>
      <c r="B19" s="313">
        <f>+Data!BN20</f>
        <v>0.99641227084568773</v>
      </c>
      <c r="C19" s="188">
        <f>+Data!AV20</f>
        <v>44986</v>
      </c>
      <c r="D19" s="190">
        <f>+Data!BQ20</f>
        <v>34.758119102387823</v>
      </c>
      <c r="E19" s="626">
        <f t="shared" ca="1" si="18"/>
        <v>23</v>
      </c>
      <c r="F19" s="189">
        <f t="shared" si="25"/>
        <v>1</v>
      </c>
      <c r="G19" s="190">
        <f t="shared" ca="1" si="26"/>
        <v>1.5112225696690358</v>
      </c>
      <c r="J19" s="52">
        <f>+Data!AN18</f>
        <v>45047</v>
      </c>
      <c r="K19" s="54">
        <f t="shared" ca="1" si="1"/>
        <v>1.9169958794778059</v>
      </c>
      <c r="L19" s="75">
        <f t="shared" si="2"/>
        <v>1.0079993428747978</v>
      </c>
      <c r="M19" s="627">
        <f t="shared" ca="1" si="10"/>
        <v>22</v>
      </c>
      <c r="N19" s="75">
        <f t="shared" si="3"/>
        <v>1</v>
      </c>
      <c r="O19" s="358">
        <v>1</v>
      </c>
      <c r="P19" s="54">
        <f t="shared" ca="1" si="4"/>
        <v>42.51</v>
      </c>
      <c r="Q19" s="35">
        <f>+Data!BL18</f>
        <v>7193</v>
      </c>
      <c r="R19" s="53">
        <f t="shared" ca="1" si="5"/>
        <v>305774</v>
      </c>
      <c r="U19" s="42">
        <f t="shared" si="14"/>
        <v>44986</v>
      </c>
      <c r="V19" s="625">
        <f t="shared" si="6"/>
        <v>12</v>
      </c>
      <c r="W19" s="625">
        <f ca="1">OFFSET([1]MonthlyDays!$F$60,-V19,0)</f>
        <v>23</v>
      </c>
    </row>
    <row r="20" spans="1:29" x14ac:dyDescent="0.2">
      <c r="A20" s="178"/>
      <c r="B20" s="313">
        <f>+Data!BN21</f>
        <v>0.9969610531174915</v>
      </c>
      <c r="C20" s="188">
        <f>+Data!AV21</f>
        <v>44958</v>
      </c>
      <c r="D20" s="190">
        <f>+Data!BQ21</f>
        <v>32.72631909159788</v>
      </c>
      <c r="E20" s="626">
        <f t="shared" ca="1" si="18"/>
        <v>19</v>
      </c>
      <c r="F20" s="189">
        <f t="shared" ref="F20:F21" si="27">1/VLOOKUP(C20,$A$81:$C$104,3)</f>
        <v>1</v>
      </c>
      <c r="G20" s="190">
        <f t="shared" ref="G20:G21" ca="1" si="28">D20/E20/F20</f>
        <v>1.7224378469262043</v>
      </c>
      <c r="J20" s="52">
        <f>+Data!AN19</f>
        <v>45017</v>
      </c>
      <c r="K20" s="54">
        <f t="shared" ca="1" si="1"/>
        <v>1.9169958794778059</v>
      </c>
      <c r="L20" s="75">
        <f t="shared" si="2"/>
        <v>1.0131387318392684</v>
      </c>
      <c r="M20" s="627">
        <f t="shared" ca="1" si="10"/>
        <v>20</v>
      </c>
      <c r="N20" s="75">
        <f t="shared" si="3"/>
        <v>1</v>
      </c>
      <c r="O20" s="358">
        <v>1</v>
      </c>
      <c r="P20" s="54">
        <f t="shared" ca="1" si="4"/>
        <v>38.840000000000003</v>
      </c>
      <c r="Q20" s="35">
        <f>+Data!BL19</f>
        <v>7156</v>
      </c>
      <c r="R20" s="53">
        <f t="shared" ca="1" si="5"/>
        <v>277939</v>
      </c>
      <c r="U20" s="42">
        <f t="shared" si="14"/>
        <v>44958</v>
      </c>
      <c r="V20" s="625">
        <f t="shared" si="6"/>
        <v>13</v>
      </c>
      <c r="W20" s="625">
        <f ca="1">OFFSET([1]MonthlyDays!$F$60,-V20,0)</f>
        <v>19</v>
      </c>
    </row>
    <row r="21" spans="1:29" x14ac:dyDescent="0.2">
      <c r="A21" s="178"/>
      <c r="B21" s="313">
        <f>+Data!BN22</f>
        <v>0.99791863190654806</v>
      </c>
      <c r="C21" s="188">
        <f>+Data!AV22</f>
        <v>44927</v>
      </c>
      <c r="D21" s="190">
        <f>+Data!BQ22</f>
        <v>32.49841373087169</v>
      </c>
      <c r="E21" s="626">
        <f t="shared" ca="1" si="18"/>
        <v>20</v>
      </c>
      <c r="F21" s="189">
        <f t="shared" si="27"/>
        <v>1</v>
      </c>
      <c r="G21" s="190">
        <f t="shared" ca="1" si="28"/>
        <v>1.6249206865435846</v>
      </c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4"/>
        <v>44927</v>
      </c>
      <c r="V21" s="625">
        <f t="shared" si="6"/>
        <v>14</v>
      </c>
      <c r="W21" s="625">
        <f ca="1">OFFSET([1]MonthlyDays!$F$60,-V21,0)</f>
        <v>20</v>
      </c>
    </row>
    <row r="22" spans="1:29" x14ac:dyDescent="0.2">
      <c r="A22" s="178"/>
      <c r="B22" s="313">
        <f>+Data!BN23</f>
        <v>0.99792428747487705</v>
      </c>
      <c r="C22" s="188"/>
      <c r="D22" s="190"/>
      <c r="E22" s="626"/>
      <c r="F22" s="189"/>
      <c r="G22" s="190"/>
      <c r="K22" s="2"/>
      <c r="L22" s="42"/>
      <c r="U22" s="42">
        <f t="shared" si="14"/>
        <v>0</v>
      </c>
      <c r="V22" s="625">
        <f t="shared" si="6"/>
        <v>15</v>
      </c>
      <c r="W22" s="625">
        <f ca="1">OFFSET([1]MonthlyDays!$F$60,-V22,0)</f>
        <v>20</v>
      </c>
    </row>
    <row r="23" spans="1:29" x14ac:dyDescent="0.2">
      <c r="A23" s="178"/>
      <c r="B23" s="313">
        <f>+Data!BN24</f>
        <v>0.99794125437217762</v>
      </c>
      <c r="C23" s="188"/>
      <c r="D23" s="190"/>
      <c r="E23" s="626"/>
      <c r="F23" s="189"/>
      <c r="G23" s="190"/>
      <c r="K23" s="2"/>
      <c r="U23" s="42">
        <f t="shared" si="14"/>
        <v>0</v>
      </c>
      <c r="V23" s="625">
        <f t="shared" si="6"/>
        <v>16</v>
      </c>
      <c r="W23" s="625">
        <f ca="1">OFFSET([1]MonthlyDays!$F$60,-V23,0)</f>
        <v>20</v>
      </c>
    </row>
    <row r="24" spans="1:29" x14ac:dyDescent="0.2">
      <c r="A24" s="178"/>
      <c r="B24" s="313">
        <f>+Data!BN25</f>
        <v>0.9983674544622958</v>
      </c>
      <c r="C24" s="188"/>
      <c r="D24" s="190"/>
      <c r="E24" s="189"/>
      <c r="F24" s="189"/>
      <c r="G24" s="190"/>
      <c r="K24" s="2"/>
      <c r="U24" s="42"/>
      <c r="V24" s="625"/>
      <c r="W24" s="625"/>
    </row>
    <row r="25" spans="1:29" x14ac:dyDescent="0.2">
      <c r="A25" s="178"/>
      <c r="B25" s="313">
        <f>+Data!BN26</f>
        <v>0.99964714717114733</v>
      </c>
      <c r="C25" s="188"/>
      <c r="D25" s="190"/>
      <c r="E25" s="189"/>
      <c r="F25" s="189"/>
      <c r="G25" s="190"/>
      <c r="S25" t="s">
        <v>417</v>
      </c>
      <c r="U25" s="42"/>
      <c r="V25" s="625"/>
      <c r="W25" s="625"/>
    </row>
    <row r="26" spans="1:29" x14ac:dyDescent="0.2">
      <c r="A26" s="178"/>
      <c r="B26" s="313">
        <f>+Data!BN27</f>
        <v>0.99964714717114733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0.99964714717114733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39.778198777041702</v>
      </c>
      <c r="E29" s="30"/>
      <c r="F29" s="30"/>
      <c r="G29" s="54">
        <f ca="1">AVERAGE(G8:G28)</f>
        <v>1.9169958794778059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45109</v>
      </c>
      <c r="F31" s="30" t="s">
        <v>179</v>
      </c>
      <c r="G31" s="162">
        <v>-0.06</v>
      </c>
      <c r="K31" s="52">
        <f t="shared" ref="K31:K42" si="29">+J9</f>
        <v>45352</v>
      </c>
      <c r="L31" s="53">
        <f ca="1">+R9</f>
        <v>227019</v>
      </c>
      <c r="M31" s="191">
        <v>1</v>
      </c>
      <c r="N31" s="30"/>
      <c r="O31" s="53">
        <f>Data!$BO8</f>
        <v>253118.61085739135</v>
      </c>
      <c r="P31" s="87">
        <f t="shared" ref="P31:P42" si="30">1-$M31</f>
        <v>0</v>
      </c>
      <c r="Q31" s="30"/>
      <c r="R31" s="53">
        <f t="shared" ref="R31:R42" ca="1" si="31">ROUND($L31*$M31+$O31*$P31,0)</f>
        <v>227019</v>
      </c>
      <c r="S31" s="88">
        <f>+Data!BN8</f>
        <v>0.15788285920435713</v>
      </c>
      <c r="T31" s="67">
        <f ca="1">+Final!J11</f>
        <v>0.17603412049211731</v>
      </c>
      <c r="U31" s="89">
        <f t="shared" ref="U31:U42" ca="1" si="32">T31-S31</f>
        <v>1.8151261287760179E-2</v>
      </c>
      <c r="V31" s="450" t="str">
        <f ca="1">IF(Final!L11&lt;0,"Problem","ok")</f>
        <v>ok</v>
      </c>
      <c r="W31" s="66">
        <f ca="1">Final!$R11</f>
        <v>31.747438900203672</v>
      </c>
      <c r="X31" s="43">
        <f ca="1">Final!$L11</f>
        <v>187055.91000000003</v>
      </c>
      <c r="Y31" s="43">
        <f ca="1">Final!$C11</f>
        <v>227019</v>
      </c>
      <c r="Z31" s="43">
        <f>Data!$AL$142</f>
        <v>184407.05</v>
      </c>
      <c r="AA31" s="43">
        <f t="shared" ref="AA31:AA42" ca="1" si="33">Y31-Z31</f>
        <v>42611.950000000012</v>
      </c>
      <c r="AB31" s="43">
        <f ca="1">SUM(AA$31)</f>
        <v>42611.950000000012</v>
      </c>
      <c r="AC31" s="67">
        <f ca="1">AB31/SUM(Y$31)</f>
        <v>0.18770213065866739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29"/>
        <v>45323</v>
      </c>
      <c r="L32" s="53">
        <f t="shared" ref="L32:L42" ca="1" si="34">+R10</f>
        <v>204318</v>
      </c>
      <c r="M32" s="191">
        <v>0.85</v>
      </c>
      <c r="N32" s="30"/>
      <c r="O32" s="53">
        <f>Data!$BO9</f>
        <v>198004.40683348896</v>
      </c>
      <c r="P32" s="87">
        <f t="shared" si="30"/>
        <v>0.15000000000000002</v>
      </c>
      <c r="Q32" s="30"/>
      <c r="R32" s="53">
        <f t="shared" ca="1" si="31"/>
        <v>203371</v>
      </c>
      <c r="S32" s="88">
        <f>+Data!BN9</f>
        <v>0.65483901128037991</v>
      </c>
      <c r="T32" s="67">
        <f ca="1">+Final!J12</f>
        <v>0.63755899317011766</v>
      </c>
      <c r="U32" s="89">
        <f t="shared" ca="1" si="32"/>
        <v>-1.7280018110262252E-2</v>
      </c>
      <c r="V32" s="450" t="str">
        <f ca="1">IF(Final!L12&lt;0,"Problem","ok")</f>
        <v>ok</v>
      </c>
      <c r="W32" s="66">
        <f ca="1">Final!$R12</f>
        <v>12.641054707597323</v>
      </c>
      <c r="X32" s="43">
        <f ca="1">Final!$L12</f>
        <v>73709.989999999991</v>
      </c>
      <c r="Y32" s="43">
        <f ca="1">Final!$C12</f>
        <v>203371</v>
      </c>
      <c r="Z32" s="43">
        <f>Data!$AK$142</f>
        <v>322496.55999999994</v>
      </c>
      <c r="AA32" s="43">
        <f t="shared" ca="1" si="33"/>
        <v>-119125.55999999994</v>
      </c>
      <c r="AB32" s="43">
        <f ca="1">SUM(AA31:AA$32)</f>
        <v>-76513.609999999928</v>
      </c>
      <c r="AC32" s="67">
        <f ca="1">AB32/SUM(Y31:Y$32)</f>
        <v>-0.17777738795046336</v>
      </c>
    </row>
    <row r="33" spans="1:29" x14ac:dyDescent="0.2">
      <c r="K33" s="52">
        <f t="shared" si="29"/>
        <v>45292</v>
      </c>
      <c r="L33" s="53">
        <f t="shared" ca="1" si="34"/>
        <v>224237</v>
      </c>
      <c r="M33" s="191">
        <v>0.3</v>
      </c>
      <c r="N33" s="30"/>
      <c r="O33" s="53">
        <f>Data!$BO10</f>
        <v>289073.2966206313</v>
      </c>
      <c r="P33" s="87">
        <f t="shared" si="30"/>
        <v>0.7</v>
      </c>
      <c r="Q33" s="30"/>
      <c r="R33" s="53">
        <f t="shared" ca="1" si="31"/>
        <v>269622</v>
      </c>
      <c r="S33" s="88">
        <f>+Data!BN10</f>
        <v>0.8225391026416583</v>
      </c>
      <c r="T33" s="67">
        <f ca="1">+Final!J13</f>
        <v>0.88187940895030814</v>
      </c>
      <c r="U33" s="89">
        <f t="shared" ca="1" si="32"/>
        <v>5.9340306308649837E-2</v>
      </c>
      <c r="V33" s="450" t="str">
        <f ca="1">IF(Final!L13&lt;0,"Problem","ok")</f>
        <v>ok</v>
      </c>
      <c r="W33" s="66">
        <f ca="1">Final!$R13</f>
        <v>5.5291510416666725</v>
      </c>
      <c r="X33" s="43">
        <f ca="1">Final!$L13</f>
        <v>31847.910000000033</v>
      </c>
      <c r="Y33" s="43">
        <f ca="1">Final!$C13</f>
        <v>269622</v>
      </c>
      <c r="Z33" s="43">
        <f>Data!$AJ$142</f>
        <v>302948.39000000007</v>
      </c>
      <c r="AA33" s="43">
        <f t="shared" ca="1" si="33"/>
        <v>-33326.390000000072</v>
      </c>
      <c r="AB33" s="43">
        <f ca="1">SUM(AA31:AA$33)</f>
        <v>-109840</v>
      </c>
      <c r="AC33" s="67">
        <f ca="1">AB33/SUM(Y31:Y$33)</f>
        <v>-0.15691159580121483</v>
      </c>
    </row>
    <row r="34" spans="1:29" x14ac:dyDescent="0.2">
      <c r="C34" s="3" t="s">
        <v>342</v>
      </c>
      <c r="D34" s="48"/>
      <c r="K34" s="52">
        <f t="shared" si="29"/>
        <v>45261</v>
      </c>
      <c r="L34" s="53">
        <f t="shared" ca="1" si="34"/>
        <v>220266</v>
      </c>
      <c r="M34" s="191">
        <v>0.1</v>
      </c>
      <c r="N34" s="30"/>
      <c r="O34" s="53">
        <f>Data!$BO11</f>
        <v>263699.60058660351</v>
      </c>
      <c r="P34" s="87">
        <f t="shared" si="30"/>
        <v>0.9</v>
      </c>
      <c r="Q34" s="30"/>
      <c r="R34" s="53">
        <f t="shared" ca="1" si="31"/>
        <v>259356</v>
      </c>
      <c r="S34" s="88">
        <f>+Data!BN11</f>
        <v>0.88524574736067785</v>
      </c>
      <c r="T34" s="67">
        <f ca="1">+Final!J14</f>
        <v>0.90007152331158746</v>
      </c>
      <c r="U34" s="89">
        <f t="shared" ca="1" si="32"/>
        <v>1.4825775950909614E-2</v>
      </c>
      <c r="V34" s="450" t="str">
        <f ca="1">IF(Final!L14&lt;0,"Problem","ok")</f>
        <v>ok</v>
      </c>
      <c r="W34" s="66">
        <f ca="1">Final!$R14</f>
        <v>4.3852876480541338</v>
      </c>
      <c r="X34" s="43">
        <f ca="1">Final!$L14</f>
        <v>25917.04999999993</v>
      </c>
      <c r="Y34" s="43">
        <f ca="1">Final!$C14</f>
        <v>259356</v>
      </c>
      <c r="Z34" s="43">
        <f>Data!$AI$142</f>
        <v>268020.35000000009</v>
      </c>
      <c r="AA34" s="43">
        <f t="shared" ca="1" si="33"/>
        <v>-8664.3500000000931</v>
      </c>
      <c r="AB34" s="43">
        <f ca="1">SUM(AA31:AA$34)</f>
        <v>-118504.35000000009</v>
      </c>
      <c r="AC34" s="67">
        <f ca="1">AB34/SUM(Y31:Y$34)</f>
        <v>-0.1235233507892697</v>
      </c>
    </row>
    <row r="35" spans="1:29" x14ac:dyDescent="0.2">
      <c r="B35" s="67"/>
      <c r="C35" s="130" t="s">
        <v>343</v>
      </c>
      <c r="G35" s="2"/>
      <c r="H35" s="2"/>
      <c r="K35" s="52">
        <f t="shared" si="29"/>
        <v>45231</v>
      </c>
      <c r="L35" s="53">
        <f t="shared" ca="1" si="34"/>
        <v>236727</v>
      </c>
      <c r="M35" s="191">
        <v>0</v>
      </c>
      <c r="N35" s="30"/>
      <c r="O35" s="53">
        <f>Data!$BO12</f>
        <v>307863.1312448894</v>
      </c>
      <c r="P35" s="87">
        <f t="shared" si="30"/>
        <v>1</v>
      </c>
      <c r="Q35" s="30"/>
      <c r="R35" s="53">
        <f t="shared" ca="1" si="31"/>
        <v>307863</v>
      </c>
      <c r="S35" s="88">
        <f>+Data!BN12</f>
        <v>0.91618567270283457</v>
      </c>
      <c r="T35" s="67">
        <f ca="1">+Final!J15</f>
        <v>0.91618606328139474</v>
      </c>
      <c r="U35" s="89">
        <f t="shared" ca="1" si="32"/>
        <v>3.9057856016100345E-7</v>
      </c>
      <c r="V35" s="450" t="str">
        <f ca="1">IF(Final!L15&lt;0,"Problem","ok")</f>
        <v>ok</v>
      </c>
      <c r="W35" s="66">
        <f ca="1">Final!$R15</f>
        <v>4.2869596278451505</v>
      </c>
      <c r="X35" s="43">
        <f ca="1">Final!$L15</f>
        <v>25803.209999999963</v>
      </c>
      <c r="Y35" s="43">
        <f ca="1">Final!$C15</f>
        <v>307863</v>
      </c>
      <c r="Z35" s="43">
        <f>Data!$AH$142</f>
        <v>316036.46000000008</v>
      </c>
      <c r="AA35" s="43">
        <f t="shared" ca="1" si="33"/>
        <v>-8173.4600000000792</v>
      </c>
      <c r="AB35" s="43">
        <f ca="1">SUM(AA31:AA$35)</f>
        <v>-126677.81000000017</v>
      </c>
      <c r="AC35" s="67">
        <f ca="1">AB35/SUM(Y31:Y$35)</f>
        <v>-9.9964260659658868E-2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29"/>
        <v>45200</v>
      </c>
      <c r="L36" s="53">
        <f t="shared" ca="1" si="34"/>
        <v>269386</v>
      </c>
      <c r="M36" s="191">
        <v>0</v>
      </c>
      <c r="N36" s="30"/>
      <c r="O36" s="53">
        <f>Data!$BO13</f>
        <v>299907.07275385893</v>
      </c>
      <c r="P36" s="87">
        <f t="shared" si="30"/>
        <v>1</v>
      </c>
      <c r="Q36" s="30"/>
      <c r="R36" s="53">
        <f t="shared" ca="1" si="31"/>
        <v>299907</v>
      </c>
      <c r="S36" s="88">
        <f>+Data!BN13</f>
        <v>0.93844338986626585</v>
      </c>
      <c r="T36" s="67">
        <f ca="1">+Final!J16</f>
        <v>0.93844361752143224</v>
      </c>
      <c r="U36" s="89">
        <f t="shared" ca="1" si="32"/>
        <v>2.2765516638489913E-7</v>
      </c>
      <c r="V36" s="450" t="str">
        <f ca="1">IF(Final!L16&lt;0,"Problem","ok")</f>
        <v>ok</v>
      </c>
      <c r="W36" s="66">
        <f ca="1">Final!$R16</f>
        <v>2.7097005724350254</v>
      </c>
      <c r="X36" s="43">
        <f ca="1">Final!$L16</f>
        <v>18461.189999999828</v>
      </c>
      <c r="Y36" s="43">
        <f ca="1">Final!$C16</f>
        <v>299907</v>
      </c>
      <c r="Z36" s="43">
        <f>Data!$AG$142</f>
        <v>234488.36000000004</v>
      </c>
      <c r="AA36" s="43">
        <f t="shared" ca="1" si="33"/>
        <v>65418.639999999956</v>
      </c>
      <c r="AB36" s="43">
        <f ca="1">SUM(AA31:AA$36)</f>
        <v>-61259.170000000217</v>
      </c>
      <c r="AC36" s="67">
        <f ca="1">AB36/SUM(Y31:Y$36)</f>
        <v>-3.9089837653097696E-2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-0.12309349040752426</v>
      </c>
      <c r="H37" s="70">
        <f ca="1">+LeastSq!F11</f>
        <v>-0.12309349040752426</v>
      </c>
      <c r="I37" s="29"/>
      <c r="K37" s="52">
        <f t="shared" si="29"/>
        <v>45170</v>
      </c>
      <c r="L37" s="53">
        <f t="shared" ca="1" si="34"/>
        <v>271347</v>
      </c>
      <c r="M37" s="191">
        <v>0</v>
      </c>
      <c r="N37" s="30"/>
      <c r="O37" s="53">
        <f>Data!$BO14</f>
        <v>237341.1491814639</v>
      </c>
      <c r="P37" s="87">
        <f t="shared" si="30"/>
        <v>1</v>
      </c>
      <c r="Q37" s="30"/>
      <c r="R37" s="53">
        <f t="shared" ca="1" si="31"/>
        <v>237341</v>
      </c>
      <c r="S37" s="88">
        <f>+Data!BN14</f>
        <v>0.95414634495957895</v>
      </c>
      <c r="T37" s="67">
        <f ca="1">+Final!J17</f>
        <v>0.95414694469139316</v>
      </c>
      <c r="U37" s="89">
        <f t="shared" ca="1" si="32"/>
        <v>5.9973181421035804E-7</v>
      </c>
      <c r="V37" s="450" t="str">
        <f ca="1">IF(Final!L17&lt;0,"Problem","ok")</f>
        <v>ok</v>
      </c>
      <c r="W37" s="66">
        <f ca="1">Final!$R17</f>
        <v>1.518037383177578</v>
      </c>
      <c r="X37" s="43">
        <f ca="1">Final!$L17</f>
        <v>10882.810000000056</v>
      </c>
      <c r="Y37" s="43">
        <f ca="1">Final!$C17</f>
        <v>237341</v>
      </c>
      <c r="Z37" s="43">
        <f>Data!$AF$142</f>
        <v>175880.59</v>
      </c>
      <c r="AA37" s="43">
        <f t="shared" ca="1" si="33"/>
        <v>61460.41</v>
      </c>
      <c r="AB37" s="43">
        <f ca="1">SUM(AA31:AA$37)</f>
        <v>201.23999999978696</v>
      </c>
      <c r="AC37" s="67">
        <f ca="1">AB37/SUM(Y31:Y$37)</f>
        <v>1.1152249485850872E-4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-3.0559100933952976E-2</v>
      </c>
      <c r="H38" s="70">
        <f ca="1">+LeastSq!F12</f>
        <v>-3.0559100933952976E-2</v>
      </c>
      <c r="I38" s="67"/>
      <c r="K38" s="52">
        <f t="shared" si="29"/>
        <v>45139</v>
      </c>
      <c r="L38" s="53">
        <f t="shared" ca="1" si="34"/>
        <v>301487</v>
      </c>
      <c r="M38" s="191">
        <v>0</v>
      </c>
      <c r="N38" s="30"/>
      <c r="O38" s="53">
        <f>Data!$BO15</f>
        <v>302144.16201488592</v>
      </c>
      <c r="P38" s="87">
        <f t="shared" si="30"/>
        <v>1</v>
      </c>
      <c r="Q38" s="30"/>
      <c r="R38" s="53">
        <f t="shared" ca="1" si="31"/>
        <v>302144</v>
      </c>
      <c r="S38" s="88">
        <f>+Data!BN15</f>
        <v>0.96461221708344935</v>
      </c>
      <c r="T38" s="67">
        <f ca="1">+Final!J18</f>
        <v>0.96461273432535488</v>
      </c>
      <c r="U38" s="89">
        <f t="shared" ca="1" si="32"/>
        <v>5.1724190552882021E-7</v>
      </c>
      <c r="V38" s="450" t="str">
        <f ca="1">IF(Final!L18&lt;0,"Problem","ok")</f>
        <v>ok</v>
      </c>
      <c r="W38" s="66">
        <f ca="1">Final!$R18</f>
        <v>1.4841823986674054</v>
      </c>
      <c r="X38" s="43">
        <f ca="1">Final!$L18</f>
        <v>10692.049999999988</v>
      </c>
      <c r="Y38" s="43">
        <f ca="1">Final!$C18</f>
        <v>302144</v>
      </c>
      <c r="Z38" s="43">
        <f>Data!$AE$142</f>
        <v>358027.36</v>
      </c>
      <c r="AA38" s="43">
        <f t="shared" ca="1" si="33"/>
        <v>-55883.359999999986</v>
      </c>
      <c r="AB38" s="43">
        <f ca="1">SUM(AA31:AA$38)</f>
        <v>-55682.120000000199</v>
      </c>
      <c r="AC38" s="67">
        <f ca="1">AB38/SUM(Y31:Y$38)</f>
        <v>-2.6431933953061464E-2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-0.15130118192780007</v>
      </c>
      <c r="H39" s="70">
        <f ca="1">+LeastSq!F13</f>
        <v>-0.15130118192780007</v>
      </c>
      <c r="I39" s="67"/>
      <c r="K39" s="52">
        <f t="shared" si="29"/>
        <v>45108</v>
      </c>
      <c r="L39" s="53">
        <f t="shared" ca="1" si="34"/>
        <v>276127</v>
      </c>
      <c r="M39" s="191">
        <v>0</v>
      </c>
      <c r="N39" s="30"/>
      <c r="O39" s="53">
        <f>Data!$BO16</f>
        <v>310223.11155922664</v>
      </c>
      <c r="P39" s="87">
        <f t="shared" si="30"/>
        <v>1</v>
      </c>
      <c r="Q39" s="30"/>
      <c r="R39" s="53">
        <f t="shared" ca="1" si="31"/>
        <v>310223</v>
      </c>
      <c r="S39" s="88">
        <f>+Data!BN16</f>
        <v>0.97644923512466342</v>
      </c>
      <c r="T39" s="67">
        <f ca="1">+Final!J19</f>
        <v>0.97644958626536393</v>
      </c>
      <c r="U39" s="89">
        <f t="shared" ca="1" si="32"/>
        <v>3.5114070051633917E-7</v>
      </c>
      <c r="V39" s="450" t="str">
        <f ca="1">IF(Final!L19&lt;0,"Problem","ok")</f>
        <v>ok</v>
      </c>
      <c r="W39" s="66">
        <f ca="1">Final!$R19</f>
        <v>1.0120349078819788</v>
      </c>
      <c r="X39" s="43">
        <f ca="1">Final!$L19</f>
        <v>7305.8800000000047</v>
      </c>
      <c r="Y39" s="43">
        <f ca="1">Final!$C19</f>
        <v>310223</v>
      </c>
      <c r="Z39" s="43">
        <f>Data!$AD$142</f>
        <v>269690.23000000004</v>
      </c>
      <c r="AA39" s="43">
        <f t="shared" ca="1" si="33"/>
        <v>40532.76999999996</v>
      </c>
      <c r="AB39" s="43">
        <f ca="1">SUM(AA31:AA$39)</f>
        <v>-15149.350000000239</v>
      </c>
      <c r="AC39" s="67">
        <f ca="1">AB39/SUM(Y31:Y$39)</f>
        <v>-6.2682314057247498E-3</v>
      </c>
    </row>
    <row r="40" spans="1:29" x14ac:dyDescent="0.2">
      <c r="B40" s="67"/>
      <c r="I40" s="67"/>
      <c r="K40" s="52">
        <f t="shared" si="29"/>
        <v>45078</v>
      </c>
      <c r="L40" s="53">
        <f t="shared" ca="1" si="34"/>
        <v>291754</v>
      </c>
      <c r="M40" s="191">
        <v>0</v>
      </c>
      <c r="N40" s="30"/>
      <c r="O40" s="53">
        <f>Data!$BO17</f>
        <v>267861.12172349973</v>
      </c>
      <c r="P40" s="87">
        <f t="shared" si="30"/>
        <v>1</v>
      </c>
      <c r="Q40" s="30"/>
      <c r="R40" s="53">
        <f t="shared" ca="1" si="31"/>
        <v>267861</v>
      </c>
      <c r="S40" s="88">
        <f>+Data!BN17</f>
        <v>0.9888472365669273</v>
      </c>
      <c r="T40" s="67">
        <f ca="1">+Final!J20</f>
        <v>0.98884768592665617</v>
      </c>
      <c r="U40" s="89">
        <f t="shared" ca="1" si="32"/>
        <v>4.4935972887127917E-7</v>
      </c>
      <c r="V40" s="450" t="str">
        <f ca="1">IF(Final!L20&lt;0,"Problem","ok")</f>
        <v>ok</v>
      </c>
      <c r="W40" s="66">
        <f ca="1">Final!$R20</f>
        <v>0.41334855403348009</v>
      </c>
      <c r="X40" s="43">
        <f ca="1">Final!$L20</f>
        <v>2987.2699999999604</v>
      </c>
      <c r="Y40" s="43">
        <f ca="1">Final!$C20</f>
        <v>267861</v>
      </c>
      <c r="Z40" s="43">
        <f>Data!$AC$142</f>
        <v>283943.94000000012</v>
      </c>
      <c r="AA40" s="43">
        <f t="shared" ca="1" si="33"/>
        <v>-16082.940000000119</v>
      </c>
      <c r="AB40" s="43">
        <f ca="1">SUM(AA31:AA$40)</f>
        <v>-31232.290000000357</v>
      </c>
      <c r="AC40" s="67">
        <f ca="1">AB40/SUM(Y31:Y$40)</f>
        <v>-1.1633407295470365E-2</v>
      </c>
    </row>
    <row r="41" spans="1:29" x14ac:dyDescent="0.2">
      <c r="B41" s="67"/>
      <c r="C41" s="130" t="s">
        <v>664</v>
      </c>
      <c r="G41" s="29"/>
      <c r="K41" s="52">
        <f t="shared" si="29"/>
        <v>45047</v>
      </c>
      <c r="L41" s="53">
        <f t="shared" ca="1" si="34"/>
        <v>305774</v>
      </c>
      <c r="M41" s="191">
        <v>0</v>
      </c>
      <c r="N41" s="30"/>
      <c r="O41" s="53">
        <f>Data!$BO18</f>
        <v>343277.81762867555</v>
      </c>
      <c r="P41" s="87">
        <f t="shared" si="30"/>
        <v>1</v>
      </c>
      <c r="Q41" s="30"/>
      <c r="R41" s="53">
        <f t="shared" ca="1" si="31"/>
        <v>343278</v>
      </c>
      <c r="S41" s="88">
        <f>+Data!BN18</f>
        <v>0.99237227838733333</v>
      </c>
      <c r="T41" s="67">
        <f ca="1">+Final!J21</f>
        <v>0.99237175117543286</v>
      </c>
      <c r="U41" s="89">
        <f t="shared" ca="1" si="32"/>
        <v>-5.2721190046955968E-7</v>
      </c>
      <c r="V41" s="450" t="str">
        <f ca="1">IF(Final!L21&lt;0,"Problem","ok")</f>
        <v>ok</v>
      </c>
      <c r="W41" s="66">
        <f ca="1">Final!$R21</f>
        <v>0.36404977061028126</v>
      </c>
      <c r="X41" s="43">
        <f ca="1">Final!$L21</f>
        <v>2618.6099999997532</v>
      </c>
      <c r="Y41" s="43">
        <f ca="1">Final!$C21</f>
        <v>343278</v>
      </c>
      <c r="Z41" s="43">
        <f>Data!$AB$142</f>
        <v>218768.76</v>
      </c>
      <c r="AA41" s="43">
        <f t="shared" ca="1" si="33"/>
        <v>124509.23999999999</v>
      </c>
      <c r="AB41" s="43">
        <f ca="1">SUM(AA31:AA$41)</f>
        <v>93276.949999999633</v>
      </c>
      <c r="AC41" s="67">
        <f ca="1">AB41/SUM(Y31:Y$41)</f>
        <v>3.0804957752432603E-2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-0.10411139636847259</v>
      </c>
      <c r="H42" s="70">
        <f ca="1">Trends!$W$30</f>
        <v>-0.10411139636847259</v>
      </c>
      <c r="I42" s="67"/>
      <c r="K42" s="52">
        <f t="shared" si="29"/>
        <v>45017</v>
      </c>
      <c r="L42" s="53">
        <f t="shared" ca="1" si="34"/>
        <v>277939</v>
      </c>
      <c r="M42" s="191">
        <v>0</v>
      </c>
      <c r="N42" s="30"/>
      <c r="O42" s="53">
        <f>Data!$BO19</f>
        <v>248736.96967415154</v>
      </c>
      <c r="P42" s="87">
        <f t="shared" si="30"/>
        <v>1</v>
      </c>
      <c r="Q42" s="30"/>
      <c r="R42" s="53">
        <f t="shared" ca="1" si="31"/>
        <v>248737</v>
      </c>
      <c r="S42" s="88">
        <f>+Data!BN19</f>
        <v>0.99458592875873786</v>
      </c>
      <c r="T42" s="67">
        <f ca="1">+Final!J22</f>
        <v>0.99458580749948744</v>
      </c>
      <c r="U42" s="89">
        <f t="shared" ca="1" si="32"/>
        <v>-1.2125925041850394E-7</v>
      </c>
      <c r="V42" s="450" t="str">
        <f ca="1">IF(Final!L22&lt;0,"Problem","ok")</f>
        <v>ok</v>
      </c>
      <c r="W42" s="66">
        <f ca="1">Final!$R22</f>
        <v>0.18819312465064167</v>
      </c>
      <c r="X42" s="43">
        <f ca="1">Final!$L22</f>
        <v>1346.7099999999919</v>
      </c>
      <c r="Y42" s="43">
        <f ca="1">Final!$C22</f>
        <v>248737</v>
      </c>
      <c r="Z42" s="43">
        <f>Data!$AA$142</f>
        <v>214940.7999999999</v>
      </c>
      <c r="AA42" s="43">
        <f t="shared" ca="1" si="33"/>
        <v>33796.200000000099</v>
      </c>
      <c r="AB42" s="43">
        <f ca="1">SUM(AA31:AA$42)</f>
        <v>127073.14999999973</v>
      </c>
      <c r="AC42" s="67">
        <f ca="1">AB42/SUM(Y31:Y$42)</f>
        <v>3.8780570948649208E-2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-0.10416904566584595</v>
      </c>
      <c r="H43" s="70">
        <f ca="1">Trends!$X$30</f>
        <v>-0.10416904566584595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-9.9238432224160719E-2</v>
      </c>
      <c r="H44" s="70">
        <f ca="1">Trends!$Y$30</f>
        <v>-9.9238432224160719E-2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5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5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5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5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5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5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5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5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5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5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5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5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5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5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5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5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5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5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5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6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7">IF(A52&gt;0,A52,DATE(1990,12,31))</f>
        <v>36526</v>
      </c>
      <c r="B82" s="76">
        <f t="shared" ref="B82:B102" si="38">IF(B52&lt;&gt;0,1+B52,1)</f>
        <v>1</v>
      </c>
      <c r="C82" s="76">
        <f t="shared" si="36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7"/>
        <v>40179</v>
      </c>
      <c r="B83" s="76">
        <f t="shared" si="38"/>
        <v>1</v>
      </c>
      <c r="C83" s="76">
        <f t="shared" si="36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7"/>
        <v>40179</v>
      </c>
      <c r="B84" s="76">
        <f t="shared" si="38"/>
        <v>1</v>
      </c>
      <c r="C84" s="76">
        <f t="shared" si="36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7"/>
        <v>40179</v>
      </c>
      <c r="B85" s="76">
        <f t="shared" si="38"/>
        <v>1</v>
      </c>
      <c r="C85" s="76">
        <f t="shared" si="36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7"/>
        <v>40179</v>
      </c>
      <c r="B86" s="76">
        <f t="shared" si="38"/>
        <v>1</v>
      </c>
      <c r="C86" s="76">
        <f t="shared" si="36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7"/>
        <v>40179</v>
      </c>
      <c r="B87" s="76">
        <f t="shared" si="38"/>
        <v>1</v>
      </c>
      <c r="C87" s="76">
        <f t="shared" si="36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7"/>
        <v>40179</v>
      </c>
      <c r="B88" s="76">
        <f t="shared" si="38"/>
        <v>1</v>
      </c>
      <c r="C88" s="76">
        <f t="shared" si="36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7"/>
        <v>40179</v>
      </c>
      <c r="B89" s="76">
        <f t="shared" si="38"/>
        <v>1</v>
      </c>
      <c r="C89" s="76">
        <f t="shared" si="36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7"/>
        <v>40179</v>
      </c>
      <c r="B90" s="76">
        <f t="shared" si="38"/>
        <v>1</v>
      </c>
      <c r="C90" s="76">
        <f t="shared" si="36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7"/>
        <v>40179</v>
      </c>
      <c r="B91" s="76">
        <f t="shared" si="38"/>
        <v>1</v>
      </c>
      <c r="C91" s="76">
        <f t="shared" si="36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7"/>
        <v>40179</v>
      </c>
      <c r="B92" s="76">
        <f t="shared" si="38"/>
        <v>1</v>
      </c>
      <c r="C92" s="76">
        <f t="shared" si="36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7"/>
        <v>40179</v>
      </c>
      <c r="B93" s="76">
        <f t="shared" si="38"/>
        <v>1</v>
      </c>
      <c r="C93" s="76">
        <f t="shared" si="36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7"/>
        <v>40179</v>
      </c>
      <c r="B94" s="76">
        <f t="shared" si="38"/>
        <v>1</v>
      </c>
      <c r="C94" s="76">
        <f t="shared" si="36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7"/>
        <v>40179</v>
      </c>
      <c r="B95" s="76">
        <f t="shared" si="38"/>
        <v>1</v>
      </c>
      <c r="C95" s="76">
        <f t="shared" si="36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7"/>
        <v>40179</v>
      </c>
      <c r="B96" s="76">
        <f t="shared" si="38"/>
        <v>1</v>
      </c>
      <c r="C96" s="76">
        <f t="shared" si="36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7"/>
        <v>40179</v>
      </c>
      <c r="B97" s="76">
        <f t="shared" si="38"/>
        <v>1</v>
      </c>
      <c r="C97" s="76">
        <f t="shared" si="36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7"/>
        <v>40179</v>
      </c>
      <c r="B98" s="76">
        <f t="shared" si="38"/>
        <v>1</v>
      </c>
      <c r="C98" s="76">
        <f t="shared" si="36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7"/>
        <v>40179</v>
      </c>
      <c r="B99" s="76">
        <f t="shared" si="38"/>
        <v>1</v>
      </c>
      <c r="C99" s="76">
        <f t="shared" si="36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7"/>
        <v>40179</v>
      </c>
      <c r="B100" s="76">
        <f t="shared" si="38"/>
        <v>1</v>
      </c>
      <c r="C100" s="76">
        <f t="shared" si="36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7"/>
        <v>40179</v>
      </c>
      <c r="B101" s="76">
        <f t="shared" si="38"/>
        <v>1</v>
      </c>
      <c r="C101" s="76">
        <f t="shared" si="36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7"/>
        <v>40179</v>
      </c>
      <c r="B102" s="76">
        <f t="shared" si="38"/>
        <v>1</v>
      </c>
      <c r="C102" s="76">
        <f t="shared" si="36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1.032135046387527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39">1+A112</f>
        <v>2</v>
      </c>
      <c r="B113" s="96">
        <v>1</v>
      </c>
      <c r="C113" s="96">
        <v>0.97</v>
      </c>
      <c r="D113" s="97">
        <v>1.0151346901047225</v>
      </c>
      <c r="E113" s="97">
        <v>1</v>
      </c>
      <c r="F113" s="96">
        <f t="shared" ref="F113:F123" si="40">CHOOSE($D$108,B113,C113,D113,E113)</f>
        <v>1</v>
      </c>
      <c r="N113" s="2"/>
      <c r="O113" s="76"/>
      <c r="P113" s="76"/>
    </row>
    <row r="114" spans="1:16" x14ac:dyDescent="0.2">
      <c r="A114" s="98">
        <f t="shared" si="39"/>
        <v>3</v>
      </c>
      <c r="B114" s="96">
        <v>1</v>
      </c>
      <c r="C114" s="96">
        <v>1.03</v>
      </c>
      <c r="D114" s="97">
        <v>0.98090681313721539</v>
      </c>
      <c r="E114" s="97">
        <v>1</v>
      </c>
      <c r="F114" s="96">
        <f t="shared" si="40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39"/>
        <v>4</v>
      </c>
      <c r="B115" s="96">
        <v>1</v>
      </c>
      <c r="C115" s="96">
        <v>1.01</v>
      </c>
      <c r="D115" s="97">
        <v>0.98836756834759931</v>
      </c>
      <c r="E115" s="97">
        <v>1</v>
      </c>
      <c r="F115" s="96">
        <f t="shared" si="40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39"/>
        <v>5</v>
      </c>
      <c r="B116" s="96">
        <v>1</v>
      </c>
      <c r="C116" s="96">
        <v>1.02</v>
      </c>
      <c r="D116" s="97">
        <v>1.0044717409067183</v>
      </c>
      <c r="E116" s="97">
        <v>1</v>
      </c>
      <c r="F116" s="96">
        <f t="shared" si="40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39"/>
        <v>6</v>
      </c>
      <c r="B117" s="96">
        <v>1</v>
      </c>
      <c r="C117" s="96">
        <v>1.02</v>
      </c>
      <c r="D117" s="97">
        <v>0.98338846605683217</v>
      </c>
      <c r="E117" s="97">
        <v>1</v>
      </c>
      <c r="F117" s="96">
        <f t="shared" si="40"/>
        <v>1</v>
      </c>
      <c r="N117" s="2"/>
      <c r="O117" s="76"/>
      <c r="P117" s="76"/>
    </row>
    <row r="118" spans="1:16" x14ac:dyDescent="0.2">
      <c r="A118" s="98">
        <f t="shared" si="39"/>
        <v>7</v>
      </c>
      <c r="B118" s="96">
        <v>1</v>
      </c>
      <c r="C118" s="96">
        <v>0.98</v>
      </c>
      <c r="D118" s="97">
        <v>0.99384085314320214</v>
      </c>
      <c r="E118" s="97">
        <v>1</v>
      </c>
      <c r="F118" s="96">
        <f t="shared" si="40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39"/>
        <v>8</v>
      </c>
      <c r="B119" s="96">
        <v>1</v>
      </c>
      <c r="C119" s="96">
        <v>1.02</v>
      </c>
      <c r="D119" s="97">
        <v>1.0005583417519124</v>
      </c>
      <c r="E119" s="97">
        <v>1</v>
      </c>
      <c r="F119" s="96">
        <f t="shared" si="40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39"/>
        <v>9</v>
      </c>
      <c r="B120" s="96">
        <v>1</v>
      </c>
      <c r="C120" s="96">
        <v>0.99</v>
      </c>
      <c r="D120" s="97">
        <v>0.96490348760823497</v>
      </c>
      <c r="E120" s="97">
        <v>1</v>
      </c>
      <c r="F120" s="96">
        <f t="shared" si="40"/>
        <v>1</v>
      </c>
      <c r="N120" s="2"/>
      <c r="O120" s="76"/>
      <c r="P120" s="76"/>
    </row>
    <row r="121" spans="1:16" x14ac:dyDescent="0.2">
      <c r="A121" s="98">
        <f t="shared" si="39"/>
        <v>10</v>
      </c>
      <c r="B121" s="96">
        <v>1</v>
      </c>
      <c r="C121" s="96">
        <v>1.01</v>
      </c>
      <c r="D121" s="97">
        <v>1.0446084148217354</v>
      </c>
      <c r="E121" s="97">
        <v>1</v>
      </c>
      <c r="F121" s="96">
        <f t="shared" si="40"/>
        <v>1</v>
      </c>
      <c r="N121" s="2"/>
      <c r="O121" s="76"/>
      <c r="P121" s="76"/>
    </row>
    <row r="122" spans="1:16" x14ac:dyDescent="0.2">
      <c r="A122" s="98">
        <f t="shared" si="39"/>
        <v>11</v>
      </c>
      <c r="B122" s="96">
        <v>1</v>
      </c>
      <c r="C122" s="96">
        <v>0.98</v>
      </c>
      <c r="D122" s="97">
        <v>0.98957243766691361</v>
      </c>
      <c r="E122" s="97">
        <v>1</v>
      </c>
      <c r="F122" s="96">
        <f t="shared" si="40"/>
        <v>1</v>
      </c>
      <c r="N122" s="2"/>
      <c r="O122" s="76"/>
      <c r="P122" s="76"/>
    </row>
    <row r="123" spans="1:16" x14ac:dyDescent="0.2">
      <c r="A123" s="98">
        <f t="shared" si="39"/>
        <v>12</v>
      </c>
      <c r="B123" s="96">
        <v>1</v>
      </c>
      <c r="C123" s="96">
        <v>0.95</v>
      </c>
      <c r="D123" s="97">
        <v>1.0021121400673856</v>
      </c>
      <c r="E123" s="97">
        <v>1</v>
      </c>
      <c r="F123" s="96">
        <f t="shared" si="40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11.999999999999998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AAMG - Commercial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253118.61085739135</v>
      </c>
      <c r="B5" s="74">
        <f>Data!$BN8</f>
        <v>0.15788285920435713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198004.40683348896</v>
      </c>
      <c r="B6" s="74">
        <f>Data!$BN9</f>
        <v>0.65483901128037991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289073.2966206313</v>
      </c>
      <c r="B7" s="74">
        <f>Data!$BN10</f>
        <v>0.8225391026416583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263699.60058660351</v>
      </c>
      <c r="B8" s="74">
        <f>Data!$BN11</f>
        <v>0.88524574736067785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307863.1312448894</v>
      </c>
      <c r="B9" s="74">
        <f>Data!$BN12</f>
        <v>0.91618567270283457</v>
      </c>
      <c r="D9" s="52">
        <f>Data!$AV12</f>
        <v>45231</v>
      </c>
      <c r="E9" s="30"/>
      <c r="F9" s="53">
        <f t="shared" ref="F9:F22" si="3">A9</f>
        <v>307863.1312448894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299907.07275385893</v>
      </c>
      <c r="B10" s="74">
        <f>Data!$BN13</f>
        <v>0.93844338986626585</v>
      </c>
      <c r="D10" s="52">
        <f>Data!$AV13</f>
        <v>45200</v>
      </c>
      <c r="E10" s="30"/>
      <c r="F10" s="53">
        <f t="shared" si="3"/>
        <v>299907.07275385893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237341.1491814639</v>
      </c>
      <c r="B11" s="74">
        <f>Data!$BN14</f>
        <v>0.95414634495957895</v>
      </c>
      <c r="D11" s="52">
        <f>Data!$AV14</f>
        <v>45170</v>
      </c>
      <c r="E11" s="30"/>
      <c r="F11" s="53">
        <f t="shared" si="3"/>
        <v>237341.1491814639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302144.16201488592</v>
      </c>
      <c r="B12" s="74">
        <f>Data!$BN15</f>
        <v>0.96461221708344935</v>
      </c>
      <c r="D12" s="52">
        <f>Data!$AV15</f>
        <v>45139</v>
      </c>
      <c r="E12" s="30"/>
      <c r="F12" s="53">
        <f t="shared" si="3"/>
        <v>302144.16201488592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310223.11155922664</v>
      </c>
      <c r="B13" s="74">
        <f>Data!$BN16</f>
        <v>0.97644923512466342</v>
      </c>
      <c r="D13" s="52">
        <f>Data!$AV16</f>
        <v>45108</v>
      </c>
      <c r="E13" s="30"/>
      <c r="F13" s="53">
        <f t="shared" si="3"/>
        <v>310223.11155922664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267861.12172349973</v>
      </c>
      <c r="B14" s="74">
        <f>Data!$BN17</f>
        <v>0.9888472365669273</v>
      </c>
      <c r="D14" s="52">
        <f>Data!$AV17</f>
        <v>45078</v>
      </c>
      <c r="E14" s="30"/>
      <c r="F14" s="53">
        <f t="shared" si="3"/>
        <v>267861.12172349973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343277.81762867555</v>
      </c>
      <c r="B15" s="74">
        <f>Data!$BN18</f>
        <v>0.99237227838733333</v>
      </c>
      <c r="D15" s="52">
        <f>Data!$AV18</f>
        <v>45047</v>
      </c>
      <c r="E15" s="30"/>
      <c r="F15" s="53">
        <f t="shared" si="3"/>
        <v>343277.81762867555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248736.96967415154</v>
      </c>
      <c r="B16" s="74">
        <f>Data!$BN19</f>
        <v>0.99458592875873786</v>
      </c>
      <c r="D16" s="52">
        <f>Data!$AV19</f>
        <v>45017</v>
      </c>
      <c r="E16" s="30"/>
      <c r="F16" s="53">
        <f t="shared" si="3"/>
        <v>248736.96967415154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246921.67810336311</v>
      </c>
      <c r="B17" s="74">
        <f>Data!$BN20</f>
        <v>0.99641227084568773</v>
      </c>
      <c r="D17" s="52">
        <f>Data!$AV20</f>
        <v>44986</v>
      </c>
      <c r="E17" s="30"/>
      <c r="F17" s="53">
        <f t="shared" si="3"/>
        <v>246921.67810336311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38944.319719001476</v>
      </c>
      <c r="B18" s="74">
        <f>Data!$BN21</f>
        <v>0.9969610531174915</v>
      </c>
      <c r="D18" s="52">
        <f>Data!$AV21</f>
        <v>44958</v>
      </c>
      <c r="E18" s="30"/>
      <c r="F18" s="53">
        <f t="shared" si="3"/>
        <v>38944.319719001476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37438.172617964185</v>
      </c>
      <c r="B19" s="74">
        <f>Data!$BN22</f>
        <v>0.99791863190654806</v>
      </c>
      <c r="D19" s="52">
        <f>Data!$AV22</f>
        <v>44927</v>
      </c>
      <c r="E19" s="30"/>
      <c r="F19" s="53">
        <f t="shared" si="3"/>
        <v>37438.172617964185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80847.56630600708</v>
      </c>
      <c r="B20" s="74">
        <f>Data!$BN23</f>
        <v>0.99792428747487705</v>
      </c>
      <c r="D20" s="52">
        <f>Data!$AV23</f>
        <v>44896</v>
      </c>
      <c r="E20" s="30"/>
      <c r="F20" s="53">
        <f t="shared" si="3"/>
        <v>80847.56630600708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49721.864671499621</v>
      </c>
      <c r="B21" s="74">
        <f>Data!$BN24</f>
        <v>0.99794125437217762</v>
      </c>
      <c r="D21" s="52">
        <f>Data!$AV24</f>
        <v>44866</v>
      </c>
      <c r="E21" s="30"/>
      <c r="F21" s="53">
        <f t="shared" si="3"/>
        <v>49721.864671499621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67160.97334734608</v>
      </c>
      <c r="B22" s="74">
        <f>Data!$BN25</f>
        <v>0.9983674544622958</v>
      </c>
      <c r="D22" s="52">
        <f>Data!$AV25</f>
        <v>44835</v>
      </c>
      <c r="E22" s="30"/>
      <c r="F22" s="53">
        <f t="shared" si="3"/>
        <v>67160.97334734608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73992.70853652159</v>
      </c>
      <c r="B23" s="74">
        <f>Data!$BN26</f>
        <v>0.99964714717114733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6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0.15788285920435713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227019</v>
      </c>
      <c r="I40" s="353">
        <v>0</v>
      </c>
      <c r="J40" s="30"/>
      <c r="K40" s="53">
        <f>Data!$BO8</f>
        <v>253118.61085739135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0.65483901128037991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204318</v>
      </c>
      <c r="I41" s="353">
        <v>0</v>
      </c>
      <c r="J41" s="30"/>
      <c r="K41" s="53">
        <f>Data!$BO9</f>
        <v>198004.40683348896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0.8225391026416583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224237</v>
      </c>
      <c r="I42" s="353">
        <v>0</v>
      </c>
      <c r="J42" s="30"/>
      <c r="K42" s="53">
        <f>Data!$BO10</f>
        <v>289073.2966206313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0.88524574736067785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220266</v>
      </c>
      <c r="I43" s="353">
        <v>0</v>
      </c>
      <c r="J43" s="30"/>
      <c r="K43" s="53">
        <f>Data!$BO11</f>
        <v>263699.60058660351</v>
      </c>
      <c r="L43" s="87">
        <f t="shared" si="22"/>
        <v>0.25</v>
      </c>
      <c r="M43" s="30"/>
      <c r="N43" s="53">
        <f t="shared" ca="1" si="23"/>
        <v>65925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0.91618567270283457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236727</v>
      </c>
      <c r="I44" s="353">
        <v>0.5</v>
      </c>
      <c r="J44" s="30"/>
      <c r="K44" s="53">
        <f>Data!$BO12</f>
        <v>307863.1312448894</v>
      </c>
      <c r="L44" s="87">
        <f t="shared" si="22"/>
        <v>0.5</v>
      </c>
      <c r="M44" s="30"/>
      <c r="N44" s="53">
        <f t="shared" ca="1" si="23"/>
        <v>272295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0.93844338986626585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269386</v>
      </c>
      <c r="I45" s="353">
        <v>0.5</v>
      </c>
      <c r="J45" s="30"/>
      <c r="K45" s="53">
        <f>Data!$BO13</f>
        <v>299907.07275385893</v>
      </c>
      <c r="L45" s="87">
        <f t="shared" si="22"/>
        <v>0.5</v>
      </c>
      <c r="M45" s="30"/>
      <c r="N45" s="53">
        <f t="shared" ca="1" si="23"/>
        <v>284647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0.95414634495957895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271347</v>
      </c>
      <c r="I46" s="353">
        <v>0.5</v>
      </c>
      <c r="J46" s="30"/>
      <c r="K46" s="53">
        <f>Data!$BO14</f>
        <v>237341.1491814639</v>
      </c>
      <c r="L46" s="87">
        <f t="shared" si="22"/>
        <v>0.5</v>
      </c>
      <c r="M46" s="30"/>
      <c r="N46" s="53">
        <f t="shared" ca="1" si="23"/>
        <v>254344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0.96461221708344935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301487</v>
      </c>
      <c r="I47" s="353">
        <v>0.5</v>
      </c>
      <c r="J47" s="30"/>
      <c r="K47" s="53">
        <f>Data!$BO15</f>
        <v>302144.16201488592</v>
      </c>
      <c r="L47" s="87">
        <f t="shared" si="22"/>
        <v>0.5</v>
      </c>
      <c r="M47" s="30"/>
      <c r="N47" s="53">
        <f t="shared" ca="1" si="23"/>
        <v>301816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0.97644923512466342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276127</v>
      </c>
      <c r="I48" s="353">
        <v>0.5</v>
      </c>
      <c r="J48" s="30"/>
      <c r="K48" s="53">
        <f>Data!$BO16</f>
        <v>310223.11155922664</v>
      </c>
      <c r="L48" s="87">
        <f t="shared" si="22"/>
        <v>0.5</v>
      </c>
      <c r="M48" s="30"/>
      <c r="N48" s="53">
        <f t="shared" ca="1" si="23"/>
        <v>293175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0.9888472365669273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291754</v>
      </c>
      <c r="I49" s="353">
        <v>0.5</v>
      </c>
      <c r="J49" s="30"/>
      <c r="K49" s="53">
        <f>Data!$BO17</f>
        <v>267861.12172349973</v>
      </c>
      <c r="L49" s="87">
        <f t="shared" si="22"/>
        <v>0.5</v>
      </c>
      <c r="M49" s="30"/>
      <c r="N49" s="53">
        <f t="shared" ca="1" si="23"/>
        <v>279808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0.15788285920435713</v>
      </c>
      <c r="E58" s="67">
        <f ca="1">PMPM!$T31</f>
        <v>0.17603412049211731</v>
      </c>
      <c r="F58" s="89">
        <f t="shared" ref="F58:F69" ca="1" si="24">E58-D58</f>
        <v>1.8151261287760179E-2</v>
      </c>
      <c r="G58" s="37" t="str">
        <f ca="1">PMPM!$V31</f>
        <v>ok</v>
      </c>
      <c r="H58" s="66">
        <f ca="1">PMPM!$W31</f>
        <v>31.747438900203672</v>
      </c>
      <c r="I58" s="43">
        <f ca="1">PMPM!$X31</f>
        <v>187055.91000000003</v>
      </c>
      <c r="J58" s="43">
        <f ca="1">PMPM!$Y31</f>
        <v>227019</v>
      </c>
      <c r="K58" s="43">
        <f>PMPM!$Z31</f>
        <v>184407.05</v>
      </c>
      <c r="M58" s="43">
        <f t="shared" ref="M58:M69" ca="1" si="25">J58-K58</f>
        <v>42611.950000000012</v>
      </c>
      <c r="N58" s="156">
        <f ca="1">SUM(L33:M$58)</f>
        <v>42615.200000000012</v>
      </c>
      <c r="O58" s="67">
        <f ca="1">N58/SUM(J33:J$58)</f>
        <v>0.1877164466410301</v>
      </c>
    </row>
    <row r="59" spans="2:21" x14ac:dyDescent="0.2">
      <c r="D59" s="88">
        <f>PMPM!$S32</f>
        <v>0.65483901128037991</v>
      </c>
      <c r="E59" s="67">
        <f ca="1">PMPM!$T32</f>
        <v>0.63755899317011766</v>
      </c>
      <c r="F59" s="89">
        <f t="shared" ca="1" si="24"/>
        <v>-1.7280018110262252E-2</v>
      </c>
      <c r="G59" s="37" t="str">
        <f ca="1">PMPM!$V32</f>
        <v>ok</v>
      </c>
      <c r="H59" s="66">
        <f ca="1">PMPM!$W32</f>
        <v>12.641054707597323</v>
      </c>
      <c r="I59" s="43">
        <f ca="1">PMPM!$X32</f>
        <v>73709.989999999991</v>
      </c>
      <c r="J59" s="43">
        <f ca="1">PMPM!$Y32</f>
        <v>203371</v>
      </c>
      <c r="K59" s="43">
        <f>PMPM!$Z32</f>
        <v>322496.55999999994</v>
      </c>
      <c r="M59" s="43">
        <f t="shared" ca="1" si="25"/>
        <v>-119125.55999999994</v>
      </c>
      <c r="N59" s="156">
        <f ca="1">SUM(L33:M$59)</f>
        <v>-76510.359999999928</v>
      </c>
      <c r="O59" s="67">
        <f ca="1">N59/SUM(J33:J$59)</f>
        <v>-0.17776983665977353</v>
      </c>
    </row>
    <row r="60" spans="2:21" x14ac:dyDescent="0.2">
      <c r="D60" s="88">
        <f>PMPM!$S33</f>
        <v>0.8225391026416583</v>
      </c>
      <c r="E60" s="67">
        <f ca="1">PMPM!$T33</f>
        <v>0.88187940895030814</v>
      </c>
      <c r="F60" s="89">
        <f t="shared" ca="1" si="24"/>
        <v>5.9340306308649837E-2</v>
      </c>
      <c r="G60" s="37" t="str">
        <f ca="1">PMPM!$V33</f>
        <v>ok</v>
      </c>
      <c r="H60" s="66">
        <f ca="1">PMPM!$W33</f>
        <v>5.5291510416666725</v>
      </c>
      <c r="I60" s="43">
        <f ca="1">PMPM!$X33</f>
        <v>31847.910000000033</v>
      </c>
      <c r="J60" s="43">
        <f ca="1">PMPM!$Y33</f>
        <v>269622</v>
      </c>
      <c r="K60" s="43">
        <f>PMPM!$Z33</f>
        <v>302948.39000000007</v>
      </c>
      <c r="M60" s="43">
        <f t="shared" ca="1" si="25"/>
        <v>-33326.390000000072</v>
      </c>
      <c r="N60" s="156">
        <f ca="1">SUM(L33:M$60)</f>
        <v>-109836.75</v>
      </c>
      <c r="O60" s="67">
        <f ca="1">N60/SUM(J33:J$60)</f>
        <v>-0.15690695302366245</v>
      </c>
    </row>
    <row r="61" spans="2:21" x14ac:dyDescent="0.2">
      <c r="D61" s="88">
        <f>PMPM!$S34</f>
        <v>0.88524574736067785</v>
      </c>
      <c r="E61" s="67">
        <f ca="1">PMPM!$T34</f>
        <v>0.90007152331158746</v>
      </c>
      <c r="F61" s="89">
        <f t="shared" ca="1" si="24"/>
        <v>1.4825775950909614E-2</v>
      </c>
      <c r="G61" s="37" t="str">
        <f ca="1">PMPM!$V34</f>
        <v>ok</v>
      </c>
      <c r="H61" s="66">
        <f ca="1">PMPM!$W34</f>
        <v>4.3852876480541338</v>
      </c>
      <c r="I61" s="43">
        <f ca="1">PMPM!$X34</f>
        <v>25917.04999999993</v>
      </c>
      <c r="J61" s="43">
        <f ca="1">PMPM!$Y34</f>
        <v>259356</v>
      </c>
      <c r="K61" s="43">
        <f>PMPM!$Z34</f>
        <v>268020.35000000009</v>
      </c>
      <c r="M61" s="43">
        <f t="shared" ca="1" si="25"/>
        <v>-8664.3500000000931</v>
      </c>
      <c r="N61" s="156">
        <f ca="1">SUM(L33:M$61)</f>
        <v>-118501.10000000009</v>
      </c>
      <c r="O61" s="67">
        <f ca="1">N61/SUM(J33:J$61)</f>
        <v>-0.12351996314240218</v>
      </c>
    </row>
    <row r="62" spans="2:21" x14ac:dyDescent="0.2">
      <c r="D62" s="88">
        <f>PMPM!$S35</f>
        <v>0.91618567270283457</v>
      </c>
      <c r="E62" s="67">
        <f ca="1">PMPM!$T35</f>
        <v>0.91618606328139474</v>
      </c>
      <c r="F62" s="89">
        <f t="shared" ca="1" si="24"/>
        <v>3.9057856016100345E-7</v>
      </c>
      <c r="G62" s="37" t="str">
        <f ca="1">PMPM!$V35</f>
        <v>ok</v>
      </c>
      <c r="H62" s="66">
        <f ca="1">PMPM!$W35</f>
        <v>4.2869596278451505</v>
      </c>
      <c r="I62" s="43">
        <f ca="1">PMPM!$X35</f>
        <v>25803.209999999963</v>
      </c>
      <c r="J62" s="43">
        <f ca="1">PMPM!$Y35</f>
        <v>307863</v>
      </c>
      <c r="K62" s="43">
        <f>PMPM!$Z35</f>
        <v>316036.46000000008</v>
      </c>
      <c r="M62" s="43">
        <f t="shared" ca="1" si="25"/>
        <v>-8173.4600000000792</v>
      </c>
      <c r="N62" s="156">
        <f ca="1">SUM(L33:M$62)</f>
        <v>-126674.56000000017</v>
      </c>
      <c r="O62" s="67">
        <f ca="1">N62/SUM(J33:J$62)</f>
        <v>-9.9961696012802859E-2</v>
      </c>
    </row>
    <row r="63" spans="2:21" x14ac:dyDescent="0.2">
      <c r="D63" s="88">
        <f>PMPM!$S36</f>
        <v>0.93844338986626585</v>
      </c>
      <c r="E63" s="67">
        <f ca="1">PMPM!$T36</f>
        <v>0.93844361752143224</v>
      </c>
      <c r="F63" s="89">
        <f t="shared" ca="1" si="24"/>
        <v>2.2765516638489913E-7</v>
      </c>
      <c r="G63" s="37" t="str">
        <f ca="1">PMPM!$V36</f>
        <v>ok</v>
      </c>
      <c r="H63" s="66">
        <f ca="1">PMPM!$W36</f>
        <v>2.7097005724350254</v>
      </c>
      <c r="I63" s="43">
        <f ca="1">PMPM!$X36</f>
        <v>18461.189999999828</v>
      </c>
      <c r="J63" s="43">
        <f ca="1">PMPM!$Y36</f>
        <v>299907</v>
      </c>
      <c r="K63" s="43">
        <f>PMPM!$Z36</f>
        <v>234488.36000000004</v>
      </c>
      <c r="M63" s="43">
        <f t="shared" ca="1" si="25"/>
        <v>65418.639999999956</v>
      </c>
      <c r="N63" s="156">
        <f ca="1">SUM(L33:M$63)</f>
        <v>-61255.920000000217</v>
      </c>
      <c r="O63" s="67">
        <f ca="1">N63/SUM(J33:J$63)</f>
        <v>-3.9087763808930816E-2</v>
      </c>
    </row>
    <row r="64" spans="2:21" x14ac:dyDescent="0.2">
      <c r="D64" s="88">
        <f>PMPM!$S37</f>
        <v>0.95414634495957895</v>
      </c>
      <c r="E64" s="67">
        <f ca="1">PMPM!$T37</f>
        <v>0.95414694469139316</v>
      </c>
      <c r="F64" s="89">
        <f t="shared" ca="1" si="24"/>
        <v>5.9973181421035804E-7</v>
      </c>
      <c r="G64" s="37" t="str">
        <f ca="1">PMPM!$V37</f>
        <v>ok</v>
      </c>
      <c r="H64" s="66">
        <f ca="1">PMPM!$W37</f>
        <v>1.518037383177578</v>
      </c>
      <c r="I64" s="43">
        <f ca="1">PMPM!$X37</f>
        <v>10882.810000000056</v>
      </c>
      <c r="J64" s="43">
        <f ca="1">PMPM!$Y37</f>
        <v>237341</v>
      </c>
      <c r="K64" s="43">
        <f>PMPM!$Z37</f>
        <v>175880.59</v>
      </c>
      <c r="M64" s="43">
        <f t="shared" ca="1" si="25"/>
        <v>61460.41</v>
      </c>
      <c r="N64" s="156">
        <f ca="1">SUM(L33:M$64)</f>
        <v>204.48999999978696</v>
      </c>
      <c r="O64" s="67">
        <f ca="1">N64/SUM(J33:J$64)</f>
        <v>1.1332356874188448E-4</v>
      </c>
    </row>
    <row r="65" spans="1:15" x14ac:dyDescent="0.2">
      <c r="D65" s="88">
        <f>PMPM!$S38</f>
        <v>0.96461221708344935</v>
      </c>
      <c r="E65" s="67">
        <f ca="1">PMPM!$T38</f>
        <v>0.96461273432535488</v>
      </c>
      <c r="F65" s="89">
        <f t="shared" ca="1" si="24"/>
        <v>5.1724190552882021E-7</v>
      </c>
      <c r="G65" s="37" t="str">
        <f ca="1">PMPM!$V38</f>
        <v>ok</v>
      </c>
      <c r="H65" s="66">
        <f ca="1">PMPM!$W38</f>
        <v>1.4841823986674054</v>
      </c>
      <c r="I65" s="43">
        <f ca="1">PMPM!$X38</f>
        <v>10692.049999999988</v>
      </c>
      <c r="J65" s="43">
        <f ca="1">PMPM!$Y38</f>
        <v>302144</v>
      </c>
      <c r="K65" s="43">
        <f>PMPM!$Z38</f>
        <v>358027.36</v>
      </c>
      <c r="M65" s="43">
        <f t="shared" ca="1" si="25"/>
        <v>-55883.359999999986</v>
      </c>
      <c r="N65" s="156">
        <f ca="1">SUM(L33:M$65)</f>
        <v>-55678.870000000199</v>
      </c>
      <c r="O65" s="67">
        <f ca="1">N65/SUM(J33:J$65)</f>
        <v>-2.6430391199564515E-2</v>
      </c>
    </row>
    <row r="66" spans="1:15" x14ac:dyDescent="0.2">
      <c r="D66" s="88">
        <f>PMPM!$S39</f>
        <v>0.97644923512466342</v>
      </c>
      <c r="E66" s="67">
        <f ca="1">PMPM!$T39</f>
        <v>0.97644958626536393</v>
      </c>
      <c r="F66" s="89">
        <f t="shared" ca="1" si="24"/>
        <v>3.5114070051633917E-7</v>
      </c>
      <c r="G66" s="37" t="str">
        <f ca="1">PMPM!$V39</f>
        <v>ok</v>
      </c>
      <c r="H66" s="66">
        <f ca="1">PMPM!$W39</f>
        <v>1.0120349078819788</v>
      </c>
      <c r="I66" s="43">
        <f ca="1">PMPM!$X39</f>
        <v>7305.8800000000047</v>
      </c>
      <c r="J66" s="43">
        <f ca="1">PMPM!$Y39</f>
        <v>310223</v>
      </c>
      <c r="K66" s="43">
        <f>PMPM!$Z39</f>
        <v>269690.23000000004</v>
      </c>
      <c r="M66" s="43">
        <f t="shared" ca="1" si="25"/>
        <v>40532.76999999996</v>
      </c>
      <c r="N66" s="156">
        <f ca="1">SUM(L33:M$66)</f>
        <v>-15146.100000000239</v>
      </c>
      <c r="O66" s="67">
        <f ca="1">N66/SUM(J33:J$66)</f>
        <v>-6.2668866779266195E-3</v>
      </c>
    </row>
    <row r="67" spans="1:15" x14ac:dyDescent="0.2">
      <c r="D67" s="88">
        <f>PMPM!$S40</f>
        <v>0.9888472365669273</v>
      </c>
      <c r="E67" s="67">
        <f ca="1">PMPM!$T40</f>
        <v>0.98884768592665617</v>
      </c>
      <c r="F67" s="89">
        <f t="shared" ca="1" si="24"/>
        <v>4.4935972887127917E-7</v>
      </c>
      <c r="G67" s="37" t="str">
        <f ca="1">PMPM!$V40</f>
        <v>ok</v>
      </c>
      <c r="H67" s="66">
        <f ca="1">PMPM!$W40</f>
        <v>0.41334855403348009</v>
      </c>
      <c r="I67" s="43">
        <f ca="1">PMPM!$X40</f>
        <v>2987.2699999999604</v>
      </c>
      <c r="J67" s="43">
        <f ca="1">PMPM!$Y40</f>
        <v>267861</v>
      </c>
      <c r="K67" s="43">
        <f>PMPM!$Z40</f>
        <v>283943.94000000012</v>
      </c>
      <c r="M67" s="43">
        <f t="shared" ca="1" si="25"/>
        <v>-16082.940000000119</v>
      </c>
      <c r="N67" s="156">
        <f ca="1">SUM(L33:M$67)</f>
        <v>-31229.040000000357</v>
      </c>
      <c r="O67" s="67">
        <f ca="1">N67/SUM(J33:J$67)</f>
        <v>-1.1632196735062841E-2</v>
      </c>
    </row>
    <row r="68" spans="1:15" x14ac:dyDescent="0.2">
      <c r="D68" s="88">
        <f>PMPM!$S41</f>
        <v>0.99237227838733333</v>
      </c>
      <c r="E68" s="67">
        <f ca="1">PMPM!$T41</f>
        <v>0.99237175117543286</v>
      </c>
      <c r="F68" s="89">
        <f t="shared" ca="1" si="24"/>
        <v>-5.2721190046955968E-7</v>
      </c>
      <c r="G68" s="37" t="str">
        <f ca="1">PMPM!$V41</f>
        <v>ok</v>
      </c>
      <c r="H68" s="66">
        <f ca="1">PMPM!$W41</f>
        <v>0.36404977061028126</v>
      </c>
      <c r="I68" s="43">
        <f ca="1">PMPM!$X41</f>
        <v>2618.6099999997532</v>
      </c>
      <c r="J68" s="43">
        <f ca="1">PMPM!$Y41</f>
        <v>343278</v>
      </c>
      <c r="K68" s="43">
        <f>PMPM!$Z41</f>
        <v>218768.76</v>
      </c>
      <c r="M68" s="43">
        <f t="shared" ca="1" si="25"/>
        <v>124509.23999999999</v>
      </c>
      <c r="N68" s="156">
        <f ca="1">SUM(L33:M$68)</f>
        <v>93280.199999999633</v>
      </c>
      <c r="O68" s="67">
        <f ca="1">N68/SUM(J33:J$68)</f>
        <v>3.080603107346953E-2</v>
      </c>
    </row>
    <row r="69" spans="1:15" x14ac:dyDescent="0.2">
      <c r="D69" s="88">
        <f>PMPM!$S42</f>
        <v>0.99458592875873786</v>
      </c>
      <c r="E69" s="67">
        <f ca="1">PMPM!$T42</f>
        <v>0.99458580749948744</v>
      </c>
      <c r="F69" s="89">
        <f t="shared" ca="1" si="24"/>
        <v>-1.2125925041850394E-7</v>
      </c>
      <c r="G69" s="37" t="str">
        <f ca="1">PMPM!$V42</f>
        <v>ok</v>
      </c>
      <c r="H69" s="66">
        <f ca="1">PMPM!$W42</f>
        <v>0.18819312465064167</v>
      </c>
      <c r="I69" s="43">
        <f ca="1">PMPM!$X42</f>
        <v>1346.7099999999919</v>
      </c>
      <c r="J69" s="43">
        <f ca="1">PMPM!$Y42</f>
        <v>248737</v>
      </c>
      <c r="K69" s="43">
        <f>PMPM!$Z42</f>
        <v>214940.7999999999</v>
      </c>
      <c r="M69" s="43">
        <f t="shared" ca="1" si="25"/>
        <v>33796.200000000099</v>
      </c>
      <c r="N69" s="156">
        <f ca="1">SUM(L33:M$69)</f>
        <v>127076.39999999973</v>
      </c>
      <c r="O69" s="67">
        <f ca="1">N69/SUM(J33:J$69)</f>
        <v>3.8781562793547858E-2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65925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272295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284647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254344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301816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293175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279808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343277.81762867555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248736.96967415154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246921.67810336311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38944.319719001476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37438.172617964185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80847.56630600708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49721.864671499621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67160.97334734608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topLeftCell="A2"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AAMG - Commercial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400197.16773511516</v>
      </c>
      <c r="D10" s="62">
        <f t="shared" ref="D10:D27" ca="1" si="0">SUM(B10:C10)</f>
        <v>400197.16773511516</v>
      </c>
      <c r="E10" s="330">
        <f>+Data!BN8</f>
        <v>0.15788285920435713</v>
      </c>
      <c r="F10" s="342">
        <f>Final!B11</f>
        <v>5892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144443.96000000002</v>
      </c>
      <c r="C11" s="62">
        <f ca="1">Final!C118</f>
        <v>213141.25773511513</v>
      </c>
      <c r="D11" s="62">
        <f t="shared" ca="1" si="0"/>
        <v>357585.21773511515</v>
      </c>
      <c r="E11" s="332">
        <f>+Data!BN9</f>
        <v>0.65483901128037991</v>
      </c>
      <c r="F11" s="345">
        <f>Final!B12</f>
        <v>5831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 t="str">
        <f>IF(E11&gt;L$5,(1/1+L$4)^(Backlog!S11/12)*D11,"")</f>
        <v/>
      </c>
      <c r="S11" s="10">
        <f t="shared" ref="S11:S27" si="9">S10+1</f>
        <v>1</v>
      </c>
      <c r="U11" s="121">
        <f>Backlog!A11</f>
        <v>45351</v>
      </c>
      <c r="V11" s="158">
        <f>IF(OR(Backlog!L11="",Backlog!G11=0),0,Backlog!L11)</f>
        <v>0</v>
      </c>
      <c r="W11" s="335">
        <f t="shared" si="1"/>
        <v>0</v>
      </c>
      <c r="X11" s="98">
        <f t="shared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337279.50999999995</v>
      </c>
      <c r="C12" s="62">
        <f ca="1">Final!C119</f>
        <v>139431.26773511514</v>
      </c>
      <c r="D12" s="62">
        <f t="shared" ca="1" si="0"/>
        <v>476710.77773511509</v>
      </c>
      <c r="E12" s="332">
        <f>+Data!BN10</f>
        <v>0.8225391026416583</v>
      </c>
      <c r="F12" s="345">
        <f>Final!B13</f>
        <v>5760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>
        <f ca="1">IF(E12&gt;L$5,(1/1+L$4)^(Backlog!S12/12)*D12,"")</f>
        <v>480603.04784660431</v>
      </c>
      <c r="S12" s="10">
        <f t="shared" si="9"/>
        <v>2</v>
      </c>
      <c r="U12" s="121">
        <f>Backlog!A12</f>
        <v>45322</v>
      </c>
      <c r="V12" s="158">
        <f ca="1">IF(OR(Backlog!L12="",Backlog!G12=0),0,Backlog!L12)</f>
        <v>0</v>
      </c>
      <c r="W12" s="335">
        <f t="shared" ca="1" si="1"/>
        <v>0</v>
      </c>
      <c r="X12" s="98">
        <f t="shared" ca="1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ca="1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402453.81000000006</v>
      </c>
      <c r="C13" s="62">
        <f ca="1">Final!C120</f>
        <v>107583.3577351151</v>
      </c>
      <c r="D13" s="62">
        <f t="shared" ca="1" si="0"/>
        <v>510037.16773511516</v>
      </c>
      <c r="E13" s="332">
        <f>+Data!BN11</f>
        <v>0.88524574736067785</v>
      </c>
      <c r="F13" s="345">
        <f>Final!B14</f>
        <v>5910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>
        <f ca="1">IF(E13&gt;L$5,(1/1+L$4)^(Backlog!S13/12)*D13,"")</f>
        <v>516296.46342508378</v>
      </c>
      <c r="S13" s="10">
        <f t="shared" si="9"/>
        <v>3</v>
      </c>
      <c r="U13" s="121">
        <f>Backlog!A13</f>
        <v>45291</v>
      </c>
      <c r="V13" s="158">
        <f ca="1">IF(OR(Backlog!L13="",Backlog!G13=0),0,Backlog!L13)</f>
        <v>0</v>
      </c>
      <c r="W13" s="335">
        <f t="shared" ca="1" si="1"/>
        <v>0</v>
      </c>
      <c r="X13" s="98">
        <f t="shared" ca="1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ca="1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437035.21000000008</v>
      </c>
      <c r="C14" s="62">
        <f ca="1">Final!C121</f>
        <v>81666.307735115173</v>
      </c>
      <c r="D14" s="62">
        <f t="shared" ca="1" si="0"/>
        <v>518701.51773511525</v>
      </c>
      <c r="E14" s="332">
        <f>+Data!BN12</f>
        <v>0.91618567270283457</v>
      </c>
      <c r="F14" s="345">
        <f>Final!B15</f>
        <v>6019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527206.33290030633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471011.88000000024</v>
      </c>
      <c r="C15" s="62">
        <f ca="1">Final!C122</f>
        <v>55863.097735115211</v>
      </c>
      <c r="D15" s="62">
        <f t="shared" ca="1" si="0"/>
        <v>526874.97773511545</v>
      </c>
      <c r="E15" s="332">
        <f>+Data!BN13</f>
        <v>0.93844338986626585</v>
      </c>
      <c r="F15" s="345">
        <f>Final!B16</f>
        <v>6813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537695.5574079809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424054.42999999993</v>
      </c>
      <c r="C16" s="62">
        <f ca="1">Final!C123</f>
        <v>37401.907735115383</v>
      </c>
      <c r="D16" s="62">
        <f t="shared" ca="1" si="0"/>
        <v>461456.33773511532</v>
      </c>
      <c r="E16" s="332">
        <f>+Data!BN14</f>
        <v>0.95414634495957895</v>
      </c>
      <c r="F16" s="345">
        <f>Final!B17</f>
        <v>7169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472852.03734117514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373476.83000000031</v>
      </c>
      <c r="C17" s="62">
        <f ca="1">Final!C124</f>
        <v>26519.097735115327</v>
      </c>
      <c r="D17" s="62">
        <f t="shared" ca="1" si="0"/>
        <v>399995.92773511563</v>
      </c>
      <c r="E17" s="332">
        <f>+Data!BN15</f>
        <v>0.96461221708344935</v>
      </c>
      <c r="F17" s="345">
        <f>Final!B18</f>
        <v>7204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411543.7346410001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440052.23999999993</v>
      </c>
      <c r="C18" s="62">
        <f ca="1">Final!C125</f>
        <v>15827.047735115339</v>
      </c>
      <c r="D18" s="62">
        <f t="shared" ca="1" si="0"/>
        <v>455879.28773511527</v>
      </c>
      <c r="E18" s="332">
        <f>+Data!BN16</f>
        <v>0.97644923512466342</v>
      </c>
      <c r="F18" s="345">
        <f>Final!B19</f>
        <v>7219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470951.36549084081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406825.34999999992</v>
      </c>
      <c r="C19" s="62">
        <f ca="1">Final!C126</f>
        <v>8521.1677351153339</v>
      </c>
      <c r="D19" s="62">
        <f t="shared" ca="1" si="0"/>
        <v>415346.51773511525</v>
      </c>
      <c r="E19" s="332">
        <f>+Data!BN17</f>
        <v>0.9888472365669273</v>
      </c>
      <c r="F19" s="345">
        <f>Final!B20</f>
        <v>7227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430826.63812058041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425895.56000000029</v>
      </c>
      <c r="C20" s="62">
        <f ca="1">Final!C127</f>
        <v>5533.8977351153735</v>
      </c>
      <c r="D20" s="62">
        <f t="shared" ca="1" si="0"/>
        <v>431429.45773511566</v>
      </c>
      <c r="E20" s="332">
        <f>+Data!BN18</f>
        <v>0.99237227838733333</v>
      </c>
      <c r="F20" s="345">
        <f>Final!B21</f>
        <v>7193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449332.20236341254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304004.92999999982</v>
      </c>
      <c r="C21" s="62">
        <f ca="1">Final!C128</f>
        <v>2915.2877351156203</v>
      </c>
      <c r="D21" s="62">
        <f t="shared" ca="1" si="0"/>
        <v>306920.21773511544</v>
      </c>
      <c r="E21" s="332">
        <f>+Data!BN19</f>
        <v>0.99458592875873786</v>
      </c>
      <c r="F21" s="345">
        <f>Final!B22</f>
        <v>7156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320958.60354161583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271555.43999999959</v>
      </c>
      <c r="C22" s="62">
        <f ca="1">Final!C129</f>
        <v>1568.5777351156285</v>
      </c>
      <c r="D22" s="62">
        <f t="shared" ca="1" si="0"/>
        <v>273124.01773511525</v>
      </c>
      <c r="E22" s="332">
        <f>+Data!BN20</f>
        <v>0.99641227084568773</v>
      </c>
      <c r="F22" s="345">
        <f>Final!B23</f>
        <v>7104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286780.21862187103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74416.329999999783</v>
      </c>
      <c r="C23" s="62">
        <f ca="1">Final!C130</f>
        <v>682.68963175249519</v>
      </c>
      <c r="D23" s="62">
        <f t="shared" ca="1" si="0"/>
        <v>75099.019631752279</v>
      </c>
      <c r="E23" s="332">
        <f>+Data!BN21</f>
        <v>0.9969610531174915</v>
      </c>
      <c r="F23" s="345">
        <f>Final!B24</f>
        <v>1190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79175.23145045081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78881.999999999738</v>
      </c>
      <c r="C24" s="62">
        <f ca="1">Final!C131</f>
        <v>564.33991275102017</v>
      </c>
      <c r="D24" s="62">
        <f t="shared" ca="1" si="0"/>
        <v>79446.339912750758</v>
      </c>
      <c r="E24" s="332">
        <f>+Data!BN22</f>
        <v>0.99791863190654806</v>
      </c>
      <c r="F24" s="345">
        <f>Final!B25</f>
        <v>1152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84099.757399901646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86809.979999999923</v>
      </c>
      <c r="C25" s="62">
        <f ca="1">Final!C132</f>
        <v>486.41729478684283</v>
      </c>
      <c r="D25" s="62">
        <f t="shared" ca="1" si="0"/>
        <v>87296.397294786759</v>
      </c>
      <c r="E25" s="332">
        <f>+Data!BN23</f>
        <v>0.99792428747487705</v>
      </c>
      <c r="F25" s="345">
        <f>Final!B26</f>
        <v>1136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92786.105104558883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96390.049999999726</v>
      </c>
      <c r="C26" s="62">
        <f ca="1">Final!C133</f>
        <v>318.6009887797627</v>
      </c>
      <c r="D26" s="62">
        <f t="shared" ca="1" si="0"/>
        <v>96708.650988779496</v>
      </c>
      <c r="E26" s="332">
        <f>+Data!BN24</f>
        <v>0.99794125437217762</v>
      </c>
      <c r="F26" s="345">
        <f>Final!B27</f>
        <v>1138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103209.0365643484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71888.690000000031</v>
      </c>
      <c r="C27" s="62">
        <f ca="1">Final!C134</f>
        <v>216.23631728013424</v>
      </c>
      <c r="D27" s="62">
        <f t="shared" ca="1" si="0"/>
        <v>72104.926317280158</v>
      </c>
      <c r="E27" s="332">
        <f>+Data!BN25</f>
        <v>0.9983674544622958</v>
      </c>
      <c r="F27" s="345">
        <f>Final!B28</f>
        <v>1150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77265.053752275999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5892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5760</v>
      </c>
    </row>
    <row r="48" spans="1:27" x14ac:dyDescent="0.2">
      <c r="A48" s="10" t="s">
        <v>703</v>
      </c>
      <c r="B48" s="10"/>
      <c r="C48" s="10"/>
      <c r="D48" s="348">
        <f>D46/D47</f>
        <v>1.0229166666666667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si="11"/>
        <v>0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ca="1" si="11"/>
        <v>476710.77773511509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ca="1" si="11"/>
        <v>510037.16773511516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518701.51773511525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526874.97773511545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461456.33773511532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399995.92773511563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455879.28773511527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415346.51773511525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431429.45773511566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306920.21773511544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273124.01773511525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75099.019631752279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79446.339912750758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87296.397294786759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96708.650988779496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72104.926317280158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1.51</v>
      </c>
      <c r="AK2" s="120">
        <f ca="1">MAX(AH9:AK44)</f>
        <v>131.45177576947901</v>
      </c>
    </row>
    <row r="3" spans="2:87" x14ac:dyDescent="0.2">
      <c r="Q3" s="18" t="s">
        <v>853</v>
      </c>
      <c r="R3" s="628" t="s">
        <v>855</v>
      </c>
      <c r="S3" s="629"/>
      <c r="U3" s="18" t="s">
        <v>842</v>
      </c>
      <c r="V3" s="628" t="s">
        <v>843</v>
      </c>
      <c r="W3" s="630"/>
      <c r="X3" s="630"/>
      <c r="Y3" s="629"/>
      <c r="AD3" t="s">
        <v>309</v>
      </c>
      <c r="AH3" s="1" t="s">
        <v>481</v>
      </c>
      <c r="AJ3" s="209">
        <f ca="1">MAX(INT(AJ2-MAX(2,0.05*AJ2)),0)</f>
        <v>0</v>
      </c>
      <c r="AK3" s="120">
        <f ca="1">INT(AK2)+INT(MAX(2,0.05*AK2))</f>
        <v>137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227019</v>
      </c>
      <c r="D8" s="41">
        <f>Data!AO8</f>
        <v>5892</v>
      </c>
      <c r="E8" s="7">
        <f>'Incurred Per Day'!S5</f>
        <v>21</v>
      </c>
      <c r="F8" s="127">
        <f ca="1">ROUND(C8/D8,2)</f>
        <v>38.53</v>
      </c>
      <c r="G8" s="439">
        <f ca="1">ROUND(C8/E8,0)</f>
        <v>10810</v>
      </c>
      <c r="H8" s="127">
        <f ca="1">ROUND(C8/D8/E8,2)</f>
        <v>1.83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203371</v>
      </c>
      <c r="D9" s="151">
        <f>Data!AO9</f>
        <v>5831</v>
      </c>
      <c r="E9" s="10">
        <f>'Incurred Per Day'!S6</f>
        <v>21</v>
      </c>
      <c r="F9" s="295">
        <f t="shared" ref="F9:F43" ca="1" si="6">ROUND(C9/D9,2)</f>
        <v>34.880000000000003</v>
      </c>
      <c r="G9" s="441">
        <f t="shared" ref="G9:G43" ca="1" si="7">ROUND(C9/E9,0)</f>
        <v>9684</v>
      </c>
      <c r="H9" s="295">
        <f t="shared" ref="H9:H43" ca="1" si="8">ROUND(C9/D9/E9,2)</f>
        <v>1.66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1.95</v>
      </c>
      <c r="AI9" s="73"/>
      <c r="AJ9" s="73"/>
      <c r="AK9" s="73"/>
      <c r="AL9" s="73">
        <f>Transport!$G20</f>
        <v>0</v>
      </c>
      <c r="AM9" s="73">
        <f>IF(AH9=0,MAX(AH9:AH35),AH9)</f>
        <v>1.95</v>
      </c>
      <c r="AP9" s="121">
        <f>AC9</f>
        <v>44287</v>
      </c>
      <c r="AQ9" s="73">
        <f>AH9</f>
        <v>1.95</v>
      </c>
      <c r="AR9" s="73">
        <f>Transport!$N20</f>
        <v>0</v>
      </c>
      <c r="AS9" s="73">
        <f>Transport!$J20</f>
        <v>42.919151732377529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1.95</v>
      </c>
      <c r="AY9" s="15">
        <f>IF(AX9=0,0,LN(AX9))</f>
        <v>0.66782937257565544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0.66782937257565544</v>
      </c>
      <c r="BD9" s="127">
        <f t="shared" ref="BD9:BD44" ca="1" si="10">AX$56*$M7+AX$57</f>
        <v>0.94602885441593343</v>
      </c>
      <c r="BE9" s="127">
        <f ca="1">EXP(BD9)</f>
        <v>2.5754617911761311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269622</v>
      </c>
      <c r="D10" s="151">
        <f>Data!AO10</f>
        <v>5760</v>
      </c>
      <c r="E10" s="10">
        <f>'Incurred Per Day'!S7</f>
        <v>22</v>
      </c>
      <c r="F10" s="295">
        <f t="shared" ca="1" si="6"/>
        <v>46.81</v>
      </c>
      <c r="G10" s="441">
        <f t="shared" ca="1" si="7"/>
        <v>12256</v>
      </c>
      <c r="H10" s="295">
        <f t="shared" ca="1" si="8"/>
        <v>2.13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2.96</v>
      </c>
      <c r="AI10" s="73">
        <f>LeastSq!AD8</f>
        <v>8.1635093563089409</v>
      </c>
      <c r="AJ10" s="73"/>
      <c r="AK10" s="73"/>
      <c r="AL10" s="73">
        <f>Transport!$G21</f>
        <v>0</v>
      </c>
      <c r="AM10" s="73">
        <f t="shared" ref="AM10:AM35" si="17">IF(AH10=0,MAX(AH10:AH36),AH10)</f>
        <v>2.96</v>
      </c>
      <c r="AP10" s="121">
        <f t="shared" ref="AP10:AP44" si="18">AC10</f>
        <v>44317</v>
      </c>
      <c r="AQ10" s="73">
        <f t="shared" ref="AQ10:AQ44" si="19">AH10</f>
        <v>2.96</v>
      </c>
      <c r="AR10" s="73">
        <f>Transport!$N21</f>
        <v>63.902008841356043</v>
      </c>
      <c r="AS10" s="73">
        <f>Transport!$J21</f>
        <v>59.249342218400699</v>
      </c>
      <c r="AT10" s="73">
        <f>Transport!$O21</f>
        <v>63.902008841356043</v>
      </c>
      <c r="AU10" s="2">
        <v>2</v>
      </c>
      <c r="AW10" s="121">
        <f>Transport!$A21</f>
        <v>44317</v>
      </c>
      <c r="AX10" s="73">
        <f t="shared" si="9"/>
        <v>2.96</v>
      </c>
      <c r="AY10" s="15">
        <f t="shared" ref="AY10:AY44" si="20">IF(AX10=0,0,LN(AX10))</f>
        <v>1.085189268335969</v>
      </c>
      <c r="AZ10" s="98">
        <f t="shared" ref="AZ10:AZ44" si="21">IF(AY10&gt;0,1,0)</f>
        <v>1</v>
      </c>
      <c r="BA10" s="128">
        <f>IF(AZ10&gt;0,2,0)</f>
        <v>2</v>
      </c>
      <c r="BB10" s="128">
        <f t="shared" ref="BB10:BB44" si="22">BA10^2</f>
        <v>4</v>
      </c>
      <c r="BC10" s="15">
        <f t="shared" ref="BC10:BC44" si="23">BA10*AY10</f>
        <v>2.1703785366719379</v>
      </c>
      <c r="BD10" s="127">
        <f t="shared" ca="1" si="10"/>
        <v>0.94602885441593343</v>
      </c>
      <c r="BE10" s="127">
        <f t="shared" ref="BE10:BE44" ca="1" si="24">EXP(BD10)</f>
        <v>2.5754617911761311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259356</v>
      </c>
      <c r="D11" s="151">
        <f>Data!AO11</f>
        <v>5910</v>
      </c>
      <c r="E11" s="10">
        <f>'Incurred Per Day'!S8</f>
        <v>20</v>
      </c>
      <c r="F11" s="295">
        <f t="shared" ca="1" si="6"/>
        <v>43.88</v>
      </c>
      <c r="G11" s="441">
        <f t="shared" ca="1" si="7"/>
        <v>12968</v>
      </c>
      <c r="H11" s="295">
        <f t="shared" ca="1" si="8"/>
        <v>2.19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4.07</v>
      </c>
      <c r="AI11" s="73">
        <f>LeastSq!AD9</f>
        <v>13.483973687206346</v>
      </c>
      <c r="AJ11" s="73"/>
      <c r="AK11" s="73"/>
      <c r="AL11" s="73">
        <f>Transport!$G22</f>
        <v>0</v>
      </c>
      <c r="AM11" s="73">
        <f t="shared" si="17"/>
        <v>4.07</v>
      </c>
      <c r="AP11" s="121">
        <f t="shared" si="18"/>
        <v>44348</v>
      </c>
      <c r="AQ11" s="73">
        <f t="shared" si="19"/>
        <v>4.07</v>
      </c>
      <c r="AR11" s="73">
        <f>Transport!$N22</f>
        <v>64.265644554897719</v>
      </c>
      <c r="AS11" s="73">
        <f>Transport!$J22</f>
        <v>89.537532573289894</v>
      </c>
      <c r="AT11" s="73">
        <f>Transport!$O22</f>
        <v>64.265644554897719</v>
      </c>
      <c r="AU11" s="2">
        <v>3</v>
      </c>
      <c r="AW11" s="121">
        <f>Transport!$A22</f>
        <v>44348</v>
      </c>
      <c r="AX11" s="73">
        <f t="shared" si="9"/>
        <v>4.07</v>
      </c>
      <c r="AY11" s="15">
        <f t="shared" si="20"/>
        <v>1.4036429994545037</v>
      </c>
      <c r="AZ11" s="98">
        <f t="shared" si="21"/>
        <v>1</v>
      </c>
      <c r="BA11" s="128">
        <f>IF(AZ11&gt;0,3,0)</f>
        <v>3</v>
      </c>
      <c r="BB11" s="128">
        <f t="shared" si="22"/>
        <v>9</v>
      </c>
      <c r="BC11" s="15">
        <f t="shared" si="23"/>
        <v>4.210928998363511</v>
      </c>
      <c r="BD11" s="127">
        <f t="shared" ca="1" si="10"/>
        <v>0.94602885441593343</v>
      </c>
      <c r="BE11" s="127">
        <f t="shared" ca="1" si="24"/>
        <v>2.5754617911761311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307863</v>
      </c>
      <c r="D12" s="151">
        <f>Data!AO12</f>
        <v>6019</v>
      </c>
      <c r="E12" s="10">
        <f>'Incurred Per Day'!S9</f>
        <v>20</v>
      </c>
      <c r="F12" s="295">
        <f t="shared" ca="1" si="6"/>
        <v>51.15</v>
      </c>
      <c r="G12" s="441">
        <f t="shared" ca="1" si="7"/>
        <v>15393</v>
      </c>
      <c r="H12" s="295">
        <f t="shared" ca="1" si="8"/>
        <v>2.56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2.1</v>
      </c>
      <c r="AI12" s="73">
        <f>LeastSq!AD10</f>
        <v>15.137672874163453</v>
      </c>
      <c r="AJ12" s="73"/>
      <c r="AK12" s="73"/>
      <c r="AL12" s="73">
        <f>Transport!$G23</f>
        <v>0</v>
      </c>
      <c r="AM12" s="73">
        <f t="shared" si="17"/>
        <v>2.1</v>
      </c>
      <c r="AP12" s="121">
        <f t="shared" si="18"/>
        <v>44378</v>
      </c>
      <c r="AQ12" s="73">
        <f t="shared" si="19"/>
        <v>2.1</v>
      </c>
      <c r="AR12" s="73">
        <f>Transport!$N23</f>
        <v>64.621219816593239</v>
      </c>
      <c r="AS12" s="73">
        <f>Transport!$J23</f>
        <v>44.010058873002535</v>
      </c>
      <c r="AT12" s="73">
        <f>Transport!$O23</f>
        <v>64.621219816593239</v>
      </c>
      <c r="AU12" s="2">
        <v>4</v>
      </c>
      <c r="AW12" s="121">
        <f>Transport!$A23</f>
        <v>44378</v>
      </c>
      <c r="AX12" s="73">
        <f t="shared" si="9"/>
        <v>2.1</v>
      </c>
      <c r="AY12" s="15">
        <f t="shared" si="20"/>
        <v>0.74193734472937733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2.9677493789175093</v>
      </c>
      <c r="BD12" s="127">
        <f t="shared" ca="1" si="10"/>
        <v>0.94602885441593343</v>
      </c>
      <c r="BE12" s="127">
        <f t="shared" ca="1" si="24"/>
        <v>2.5754617911761311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299907</v>
      </c>
      <c r="D13" s="151">
        <f>Data!AO13</f>
        <v>6813</v>
      </c>
      <c r="E13" s="10">
        <f>'Incurred Per Day'!S10</f>
        <v>22</v>
      </c>
      <c r="F13" s="295">
        <f t="shared" ca="1" si="6"/>
        <v>44.02</v>
      </c>
      <c r="G13" s="441">
        <f t="shared" ca="1" si="7"/>
        <v>13632</v>
      </c>
      <c r="H13" s="295">
        <f t="shared" ca="1" si="8"/>
        <v>2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1" t="s">
        <v>857</v>
      </c>
      <c r="W13" s="632"/>
      <c r="X13" s="633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2.74</v>
      </c>
      <c r="AI13" s="73">
        <f>LeastSq!AD11</f>
        <v>20.497992679782236</v>
      </c>
      <c r="AJ13" s="73"/>
      <c r="AK13" s="73"/>
      <c r="AL13" s="73">
        <f>Transport!$G24</f>
        <v>0</v>
      </c>
      <c r="AM13" s="73">
        <f t="shared" si="17"/>
        <v>2.74</v>
      </c>
      <c r="AP13" s="121">
        <f t="shared" si="18"/>
        <v>44409</v>
      </c>
      <c r="AQ13" s="73">
        <f t="shared" si="19"/>
        <v>2.74</v>
      </c>
      <c r="AR13" s="73">
        <f>Transport!$N24</f>
        <v>50.56411228030089</v>
      </c>
      <c r="AS13" s="73">
        <f>Transport!$J24</f>
        <v>60.316068003487331</v>
      </c>
      <c r="AT13" s="73">
        <f>Transport!$O24</f>
        <v>50.56411228030089</v>
      </c>
      <c r="AU13" s="2">
        <v>5</v>
      </c>
      <c r="AW13" s="121">
        <f>Transport!$A24</f>
        <v>44409</v>
      </c>
      <c r="AX13" s="73">
        <f t="shared" si="9"/>
        <v>2.74</v>
      </c>
      <c r="AY13" s="15">
        <f t="shared" si="20"/>
        <v>1.0079579203999789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5.0397896019998942</v>
      </c>
      <c r="BD13" s="127">
        <f t="shared" ca="1" si="10"/>
        <v>0.94602885441593343</v>
      </c>
      <c r="BE13" s="127">
        <f t="shared" ca="1" si="24"/>
        <v>2.5754617911761311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237341</v>
      </c>
      <c r="D14" s="151">
        <f>Data!AO14</f>
        <v>7169</v>
      </c>
      <c r="E14" s="10">
        <f>'Incurred Per Day'!S11</f>
        <v>20</v>
      </c>
      <c r="F14" s="295">
        <f t="shared" ca="1" si="6"/>
        <v>33.11</v>
      </c>
      <c r="G14" s="441">
        <f t="shared" ca="1" si="7"/>
        <v>11867</v>
      </c>
      <c r="H14" s="295">
        <f t="shared" ca="1" si="8"/>
        <v>1.66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2.2599999999999998</v>
      </c>
      <c r="AI14" s="73">
        <f>LeastSq!AD12</f>
        <v>23.147454627235984</v>
      </c>
      <c r="AJ14" s="73"/>
      <c r="AK14" s="73"/>
      <c r="AL14" s="73">
        <f>Transport!$G25</f>
        <v>0</v>
      </c>
      <c r="AM14" s="73">
        <f t="shared" si="17"/>
        <v>2.2599999999999998</v>
      </c>
      <c r="AP14" s="121">
        <f t="shared" si="18"/>
        <v>44440</v>
      </c>
      <c r="AQ14" s="73">
        <f t="shared" si="19"/>
        <v>2.2599999999999998</v>
      </c>
      <c r="AR14" s="73">
        <f>Transport!$N25</f>
        <v>57.633836708962804</v>
      </c>
      <c r="AS14" s="73">
        <f>Transport!$J25</f>
        <v>47.366209964412811</v>
      </c>
      <c r="AT14" s="73">
        <f>Transport!$O25</f>
        <v>57.633836708962804</v>
      </c>
      <c r="AU14" s="2">
        <v>6</v>
      </c>
      <c r="AW14" s="121">
        <f>Transport!$A25</f>
        <v>44440</v>
      </c>
      <c r="AX14" s="73">
        <f t="shared" si="9"/>
        <v>2.2599999999999998</v>
      </c>
      <c r="AY14" s="15">
        <f t="shared" si="20"/>
        <v>0.81536481328419441</v>
      </c>
      <c r="AZ14" s="98">
        <f t="shared" si="21"/>
        <v>1</v>
      </c>
      <c r="BA14" s="128">
        <f>IF(AZ14&gt;0,6,0)</f>
        <v>6</v>
      </c>
      <c r="BB14" s="128">
        <f t="shared" si="22"/>
        <v>36</v>
      </c>
      <c r="BC14" s="15">
        <f t="shared" si="23"/>
        <v>4.8921888797051665</v>
      </c>
      <c r="BD14" s="127">
        <f t="shared" ca="1" si="10"/>
        <v>0.94602885441593343</v>
      </c>
      <c r="BE14" s="127">
        <f t="shared" ca="1" si="24"/>
        <v>2.5754617911761311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302144</v>
      </c>
      <c r="D15" s="151">
        <f>Data!AO15</f>
        <v>7204</v>
      </c>
      <c r="E15" s="10">
        <f>'Incurred Per Day'!S12</f>
        <v>23</v>
      </c>
      <c r="F15" s="295">
        <f t="shared" ca="1" si="6"/>
        <v>41.94</v>
      </c>
      <c r="G15" s="441">
        <f t="shared" ca="1" si="7"/>
        <v>13137</v>
      </c>
      <c r="H15" s="295">
        <f t="shared" ca="1" si="8"/>
        <v>1.82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3.11</v>
      </c>
      <c r="AI15" s="73">
        <f>LeastSq!AD13</f>
        <v>29.244280780404292</v>
      </c>
      <c r="AJ15" s="73"/>
      <c r="AK15" s="73"/>
      <c r="AL15" s="73">
        <f>Transport!$G26</f>
        <v>0</v>
      </c>
      <c r="AM15" s="73">
        <f t="shared" si="17"/>
        <v>3.11</v>
      </c>
      <c r="AP15" s="121">
        <f t="shared" si="18"/>
        <v>44470</v>
      </c>
      <c r="AQ15" s="73">
        <f t="shared" si="19"/>
        <v>3.11</v>
      </c>
      <c r="AR15" s="73">
        <f>Transport!$N26</f>
        <v>56.421265595064227</v>
      </c>
      <c r="AS15" s="73">
        <f>Transport!$J26</f>
        <v>65.219232158988262</v>
      </c>
      <c r="AT15" s="73">
        <f>Transport!$O26</f>
        <v>56.421265595064227</v>
      </c>
      <c r="AU15" s="2">
        <v>7</v>
      </c>
      <c r="AW15" s="121">
        <f>Transport!$A26</f>
        <v>44470</v>
      </c>
      <c r="AX15" s="73">
        <f t="shared" si="9"/>
        <v>3.11</v>
      </c>
      <c r="AY15" s="15">
        <f t="shared" si="20"/>
        <v>1.1346227261911428</v>
      </c>
      <c r="AZ15" s="98">
        <f t="shared" si="21"/>
        <v>1</v>
      </c>
      <c r="BA15" s="128">
        <f>IF(AZ15&gt;0,7,0)</f>
        <v>7</v>
      </c>
      <c r="BB15" s="128">
        <f t="shared" si="22"/>
        <v>49</v>
      </c>
      <c r="BC15" s="15">
        <f t="shared" si="23"/>
        <v>7.9423590833379993</v>
      </c>
      <c r="BD15" s="127">
        <f t="shared" ca="1" si="10"/>
        <v>0.94602885441593343</v>
      </c>
      <c r="BE15" s="127">
        <f t="shared" ca="1" si="24"/>
        <v>2.5754617911761311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310223</v>
      </c>
      <c r="D16" s="151">
        <f>Data!AO16</f>
        <v>7219</v>
      </c>
      <c r="E16" s="10">
        <f>'Incurred Per Day'!S13</f>
        <v>20</v>
      </c>
      <c r="F16" s="295">
        <f t="shared" ca="1" si="6"/>
        <v>42.97</v>
      </c>
      <c r="G16" s="441">
        <f t="shared" ca="1" si="7"/>
        <v>15511</v>
      </c>
      <c r="H16" s="295">
        <f t="shared" ca="1" si="8"/>
        <v>2.15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2.83</v>
      </c>
      <c r="AI16" s="73">
        <f>LeastSq!AD14</f>
        <v>32.299139086809937</v>
      </c>
      <c r="AJ16" s="73"/>
      <c r="AK16" s="73"/>
      <c r="AL16" s="73">
        <f>Transport!$G27</f>
        <v>0</v>
      </c>
      <c r="AM16" s="73">
        <f t="shared" si="17"/>
        <v>2.83</v>
      </c>
      <c r="AP16" s="121">
        <f t="shared" si="18"/>
        <v>44501</v>
      </c>
      <c r="AQ16" s="73">
        <f t="shared" si="19"/>
        <v>2.83</v>
      </c>
      <c r="AR16" s="73">
        <f>Transport!$N27</f>
        <v>57.589438412682028</v>
      </c>
      <c r="AS16" s="73">
        <f>Transport!$J27</f>
        <v>56.678354661791616</v>
      </c>
      <c r="AT16" s="73">
        <f>Transport!$O27</f>
        <v>57.589438412682028</v>
      </c>
      <c r="AU16" s="2">
        <v>8</v>
      </c>
      <c r="AW16" s="121">
        <f>Transport!$A27</f>
        <v>44501</v>
      </c>
      <c r="AX16" s="73">
        <f t="shared" si="9"/>
        <v>2.83</v>
      </c>
      <c r="AY16" s="15">
        <f t="shared" si="20"/>
        <v>1.0402767116551463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8.3222136932411708</v>
      </c>
      <c r="BD16" s="127">
        <f t="shared" ca="1" si="10"/>
        <v>0.94602885441593343</v>
      </c>
      <c r="BE16" s="127">
        <f t="shared" ca="1" si="24"/>
        <v>2.5754617911761311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267861</v>
      </c>
      <c r="D17" s="151">
        <f>Data!AO17</f>
        <v>7227</v>
      </c>
      <c r="E17" s="10">
        <f>'Incurred Per Day'!S14</f>
        <v>22</v>
      </c>
      <c r="F17" s="295">
        <f t="shared" ca="1" si="6"/>
        <v>37.06</v>
      </c>
      <c r="G17" s="441">
        <f t="shared" ca="1" si="7"/>
        <v>12176</v>
      </c>
      <c r="H17" s="295">
        <f t="shared" ca="1" si="8"/>
        <v>1.68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2.31</v>
      </c>
      <c r="AI17" s="73">
        <f>LeastSq!AD15</f>
        <v>35.363589101311938</v>
      </c>
      <c r="AJ17" s="73"/>
      <c r="AK17" s="73"/>
      <c r="AL17" s="73">
        <f>Transport!$G28</f>
        <v>0</v>
      </c>
      <c r="AM17" s="73">
        <f t="shared" si="17"/>
        <v>2.31</v>
      </c>
      <c r="AP17" s="121">
        <f t="shared" si="18"/>
        <v>44531</v>
      </c>
      <c r="AQ17" s="73">
        <f t="shared" si="19"/>
        <v>2.31</v>
      </c>
      <c r="AR17" s="73">
        <f>Transport!$N28</f>
        <v>48.210290882467717</v>
      </c>
      <c r="AS17" s="73">
        <f>Transport!$J28</f>
        <v>50.870728417266207</v>
      </c>
      <c r="AT17" s="73">
        <f>Transport!$O28</f>
        <v>48.210290882467717</v>
      </c>
      <c r="AU17" s="2">
        <v>9</v>
      </c>
      <c r="AW17" s="121">
        <f>Transport!$A28</f>
        <v>44531</v>
      </c>
      <c r="AX17" s="73">
        <f t="shared" si="9"/>
        <v>2.31</v>
      </c>
      <c r="AY17" s="15">
        <f t="shared" si="20"/>
        <v>0.83724752453370221</v>
      </c>
      <c r="AZ17" s="98">
        <f t="shared" si="21"/>
        <v>1</v>
      </c>
      <c r="BA17" s="128">
        <f>IF(AZ17&gt;0,9,0)</f>
        <v>9</v>
      </c>
      <c r="BB17" s="128">
        <f t="shared" si="22"/>
        <v>81</v>
      </c>
      <c r="BC17" s="15">
        <f t="shared" si="23"/>
        <v>7.53522772080332</v>
      </c>
      <c r="BD17" s="127">
        <f t="shared" ca="1" si="10"/>
        <v>0.94602885441593343</v>
      </c>
      <c r="BE17" s="127">
        <f t="shared" ca="1" si="24"/>
        <v>2.5754617911761311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343278</v>
      </c>
      <c r="D18" s="151">
        <f>Data!AO18</f>
        <v>7193</v>
      </c>
      <c r="E18" s="10">
        <f>'Incurred Per Day'!S15</f>
        <v>22</v>
      </c>
      <c r="F18" s="295">
        <f t="shared" ca="1" si="6"/>
        <v>47.72</v>
      </c>
      <c r="G18" s="441">
        <f t="shared" ca="1" si="7"/>
        <v>15604</v>
      </c>
      <c r="H18" s="295">
        <f t="shared" ca="1" si="8"/>
        <v>2.17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1.85</v>
      </c>
      <c r="AI18" s="73">
        <f>LeastSq!AD16</f>
        <v>36.131260018940495</v>
      </c>
      <c r="AJ18" s="73"/>
      <c r="AK18" s="73"/>
      <c r="AL18" s="73">
        <f>Transport!$G29</f>
        <v>0</v>
      </c>
      <c r="AM18" s="73">
        <f t="shared" si="17"/>
        <v>1.85</v>
      </c>
      <c r="AP18" s="121">
        <f t="shared" si="18"/>
        <v>44562</v>
      </c>
      <c r="AQ18" s="73">
        <f t="shared" si="19"/>
        <v>1.85</v>
      </c>
      <c r="AR18" s="73">
        <f>Transport!$N29</f>
        <v>44.339071606063577</v>
      </c>
      <c r="AS18" s="73">
        <f>Transport!$J29</f>
        <v>37.081789568345329</v>
      </c>
      <c r="AT18" s="73">
        <f>Transport!$O29</f>
        <v>44.339071606063577</v>
      </c>
      <c r="AU18" s="2">
        <v>10</v>
      </c>
      <c r="AW18" s="121">
        <f>Transport!$A29</f>
        <v>44562</v>
      </c>
      <c r="AX18" s="73">
        <f t="shared" si="9"/>
        <v>1.85</v>
      </c>
      <c r="AY18" s="15">
        <f t="shared" si="20"/>
        <v>0.61518563909023349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6.1518563909023349</v>
      </c>
      <c r="BD18" s="127">
        <f t="shared" ca="1" si="10"/>
        <v>0.94602885441593343</v>
      </c>
      <c r="BE18" s="127">
        <f t="shared" ca="1" si="24"/>
        <v>2.5754617911761311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248737</v>
      </c>
      <c r="D19" s="151">
        <f>Data!AO19</f>
        <v>7156</v>
      </c>
      <c r="E19" s="10">
        <f>'Incurred Per Day'!S16</f>
        <v>20</v>
      </c>
      <c r="F19" s="295">
        <f t="shared" ca="1" si="6"/>
        <v>34.76</v>
      </c>
      <c r="G19" s="441">
        <f t="shared" ca="1" si="7"/>
        <v>12437</v>
      </c>
      <c r="H19" s="295">
        <f t="shared" ca="1" si="8"/>
        <v>1.74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2.25</v>
      </c>
      <c r="AI19" s="73">
        <f>LeastSq!AD17</f>
        <v>41.889090811141337</v>
      </c>
      <c r="AJ19" s="73"/>
      <c r="AK19" s="73"/>
      <c r="AL19" s="73">
        <f>Transport!$G30</f>
        <v>0</v>
      </c>
      <c r="AM19" s="73">
        <f t="shared" si="17"/>
        <v>2.25</v>
      </c>
      <c r="AP19" s="121">
        <f t="shared" si="18"/>
        <v>44593</v>
      </c>
      <c r="AQ19" s="73">
        <f t="shared" si="19"/>
        <v>2.25</v>
      </c>
      <c r="AR19" s="73">
        <f>Transport!$N30</f>
        <v>39.691862911618763</v>
      </c>
      <c r="AS19" s="73">
        <f>Transport!$J30</f>
        <v>45.064696832579187</v>
      </c>
      <c r="AT19" s="73">
        <f>Transport!$O30</f>
        <v>39.691862911618763</v>
      </c>
      <c r="AU19" s="2">
        <v>11</v>
      </c>
      <c r="AW19" s="121">
        <f>Transport!$A30</f>
        <v>44593</v>
      </c>
      <c r="AX19" s="73">
        <f t="shared" si="9"/>
        <v>2.25</v>
      </c>
      <c r="AY19" s="15">
        <f t="shared" si="20"/>
        <v>0.81093021621632877</v>
      </c>
      <c r="AZ19" s="98">
        <f t="shared" si="21"/>
        <v>1</v>
      </c>
      <c r="BA19" s="128">
        <f>IF(AZ19&gt;0,11,0)</f>
        <v>11</v>
      </c>
      <c r="BB19" s="128">
        <f t="shared" si="22"/>
        <v>121</v>
      </c>
      <c r="BC19" s="15">
        <f t="shared" si="23"/>
        <v>8.920232378379616</v>
      </c>
      <c r="BD19" s="127">
        <f t="shared" ca="1" si="10"/>
        <v>0.94602885441593343</v>
      </c>
      <c r="BE19" s="127">
        <f t="shared" ca="1" si="24"/>
        <v>2.5754617911761311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246921.67810336311</v>
      </c>
      <c r="D20" s="151">
        <f>Data!AO20</f>
        <v>7104</v>
      </c>
      <c r="E20" s="10">
        <f>'Incurred Per Day'!S17</f>
        <v>23</v>
      </c>
      <c r="F20" s="295">
        <f t="shared" si="6"/>
        <v>34.76</v>
      </c>
      <c r="G20" s="441">
        <f t="shared" si="7"/>
        <v>10736</v>
      </c>
      <c r="H20" s="295">
        <f t="shared" si="8"/>
        <v>1.51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1.61</v>
      </c>
      <c r="AI20" s="73">
        <f>LeastSq!AD18</f>
        <v>43.307999056047656</v>
      </c>
      <c r="AJ20" s="73"/>
      <c r="AK20" s="73"/>
      <c r="AL20" s="73">
        <f>Transport!$G31</f>
        <v>0</v>
      </c>
      <c r="AM20" s="73">
        <f t="shared" si="17"/>
        <v>1.61</v>
      </c>
      <c r="AP20" s="121">
        <f t="shared" si="18"/>
        <v>44621</v>
      </c>
      <c r="AQ20" s="73">
        <f t="shared" si="19"/>
        <v>1.61</v>
      </c>
      <c r="AR20" s="73">
        <f>Transport!$N31</f>
        <v>40.66518366453861</v>
      </c>
      <c r="AS20" s="73">
        <f>Transport!$J31</f>
        <v>36.92910233393178</v>
      </c>
      <c r="AT20" s="73">
        <f>Transport!$O31</f>
        <v>40.66518366453861</v>
      </c>
      <c r="AU20" s="2">
        <v>12</v>
      </c>
      <c r="AW20" s="121">
        <f>Transport!$A31</f>
        <v>44621</v>
      </c>
      <c r="AX20" s="73">
        <f t="shared" si="9"/>
        <v>1.61</v>
      </c>
      <c r="AY20" s="15">
        <f t="shared" si="20"/>
        <v>0.47623417899637172</v>
      </c>
      <c r="AZ20" s="98">
        <f t="shared" si="21"/>
        <v>1</v>
      </c>
      <c r="BA20" s="128">
        <f>IF(AZ20&gt;0,12,0)</f>
        <v>12</v>
      </c>
      <c r="BB20" s="128">
        <f t="shared" si="22"/>
        <v>144</v>
      </c>
      <c r="BC20" s="15">
        <f t="shared" si="23"/>
        <v>5.7148101479564604</v>
      </c>
      <c r="BD20" s="127">
        <f t="shared" ca="1" si="10"/>
        <v>0.94602885441593343</v>
      </c>
      <c r="BE20" s="127">
        <f t="shared" ca="1" si="24"/>
        <v>2.5754617911761311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38944.319719001476</v>
      </c>
      <c r="D21" s="151">
        <f>Data!AO21</f>
        <v>1190</v>
      </c>
      <c r="E21" s="10">
        <f>'Incurred Per Day'!S18</f>
        <v>20</v>
      </c>
      <c r="F21" s="295">
        <f t="shared" si="6"/>
        <v>32.729999999999997</v>
      </c>
      <c r="G21" s="441">
        <f t="shared" si="7"/>
        <v>1947</v>
      </c>
      <c r="H21" s="295">
        <f t="shared" si="8"/>
        <v>1.64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1.9</v>
      </c>
      <c r="AI21" s="73">
        <f>LeastSq!AD19</f>
        <v>47.956002234823217</v>
      </c>
      <c r="AJ21" s="73">
        <f ca="1">LeastSq!$AZ19</f>
        <v>44.519646247194615</v>
      </c>
      <c r="AK21" s="73"/>
      <c r="AL21" s="73">
        <f>Transport!$G32</f>
        <v>1.058651545174822E-2</v>
      </c>
      <c r="AM21" s="73">
        <f t="shared" si="17"/>
        <v>1.9</v>
      </c>
      <c r="AP21" s="121">
        <f t="shared" si="18"/>
        <v>44652</v>
      </c>
      <c r="AQ21" s="73">
        <f t="shared" si="19"/>
        <v>1.9</v>
      </c>
      <c r="AR21" s="73">
        <f>Transport!$N32</f>
        <v>38.527446849537903</v>
      </c>
      <c r="AS21" s="73">
        <f>Transport!$J32</f>
        <v>40.001751827104876</v>
      </c>
      <c r="AT21" s="73">
        <f>Transport!$O32</f>
        <v>38.527446849537903</v>
      </c>
      <c r="AU21" s="2">
        <v>13</v>
      </c>
      <c r="AW21" s="121">
        <f>Transport!$A32</f>
        <v>44652</v>
      </c>
      <c r="AX21" s="73">
        <f t="shared" si="9"/>
        <v>1.9</v>
      </c>
      <c r="AY21" s="15">
        <f t="shared" si="20"/>
        <v>0.64185388617239469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8.3441005202411311</v>
      </c>
      <c r="BD21" s="127">
        <f t="shared" ca="1" si="10"/>
        <v>0.94602885441593343</v>
      </c>
      <c r="BE21" s="127">
        <f t="shared" ca="1" si="24"/>
        <v>2.5754617911761311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37438.172617964185</v>
      </c>
      <c r="D22" s="151">
        <f>Data!AO22</f>
        <v>1152</v>
      </c>
      <c r="E22" s="10">
        <f>'Incurred Per Day'!S19</f>
        <v>21</v>
      </c>
      <c r="F22" s="295">
        <f t="shared" si="6"/>
        <v>32.5</v>
      </c>
      <c r="G22" s="441">
        <f t="shared" si="7"/>
        <v>1783</v>
      </c>
      <c r="H22" s="295">
        <f t="shared" si="8"/>
        <v>1.55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1.84</v>
      </c>
      <c r="AI22" s="73">
        <f>LeastSq!AD20</f>
        <v>51.164193246999687</v>
      </c>
      <c r="AJ22" s="73">
        <f ca="1">LeastSq!$AZ20</f>
        <v>44.404653236954609</v>
      </c>
      <c r="AK22" s="73"/>
      <c r="AL22" s="73">
        <f>Transport!$G33</f>
        <v>1.3638286311215187E-2</v>
      </c>
      <c r="AM22" s="73">
        <f t="shared" si="17"/>
        <v>1.84</v>
      </c>
      <c r="AP22" s="121">
        <f t="shared" si="18"/>
        <v>44682</v>
      </c>
      <c r="AQ22" s="73">
        <f t="shared" si="19"/>
        <v>1.84</v>
      </c>
      <c r="AR22" s="73">
        <f>Transport!$N33</f>
        <v>41.575403418907172</v>
      </c>
      <c r="AS22" s="73">
        <f>Transport!$J33</f>
        <v>38.651486387577066</v>
      </c>
      <c r="AT22" s="73">
        <f>Transport!$O33</f>
        <v>41.575403418907172</v>
      </c>
      <c r="AU22" s="2">
        <v>14</v>
      </c>
      <c r="AW22" s="121">
        <f>Transport!$A33</f>
        <v>44682</v>
      </c>
      <c r="AX22" s="73">
        <f t="shared" si="9"/>
        <v>1.84</v>
      </c>
      <c r="AY22" s="15">
        <f t="shared" si="20"/>
        <v>0.60976557162089429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8.5367180026925205</v>
      </c>
      <c r="BD22" s="127">
        <f t="shared" ca="1" si="10"/>
        <v>0.94602885441593343</v>
      </c>
      <c r="BE22" s="127">
        <f t="shared" ca="1" si="24"/>
        <v>2.5754617911761311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80847.56630600708</v>
      </c>
      <c r="D23" s="151">
        <f>Data!AO23</f>
        <v>1136</v>
      </c>
      <c r="E23" s="10">
        <f>'Incurred Per Day'!S20</f>
        <v>21</v>
      </c>
      <c r="F23" s="295">
        <f t="shared" si="6"/>
        <v>71.17</v>
      </c>
      <c r="G23" s="441">
        <f t="shared" si="7"/>
        <v>3850</v>
      </c>
      <c r="H23" s="295">
        <f t="shared" si="8"/>
        <v>3.39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2.09</v>
      </c>
      <c r="AI23" s="73">
        <f>LeastSq!AD21</f>
        <v>57.453397324605383</v>
      </c>
      <c r="AJ23" s="73">
        <f ca="1">LeastSq!$AZ21</f>
        <v>44.289957250467452</v>
      </c>
      <c r="AK23" s="73"/>
      <c r="AL23" s="73">
        <f>Transport!$G34</f>
        <v>1.6256978518686412E-2</v>
      </c>
      <c r="AM23" s="73">
        <f t="shared" si="17"/>
        <v>2.09</v>
      </c>
      <c r="AP23" s="121">
        <f t="shared" si="18"/>
        <v>44713</v>
      </c>
      <c r="AQ23" s="73">
        <f t="shared" si="19"/>
        <v>2.09</v>
      </c>
      <c r="AR23" s="73">
        <f>Transport!$N34</f>
        <v>43.547088332615637</v>
      </c>
      <c r="AS23" s="73">
        <f>Transport!$J34</f>
        <v>46.072972042039574</v>
      </c>
      <c r="AT23" s="73">
        <f>Transport!$O34</f>
        <v>43.547088332615637</v>
      </c>
      <c r="AU23" s="2">
        <v>15</v>
      </c>
      <c r="AW23" s="121">
        <f>Transport!$A34</f>
        <v>44713</v>
      </c>
      <c r="AX23" s="73">
        <f t="shared" si="9"/>
        <v>2.09</v>
      </c>
      <c r="AY23" s="15">
        <f t="shared" si="20"/>
        <v>0.73716406597671957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11.057460989650794</v>
      </c>
      <c r="BD23" s="127">
        <f t="shared" ca="1" si="10"/>
        <v>0.94602885441593343</v>
      </c>
      <c r="BE23" s="127">
        <f t="shared" ca="1" si="24"/>
        <v>2.5754617911761311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49721.864671499621</v>
      </c>
      <c r="D24" s="151">
        <f>Data!AO24</f>
        <v>1138</v>
      </c>
      <c r="E24" s="10">
        <f>'Incurred Per Day'!S21</f>
        <v>20</v>
      </c>
      <c r="F24" s="295">
        <f t="shared" si="6"/>
        <v>43.69</v>
      </c>
      <c r="G24" s="441">
        <f t="shared" si="7"/>
        <v>2486</v>
      </c>
      <c r="H24" s="295">
        <f t="shared" si="8"/>
        <v>2.1800000000000002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2.2999999999999998</v>
      </c>
      <c r="AI24" s="73">
        <f>LeastSq!AD22</f>
        <v>61.229299299492517</v>
      </c>
      <c r="AJ24" s="73">
        <f ca="1">LeastSq!$AZ22</f>
        <v>44.175557520529047</v>
      </c>
      <c r="AK24" s="73"/>
      <c r="AL24" s="73">
        <f>Transport!$G35</f>
        <v>1.6201875089479508E-2</v>
      </c>
      <c r="AM24" s="73">
        <f t="shared" si="17"/>
        <v>2.2999999999999998</v>
      </c>
      <c r="AP24" s="121">
        <f t="shared" si="18"/>
        <v>44743</v>
      </c>
      <c r="AQ24" s="73">
        <f t="shared" si="19"/>
        <v>2.2999999999999998</v>
      </c>
      <c r="AR24" s="73">
        <f>Transport!$N35</f>
        <v>45.92062561358361</v>
      </c>
      <c r="AS24" s="73">
        <f>Transport!$J35</f>
        <v>45.916806568230278</v>
      </c>
      <c r="AT24" s="73">
        <f>Transport!$O35</f>
        <v>45.92062561358361</v>
      </c>
      <c r="AU24" s="2">
        <v>16</v>
      </c>
      <c r="AW24" s="121">
        <f>Transport!$A35</f>
        <v>44743</v>
      </c>
      <c r="AX24" s="73">
        <f t="shared" si="9"/>
        <v>2.2999999999999998</v>
      </c>
      <c r="AY24" s="15">
        <f t="shared" si="20"/>
        <v>0.83290912293510388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13.326545966961662</v>
      </c>
      <c r="BD24" s="127">
        <f t="shared" ca="1" si="10"/>
        <v>0.94602885441593343</v>
      </c>
      <c r="BE24" s="127">
        <f t="shared" ca="1" si="24"/>
        <v>2.5754617911761311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67160.97334734608</v>
      </c>
      <c r="D25" s="151">
        <f>Data!AO25</f>
        <v>1150</v>
      </c>
      <c r="E25" s="10">
        <f>'Incurred Per Day'!S22</f>
        <v>21</v>
      </c>
      <c r="F25" s="295">
        <f t="shared" si="6"/>
        <v>58.4</v>
      </c>
      <c r="G25" s="441">
        <f t="shared" si="7"/>
        <v>3198</v>
      </c>
      <c r="H25" s="295">
        <f t="shared" si="8"/>
        <v>2.78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1.99</v>
      </c>
      <c r="AI25" s="73">
        <f>LeastSq!AD23</f>
        <v>65.002469841103633</v>
      </c>
      <c r="AJ25" s="73">
        <f ca="1">LeastSq!$AZ23</f>
        <v>44.061453281916968</v>
      </c>
      <c r="AK25" s="73"/>
      <c r="AL25" s="73">
        <f>Transport!$G36</f>
        <v>1.615081434314642E-2</v>
      </c>
      <c r="AM25" s="73">
        <f t="shared" si="17"/>
        <v>1.99</v>
      </c>
      <c r="AP25" s="121">
        <f t="shared" si="18"/>
        <v>44774</v>
      </c>
      <c r="AQ25" s="73">
        <f t="shared" si="19"/>
        <v>1.99</v>
      </c>
      <c r="AR25" s="73">
        <f>Transport!$N36</f>
        <v>52.103785889678591</v>
      </c>
      <c r="AS25" s="73">
        <f>Transport!$J36</f>
        <v>45.772098230480971</v>
      </c>
      <c r="AT25" s="73">
        <f>Transport!$O36</f>
        <v>52.103785889678591</v>
      </c>
      <c r="AU25" s="2">
        <v>17</v>
      </c>
      <c r="AW25" s="121">
        <f>Transport!$A36</f>
        <v>44774</v>
      </c>
      <c r="AX25" s="73">
        <f t="shared" si="9"/>
        <v>1.99</v>
      </c>
      <c r="AY25" s="15">
        <f t="shared" si="20"/>
        <v>0.68813463873640102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11.698288858518817</v>
      </c>
      <c r="BD25" s="127">
        <f t="shared" ca="1" si="10"/>
        <v>0.94602885441593343</v>
      </c>
      <c r="BE25" s="127">
        <f t="shared" ca="1" si="24"/>
        <v>2.5754617911761311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73992.70853652159</v>
      </c>
      <c r="D26" s="151">
        <f>Data!AO26</f>
        <v>1145</v>
      </c>
      <c r="E26" s="10">
        <f>'Incurred Per Day'!S23</f>
        <v>21</v>
      </c>
      <c r="F26" s="295">
        <f t="shared" si="6"/>
        <v>64.62</v>
      </c>
      <c r="G26" s="441">
        <f t="shared" si="7"/>
        <v>3523</v>
      </c>
      <c r="H26" s="295">
        <f t="shared" si="8"/>
        <v>3.08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3.08</v>
      </c>
      <c r="AI26" s="73">
        <f>LeastSq!AD24</f>
        <v>75.034114524953907</v>
      </c>
      <c r="AJ26" s="73">
        <f ca="1">LeastSq!$AZ24</f>
        <v>43.94764377138528</v>
      </c>
      <c r="AK26" s="73"/>
      <c r="AL26" s="73">
        <f>Transport!$G37</f>
        <v>2.2802215302693475E-2</v>
      </c>
      <c r="AM26" s="73">
        <f t="shared" si="17"/>
        <v>3.08</v>
      </c>
      <c r="AP26" s="121">
        <f t="shared" si="18"/>
        <v>44805</v>
      </c>
      <c r="AQ26" s="73">
        <f t="shared" si="19"/>
        <v>3.08</v>
      </c>
      <c r="AR26" s="73">
        <f>Transport!$N37</f>
        <v>56.2651324966007</v>
      </c>
      <c r="AS26" s="73">
        <f>Transport!$J37</f>
        <v>64.622452870324537</v>
      </c>
      <c r="AT26" s="73">
        <f>Transport!$O37</f>
        <v>56.2651324966007</v>
      </c>
      <c r="AU26" s="2">
        <v>18</v>
      </c>
      <c r="AW26" s="121">
        <f>Transport!$A37</f>
        <v>44805</v>
      </c>
      <c r="AX26" s="73">
        <f t="shared" si="9"/>
        <v>3.08</v>
      </c>
      <c r="AY26" s="15">
        <f t="shared" si="20"/>
        <v>1.1249295969854831</v>
      </c>
      <c r="AZ26" s="98">
        <f t="shared" si="21"/>
        <v>1</v>
      </c>
      <c r="BA26" s="128">
        <f>IF(AZ26&gt;0,18,0)</f>
        <v>18</v>
      </c>
      <c r="BB26" s="128">
        <f t="shared" si="22"/>
        <v>324</v>
      </c>
      <c r="BC26" s="15">
        <f t="shared" si="23"/>
        <v>20.248732745738696</v>
      </c>
      <c r="BD26" s="127">
        <f t="shared" ca="1" si="10"/>
        <v>0.94602885441593343</v>
      </c>
      <c r="BE26" s="127">
        <f t="shared" ca="1" si="24"/>
        <v>2.5754617911761311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50486.62434822051</v>
      </c>
      <c r="D27" s="151">
        <f>Data!AO27</f>
        <v>1103</v>
      </c>
      <c r="E27" s="10">
        <f>'Incurred Per Day'!S24</f>
        <v>23</v>
      </c>
      <c r="F27" s="295">
        <f t="shared" si="6"/>
        <v>45.77</v>
      </c>
      <c r="G27" s="441">
        <f t="shared" si="7"/>
        <v>2195</v>
      </c>
      <c r="H27" s="295">
        <f t="shared" si="8"/>
        <v>1.99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2.78</v>
      </c>
      <c r="AI27" s="73">
        <f>LeastSq!AD25</f>
        <v>77.279277271137161</v>
      </c>
      <c r="AJ27" s="73">
        <f ca="1">LeastSq!$AZ25</f>
        <v>43.834128227659562</v>
      </c>
      <c r="AK27" s="73">
        <f ca="1">LeastSq!$BJ25</f>
        <v>48.171979795493975</v>
      </c>
      <c r="AL27" s="73">
        <f>Transport!$G38</f>
        <v>9.5342041170502934E-2</v>
      </c>
      <c r="AM27" s="73">
        <f t="shared" si="17"/>
        <v>2.78</v>
      </c>
      <c r="AP27" s="121">
        <f t="shared" si="18"/>
        <v>44835</v>
      </c>
      <c r="AQ27" s="73">
        <f t="shared" si="19"/>
        <v>2.78</v>
      </c>
      <c r="AR27" s="73">
        <f>Transport!$N38</f>
        <v>55.571874407910684</v>
      </c>
      <c r="AS27" s="73">
        <f>Transport!$J38</f>
        <v>58.400846388996591</v>
      </c>
      <c r="AT27" s="73">
        <f>Transport!$O38</f>
        <v>55.571874407910684</v>
      </c>
      <c r="AU27" s="2">
        <v>19</v>
      </c>
      <c r="AW27" s="121">
        <f>Transport!$A38</f>
        <v>44835</v>
      </c>
      <c r="AX27" s="73">
        <f t="shared" si="9"/>
        <v>2.78</v>
      </c>
      <c r="AY27" s="15">
        <f t="shared" si="20"/>
        <v>1.0224509277025455</v>
      </c>
      <c r="AZ27" s="98">
        <f t="shared" si="21"/>
        <v>1</v>
      </c>
      <c r="BA27" s="128">
        <f>IF(AZ27&gt;0,19,0)</f>
        <v>19</v>
      </c>
      <c r="BB27" s="128">
        <f t="shared" si="22"/>
        <v>361</v>
      </c>
      <c r="BC27" s="15">
        <f t="shared" si="23"/>
        <v>19.426567626348366</v>
      </c>
      <c r="BD27" s="127">
        <f t="shared" ca="1" si="10"/>
        <v>0.94602885441593343</v>
      </c>
      <c r="BE27" s="127">
        <f t="shared" ca="1" si="24"/>
        <v>2.5754617911761311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50875.821677599146</v>
      </c>
      <c r="D28" s="151">
        <f>Data!AO28</f>
        <v>1108</v>
      </c>
      <c r="E28" s="10">
        <f>'Incurred Per Day'!S25</f>
        <v>20</v>
      </c>
      <c r="F28" s="295">
        <f t="shared" si="6"/>
        <v>45.92</v>
      </c>
      <c r="G28" s="441">
        <f t="shared" si="7"/>
        <v>2544</v>
      </c>
      <c r="H28" s="295">
        <f t="shared" si="8"/>
        <v>2.2999999999999998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2.1800000000000002</v>
      </c>
      <c r="AI28" s="73">
        <f>LeastSq!AD26</f>
        <v>75.543448673688857</v>
      </c>
      <c r="AJ28" s="73">
        <f ca="1">LeastSq!$AZ26</f>
        <v>43.720905891431705</v>
      </c>
      <c r="AK28" s="73">
        <f ca="1">LeastSq!$BJ26</f>
        <v>47.517906134328967</v>
      </c>
      <c r="AL28" s="73">
        <f>Transport!$G39</f>
        <v>8.995138093113221E-2</v>
      </c>
      <c r="AM28" s="73">
        <f t="shared" si="17"/>
        <v>2.1800000000000002</v>
      </c>
      <c r="AP28" s="121">
        <f t="shared" si="18"/>
        <v>44866</v>
      </c>
      <c r="AQ28" s="73">
        <f t="shared" si="19"/>
        <v>2.1800000000000002</v>
      </c>
      <c r="AR28" s="73">
        <f>Transport!$N39</f>
        <v>57.753934221677831</v>
      </c>
      <c r="AS28" s="73">
        <f>Transport!$J39</f>
        <v>43.692323964410917</v>
      </c>
      <c r="AT28" s="73">
        <f>Transport!$O39</f>
        <v>57.753934221677831</v>
      </c>
      <c r="AU28" s="2">
        <v>20</v>
      </c>
      <c r="AW28" s="121">
        <f>Transport!$A39</f>
        <v>44866</v>
      </c>
      <c r="AX28" s="73">
        <f t="shared" si="9"/>
        <v>2.1800000000000002</v>
      </c>
      <c r="AY28" s="15">
        <f t="shared" si="20"/>
        <v>0.77932487680099771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15.586497536019955</v>
      </c>
      <c r="BD28" s="127">
        <f t="shared" ca="1" si="10"/>
        <v>0.94602885441593343</v>
      </c>
      <c r="BE28" s="127">
        <f t="shared" ca="1" si="24"/>
        <v>2.5754617911761311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50772.415190327607</v>
      </c>
      <c r="D29" s="151">
        <f>Data!AO29</f>
        <v>1102</v>
      </c>
      <c r="E29" s="10">
        <f>'Incurred Per Day'!S26</f>
        <v>22</v>
      </c>
      <c r="F29" s="295">
        <f t="shared" si="6"/>
        <v>46.07</v>
      </c>
      <c r="G29" s="441">
        <f t="shared" si="7"/>
        <v>2308</v>
      </c>
      <c r="H29" s="295">
        <f t="shared" si="8"/>
        <v>2.09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3.39</v>
      </c>
      <c r="AI29" s="73">
        <f>LeastSq!AD27</f>
        <v>89.566095442383286</v>
      </c>
      <c r="AJ29" s="73">
        <f ca="1">LeastSq!$AZ27</f>
        <v>43.607976005354892</v>
      </c>
      <c r="AK29" s="73">
        <f ca="1">LeastSq!$BJ27</f>
        <v>46.872713410921691</v>
      </c>
      <c r="AL29" s="73">
        <f>Transport!$G40</f>
        <v>0.14772562148510573</v>
      </c>
      <c r="AM29" s="73">
        <f t="shared" si="17"/>
        <v>3.39</v>
      </c>
      <c r="AP29" s="121">
        <f t="shared" si="18"/>
        <v>44896</v>
      </c>
      <c r="AQ29" s="73">
        <f t="shared" si="19"/>
        <v>3.39</v>
      </c>
      <c r="AR29" s="73">
        <f>Transport!$N40</f>
        <v>49.119790002302857</v>
      </c>
      <c r="AS29" s="73">
        <f>Transport!$J40</f>
        <v>71.168632311625956</v>
      </c>
      <c r="AT29" s="73">
        <f>Transport!$O40</f>
        <v>49.119790002302857</v>
      </c>
      <c r="AU29" s="2">
        <v>21</v>
      </c>
      <c r="AW29" s="121">
        <f>Transport!$A40</f>
        <v>44896</v>
      </c>
      <c r="AX29" s="73">
        <f t="shared" si="9"/>
        <v>3.39</v>
      </c>
      <c r="AY29" s="15">
        <f t="shared" si="20"/>
        <v>1.220829921392359</v>
      </c>
      <c r="AZ29" s="98">
        <f t="shared" si="21"/>
        <v>1</v>
      </c>
      <c r="BA29" s="128">
        <f>IF(AZ29&gt;0,21,0)</f>
        <v>21</v>
      </c>
      <c r="BB29" s="128">
        <f t="shared" si="22"/>
        <v>441</v>
      </c>
      <c r="BC29" s="15">
        <f t="shared" si="23"/>
        <v>25.637428349239539</v>
      </c>
      <c r="BD29" s="127">
        <f t="shared" ca="1" si="10"/>
        <v>0.94602885441593343</v>
      </c>
      <c r="BE29" s="127">
        <f t="shared" ca="1" si="24"/>
        <v>2.5754617911761311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42748.543944660232</v>
      </c>
      <c r="D30" s="151">
        <f>Data!AO30</f>
        <v>1106</v>
      </c>
      <c r="E30" s="10">
        <f>'Incurred Per Day'!S27</f>
        <v>21</v>
      </c>
      <c r="F30" s="295">
        <f t="shared" si="6"/>
        <v>38.65</v>
      </c>
      <c r="G30" s="441">
        <f t="shared" si="7"/>
        <v>2036</v>
      </c>
      <c r="H30" s="295">
        <f t="shared" si="8"/>
        <v>1.84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1.55</v>
      </c>
      <c r="AI30" s="73">
        <f>LeastSq!AD28</f>
        <v>76.58620815700047</v>
      </c>
      <c r="AJ30" s="73">
        <f ca="1">LeastSq!$AZ28</f>
        <v>43.4953378140385</v>
      </c>
      <c r="AK30" s="73">
        <f ca="1">LeastSq!$BJ28</f>
        <v>46.236281040909617</v>
      </c>
      <c r="AL30" s="73">
        <f>Transport!$G41</f>
        <v>6.7641161427237265E-2</v>
      </c>
      <c r="AM30" s="73">
        <f t="shared" si="17"/>
        <v>1.55</v>
      </c>
      <c r="AP30" s="121">
        <f t="shared" si="18"/>
        <v>44927</v>
      </c>
      <c r="AQ30" s="73">
        <f t="shared" si="19"/>
        <v>1.55</v>
      </c>
      <c r="AR30" s="73">
        <f>Transport!$N41</f>
        <v>45.464455044698504</v>
      </c>
      <c r="AS30" s="73">
        <f>Transport!$J41</f>
        <v>32.49841373087169</v>
      </c>
      <c r="AT30" s="73">
        <f>Transport!$O41</f>
        <v>45.464455044698504</v>
      </c>
      <c r="AU30" s="2">
        <v>22</v>
      </c>
      <c r="AW30" s="121">
        <f>Transport!$A41</f>
        <v>44927</v>
      </c>
      <c r="AX30" s="73">
        <f t="shared" si="9"/>
        <v>1.55</v>
      </c>
      <c r="AY30" s="15">
        <f t="shared" si="20"/>
        <v>0.43825493093115531</v>
      </c>
      <c r="AZ30" s="98">
        <f t="shared" si="21"/>
        <v>1</v>
      </c>
      <c r="BA30" s="128">
        <f>IF(AZ30&gt;0,22,0)</f>
        <v>22</v>
      </c>
      <c r="BB30" s="128">
        <f t="shared" si="22"/>
        <v>484</v>
      </c>
      <c r="BC30" s="15">
        <f t="shared" si="23"/>
        <v>9.6416084804854165</v>
      </c>
      <c r="BD30" s="127">
        <f t="shared" ca="1" si="10"/>
        <v>0.94602885441593343</v>
      </c>
      <c r="BE30" s="127">
        <f t="shared" ca="1" si="24"/>
        <v>2.5754617911761311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44281.939272605101</v>
      </c>
      <c r="D31" s="151">
        <f>Data!AO31</f>
        <v>1107</v>
      </c>
      <c r="E31" s="10">
        <f>'Incurred Per Day'!S28</f>
        <v>21</v>
      </c>
      <c r="F31" s="295">
        <f t="shared" si="6"/>
        <v>40</v>
      </c>
      <c r="G31" s="441">
        <f t="shared" si="7"/>
        <v>2109</v>
      </c>
      <c r="H31" s="295">
        <f t="shared" si="8"/>
        <v>1.9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1.64</v>
      </c>
      <c r="AI31" s="73">
        <f>LeastSq!AD29</f>
        <v>80.228131245266141</v>
      </c>
      <c r="AJ31" s="73">
        <f ca="1">LeastSq!$AZ29</f>
        <v>43.382990564043077</v>
      </c>
      <c r="AK31" s="73">
        <f ca="1">LeastSq!$BJ29</f>
        <v>45.608490077211052</v>
      </c>
      <c r="AL31" s="73">
        <f>Transport!$G42</f>
        <v>9.9453545379390773E-2</v>
      </c>
      <c r="AM31" s="73">
        <f t="shared" si="17"/>
        <v>1.64</v>
      </c>
      <c r="AP31" s="121">
        <f t="shared" si="18"/>
        <v>44958</v>
      </c>
      <c r="AQ31" s="73">
        <f t="shared" si="19"/>
        <v>1.64</v>
      </c>
      <c r="AR31" s="73">
        <f>Transport!$N42</f>
        <v>33.327617308285802</v>
      </c>
      <c r="AS31" s="73">
        <f>Transport!$J42</f>
        <v>32.72631909159788</v>
      </c>
      <c r="AT31" s="73">
        <f>Transport!$O42</f>
        <v>33.327617308285802</v>
      </c>
      <c r="AU31" s="2">
        <v>23</v>
      </c>
      <c r="AW31" s="121">
        <f>Transport!$A42</f>
        <v>44958</v>
      </c>
      <c r="AX31" s="73">
        <f t="shared" si="9"/>
        <v>1.64</v>
      </c>
      <c r="AY31" s="15">
        <f t="shared" si="20"/>
        <v>0.494696241836107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11.378013562230461</v>
      </c>
      <c r="BD31" s="127">
        <f t="shared" ca="1" si="10"/>
        <v>0.94602885441593343</v>
      </c>
      <c r="BE31" s="127">
        <f t="shared" ca="1" si="24"/>
        <v>2.5754617911761311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41139.020000000004</v>
      </c>
      <c r="D32" s="151">
        <f>Data!AO32</f>
        <v>1114</v>
      </c>
      <c r="E32" s="10">
        <f>'Incurred Per Day'!S29</f>
        <v>23</v>
      </c>
      <c r="F32" s="295">
        <f t="shared" si="6"/>
        <v>36.93</v>
      </c>
      <c r="G32" s="441">
        <f t="shared" si="7"/>
        <v>1789</v>
      </c>
      <c r="H32" s="295">
        <f t="shared" si="8"/>
        <v>1.61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1.51</v>
      </c>
      <c r="AI32" s="73">
        <f>LeastSq!AD30</f>
        <v>85.161916510911681</v>
      </c>
      <c r="AJ32" s="73">
        <f ca="1">LeastSq!$AZ30</f>
        <v>43.270933503875227</v>
      </c>
      <c r="AK32" s="73">
        <f ca="1">LeastSq!$BJ30</f>
        <v>44.989223187794146</v>
      </c>
      <c r="AL32" s="73">
        <f>Transport!$G43</f>
        <v>0.12470271725269332</v>
      </c>
      <c r="AM32" s="73">
        <f t="shared" si="17"/>
        <v>1.51</v>
      </c>
      <c r="AP32" s="121">
        <f t="shared" si="18"/>
        <v>44986</v>
      </c>
      <c r="AQ32" s="73">
        <f t="shared" si="19"/>
        <v>1.51</v>
      </c>
      <c r="AR32" s="73">
        <f ca="1">Transport!$N43</f>
        <v>34.081220407870397</v>
      </c>
      <c r="AS32" s="73">
        <f>Transport!$J43</f>
        <v>34.758119102387823</v>
      </c>
      <c r="AT32" s="73">
        <f ca="1">Transport!$O43</f>
        <v>34.081220407870397</v>
      </c>
      <c r="AU32" s="2">
        <v>24</v>
      </c>
      <c r="AW32" s="121">
        <f>Transport!$A43</f>
        <v>44986</v>
      </c>
      <c r="AX32" s="73">
        <f t="shared" si="9"/>
        <v>1.51</v>
      </c>
      <c r="AY32" s="15">
        <f t="shared" si="20"/>
        <v>0.41210965082683298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9.8906316198439921</v>
      </c>
      <c r="BD32" s="127">
        <f t="shared" ca="1" si="10"/>
        <v>0.94602885441593343</v>
      </c>
      <c r="BE32" s="127">
        <f t="shared" ca="1" si="24"/>
        <v>2.5754617911761311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49796.490000000005</v>
      </c>
      <c r="D33" s="151">
        <f>Data!AO33</f>
        <v>1105</v>
      </c>
      <c r="E33" s="10">
        <f>'Incurred Per Day'!S30</f>
        <v>20</v>
      </c>
      <c r="F33" s="295">
        <f t="shared" si="6"/>
        <v>45.06</v>
      </c>
      <c r="G33" s="441">
        <f t="shared" si="7"/>
        <v>2490</v>
      </c>
      <c r="H33" s="295">
        <f t="shared" si="8"/>
        <v>2.25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1.74</v>
      </c>
      <c r="AI33" s="73">
        <f ca="1">LeastSq!AD31</f>
        <v>88.711123693000687</v>
      </c>
      <c r="AJ33" s="73">
        <f ca="1">LeastSq!$AZ31</f>
        <v>43.159165883982716</v>
      </c>
      <c r="AK33" s="73">
        <f ca="1">LeastSq!$BJ31</f>
        <v>44.378364633748127</v>
      </c>
      <c r="AL33" s="73">
        <f ca="1">Transport!$G44</f>
        <v>0.18819312465064167</v>
      </c>
      <c r="AM33" s="73">
        <f t="shared" ca="1" si="17"/>
        <v>1.74</v>
      </c>
      <c r="AP33" s="121">
        <f t="shared" si="18"/>
        <v>45017</v>
      </c>
      <c r="AQ33" s="73">
        <f t="shared" ca="1" si="19"/>
        <v>1.74</v>
      </c>
      <c r="AR33" s="73">
        <f ca="1">Transport!$N44</f>
        <v>39.080413455469291</v>
      </c>
      <c r="AS33" s="73">
        <f ca="1">Transport!$J44</f>
        <v>34.759223029625488</v>
      </c>
      <c r="AT33" s="73">
        <f ca="1">Transport!$O44</f>
        <v>39.080413455469291</v>
      </c>
      <c r="AU33" s="2">
        <v>25</v>
      </c>
      <c r="AW33" s="121">
        <f>Transport!$A44</f>
        <v>45017</v>
      </c>
      <c r="AX33" s="73">
        <f t="shared" ca="1" si="9"/>
        <v>1.74</v>
      </c>
      <c r="AY33" s="15">
        <f t="shared" ca="1" si="20"/>
        <v>0.55388511322643763</v>
      </c>
      <c r="AZ33" s="98">
        <f t="shared" ca="1" si="21"/>
        <v>1</v>
      </c>
      <c r="BA33" s="128">
        <f ca="1">IF(AZ33&gt;0,25,0)</f>
        <v>25</v>
      </c>
      <c r="BB33" s="128">
        <f t="shared" ca="1" si="22"/>
        <v>625</v>
      </c>
      <c r="BC33" s="15">
        <f t="shared" ca="1" si="23"/>
        <v>13.847127830660941</v>
      </c>
      <c r="BD33" s="127">
        <f t="shared" ca="1" si="10"/>
        <v>0.94602885441593343</v>
      </c>
      <c r="BE33" s="127">
        <f t="shared" ca="1" si="24"/>
        <v>2.5754617911761311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41234.950000000004</v>
      </c>
      <c r="D34" s="151">
        <f>Data!AO34</f>
        <v>1112</v>
      </c>
      <c r="E34" s="10">
        <f>'Incurred Per Day'!S31</f>
        <v>20</v>
      </c>
      <c r="F34" s="295">
        <f t="shared" si="6"/>
        <v>37.08</v>
      </c>
      <c r="G34" s="441">
        <f t="shared" si="7"/>
        <v>2062</v>
      </c>
      <c r="H34" s="295">
        <f t="shared" si="8"/>
        <v>1.85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2.17</v>
      </c>
      <c r="AI34" s="73">
        <f ca="1">LeastSq!AD32</f>
        <v>100.50123937446649</v>
      </c>
      <c r="AJ34" s="73">
        <f ca="1">LeastSq!$AZ32</f>
        <v>43.047686956749331</v>
      </c>
      <c r="AK34" s="73">
        <f ca="1">LeastSq!$BJ32</f>
        <v>43.775800247651908</v>
      </c>
      <c r="AL34" s="73">
        <f ca="1">Transport!$G45</f>
        <v>0.36404977061028126</v>
      </c>
      <c r="AM34" s="73">
        <f t="shared" ca="1" si="17"/>
        <v>2.17</v>
      </c>
      <c r="AP34" s="121">
        <f t="shared" si="18"/>
        <v>45047</v>
      </c>
      <c r="AQ34" s="73">
        <f t="shared" ca="1" si="19"/>
        <v>2.17</v>
      </c>
      <c r="AR34" s="73">
        <f ca="1">Transport!$N45</f>
        <v>39.849016068219775</v>
      </c>
      <c r="AS34" s="73">
        <f ca="1">Transport!$J45</f>
        <v>47.723898234394554</v>
      </c>
      <c r="AT34" s="73">
        <f ca="1">Transport!$O45</f>
        <v>39.849016068219775</v>
      </c>
      <c r="AU34" s="2">
        <v>26</v>
      </c>
      <c r="AW34" s="121">
        <f>Transport!$A45</f>
        <v>45047</v>
      </c>
      <c r="AX34" s="73">
        <f t="shared" ca="1" si="9"/>
        <v>2.17</v>
      </c>
      <c r="AY34" s="15">
        <f t="shared" ca="1" si="20"/>
        <v>0.77472716755236815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20.142906356361571</v>
      </c>
      <c r="BD34" s="127">
        <f t="shared" ca="1" si="10"/>
        <v>0.94602885441593343</v>
      </c>
      <c r="BE34" s="127">
        <f t="shared" ca="1" si="24"/>
        <v>2.5754617911761311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56568.250000000022</v>
      </c>
      <c r="D35" s="151">
        <f>Data!AO35</f>
        <v>1112</v>
      </c>
      <c r="E35" s="10">
        <f>'Incurred Per Day'!S32</f>
        <v>22</v>
      </c>
      <c r="F35" s="295">
        <f t="shared" si="6"/>
        <v>50.87</v>
      </c>
      <c r="G35" s="441">
        <f t="shared" si="7"/>
        <v>2571</v>
      </c>
      <c r="H35" s="295">
        <f t="shared" si="8"/>
        <v>2.31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1.68</v>
      </c>
      <c r="AI35" s="73">
        <f ca="1">LeastSq!AD33</f>
        <v>97.541392777506218</v>
      </c>
      <c r="AJ35" s="73">
        <f ca="1">LeastSq!$AZ33</f>
        <v>42.936495976489958</v>
      </c>
      <c r="AK35" s="73">
        <f ca="1">LeastSq!$BJ33</f>
        <v>43.181417412236719</v>
      </c>
      <c r="AL35" s="73">
        <f ca="1">Transport!$G46</f>
        <v>0.41334855403348009</v>
      </c>
      <c r="AM35" s="73">
        <f t="shared" ca="1" si="17"/>
        <v>1.68</v>
      </c>
      <c r="AP35" s="121">
        <f t="shared" si="18"/>
        <v>45078</v>
      </c>
      <c r="AQ35" s="73">
        <f t="shared" ca="1" si="19"/>
        <v>1.68</v>
      </c>
      <c r="AR35" s="73">
        <f ca="1">Transport!$N46</f>
        <v>42.586983882281437</v>
      </c>
      <c r="AS35" s="73">
        <f ca="1">Transport!$J46</f>
        <v>37.06392694063927</v>
      </c>
      <c r="AT35" s="73">
        <f ca="1">Transport!$O46</f>
        <v>42.586983882281437</v>
      </c>
      <c r="AU35" s="2">
        <v>27</v>
      </c>
      <c r="AW35" s="121">
        <f>Transport!$A46</f>
        <v>45078</v>
      </c>
      <c r="AX35" s="73">
        <f t="shared" ca="1" si="9"/>
        <v>1.68</v>
      </c>
      <c r="AY35" s="15">
        <f t="shared" ca="1" si="20"/>
        <v>0.51879379341516751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14.007432422209522</v>
      </c>
      <c r="BD35" s="127">
        <f t="shared" ca="1" si="10"/>
        <v>0.94602885441593343</v>
      </c>
      <c r="BE35" s="127">
        <f t="shared" ca="1" si="24"/>
        <v>2.5754617911761311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62006.120000000024</v>
      </c>
      <c r="D36" s="151">
        <f>Data!AO36</f>
        <v>1094</v>
      </c>
      <c r="E36" s="10">
        <f>'Incurred Per Day'!S33</f>
        <v>20</v>
      </c>
      <c r="F36" s="295">
        <f t="shared" si="6"/>
        <v>56.68</v>
      </c>
      <c r="G36" s="441">
        <f t="shared" si="7"/>
        <v>3100</v>
      </c>
      <c r="H36" s="295">
        <f t="shared" si="8"/>
        <v>2.83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2.15</v>
      </c>
      <c r="AI36" s="73">
        <f ca="1">LeastSq!AD34</f>
        <v>105.29609872737763</v>
      </c>
      <c r="AJ36" s="73">
        <f ca="1">LeastSq!$AZ34</f>
        <v>42.825592199445559</v>
      </c>
      <c r="AK36" s="73">
        <f ca="1">LeastSq!$BJ34</f>
        <v>42.595105039338186</v>
      </c>
      <c r="AL36" s="73">
        <f ca="1">Transport!$G47</f>
        <v>1.0120349078819788</v>
      </c>
      <c r="AM36" s="73">
        <f t="shared" ref="AM36:AM44" ca="1" si="50">IF(AH36=0,MAX(AH36:AH62),AH36)</f>
        <v>2.15</v>
      </c>
      <c r="AP36" s="121">
        <f t="shared" si="18"/>
        <v>45108</v>
      </c>
      <c r="AQ36" s="73">
        <f t="shared" ca="1" si="19"/>
        <v>2.15</v>
      </c>
      <c r="AR36" s="73">
        <f ca="1">Transport!$N47</f>
        <v>40.659399073814932</v>
      </c>
      <c r="AS36" s="73">
        <f ca="1">Transport!$J47</f>
        <v>42.973126471810502</v>
      </c>
      <c r="AT36" s="73">
        <f ca="1">Transport!$O47</f>
        <v>40.659399073814932</v>
      </c>
      <c r="AU36" s="2">
        <v>28</v>
      </c>
      <c r="AW36" s="121">
        <f>Transport!$A47</f>
        <v>45108</v>
      </c>
      <c r="AX36" s="73">
        <f t="shared" ca="1" si="9"/>
        <v>2.15</v>
      </c>
      <c r="AY36" s="15">
        <f t="shared" ca="1" si="20"/>
        <v>0.76546784213957142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21.433099579907999</v>
      </c>
      <c r="BD36" s="127">
        <f t="shared" ca="1" si="10"/>
        <v>0.94602885441593343</v>
      </c>
      <c r="BE36" s="127">
        <f t="shared" ca="1" si="24"/>
        <v>2.5754617911761311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72197.69</v>
      </c>
      <c r="D37" s="151">
        <f>Data!AO37</f>
        <v>1107</v>
      </c>
      <c r="E37" s="10">
        <f>'Incurred Per Day'!S34</f>
        <v>21</v>
      </c>
      <c r="F37" s="295">
        <f t="shared" si="6"/>
        <v>65.22</v>
      </c>
      <c r="G37" s="441">
        <f t="shared" si="7"/>
        <v>3438</v>
      </c>
      <c r="H37" s="295">
        <f t="shared" si="8"/>
        <v>3.11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1.82</v>
      </c>
      <c r="AI37" s="73">
        <f ca="1">LeastSq!AD35</f>
        <v>108.35175163069324</v>
      </c>
      <c r="AJ37" s="73">
        <f ca="1">LeastSq!$AZ35</f>
        <v>42.714974883778197</v>
      </c>
      <c r="AK37" s="73">
        <f ca="1">LeastSq!$BJ35</f>
        <v>42.016753549134471</v>
      </c>
      <c r="AL37" s="73">
        <f ca="1">Transport!$G48</f>
        <v>1.4841823986674054</v>
      </c>
      <c r="AM37" s="73">
        <f t="shared" ca="1" si="50"/>
        <v>1.82</v>
      </c>
      <c r="AP37" s="121">
        <f t="shared" si="18"/>
        <v>45139</v>
      </c>
      <c r="AQ37" s="73">
        <f t="shared" ca="1" si="19"/>
        <v>1.82</v>
      </c>
      <c r="AR37" s="73">
        <f ca="1">Transport!$N48</f>
        <v>39.340280078257997</v>
      </c>
      <c r="AS37" s="73">
        <f ca="1">Transport!$J48</f>
        <v>41.941143808995001</v>
      </c>
      <c r="AT37" s="73">
        <f ca="1">Transport!$O48</f>
        <v>39.340280078257997</v>
      </c>
      <c r="AU37" s="2">
        <v>29</v>
      </c>
      <c r="AW37" s="121">
        <f>Transport!$A48</f>
        <v>45139</v>
      </c>
      <c r="AX37" s="73">
        <f t="shared" ca="1" si="9"/>
        <v>1.82</v>
      </c>
      <c r="AY37" s="15">
        <f t="shared" ca="1" si="20"/>
        <v>0.59883650108870401</v>
      </c>
      <c r="AZ37" s="98">
        <f t="shared" ca="1" si="21"/>
        <v>1</v>
      </c>
      <c r="BA37" s="128">
        <f ca="1">IF(AZ37&gt;0,29,0)</f>
        <v>29</v>
      </c>
      <c r="BB37" s="128">
        <f t="shared" ca="1" si="22"/>
        <v>841</v>
      </c>
      <c r="BC37" s="15">
        <f t="shared" ca="1" si="23"/>
        <v>17.366258531572417</v>
      </c>
      <c r="BD37" s="127">
        <f t="shared" ca="1" si="10"/>
        <v>0.94602885441593343</v>
      </c>
      <c r="BE37" s="127">
        <f t="shared" ca="1" si="24"/>
        <v>2.5754617911761311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53239.62</v>
      </c>
      <c r="D38" s="151">
        <f>Data!AO38</f>
        <v>1124</v>
      </c>
      <c r="E38" s="10">
        <f>'Incurred Per Day'!S35</f>
        <v>21</v>
      </c>
      <c r="F38" s="295">
        <f t="shared" si="6"/>
        <v>47.37</v>
      </c>
      <c r="G38" s="441">
        <f t="shared" si="7"/>
        <v>2535</v>
      </c>
      <c r="H38" s="295">
        <f t="shared" si="8"/>
        <v>2.2599999999999998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1.66</v>
      </c>
      <c r="AI38" s="73">
        <f ca="1">LeastSq!AD36</f>
        <v>104.99195252166524</v>
      </c>
      <c r="AJ38" s="73">
        <f ca="1">LeastSq!$AZ36</f>
        <v>42.604643289566113</v>
      </c>
      <c r="AK38" s="73">
        <f ca="1">LeastSq!$BJ36</f>
        <v>41.446254849666026</v>
      </c>
      <c r="AL38" s="73">
        <f ca="1">Transport!$G49</f>
        <v>1.518037383177578</v>
      </c>
      <c r="AM38" s="73">
        <f t="shared" ca="1" si="50"/>
        <v>1.66</v>
      </c>
      <c r="AP38" s="121">
        <f t="shared" si="18"/>
        <v>45170</v>
      </c>
      <c r="AQ38" s="73">
        <f t="shared" ca="1" si="19"/>
        <v>1.66</v>
      </c>
      <c r="AR38" s="73">
        <f ca="1">Transport!$N49</f>
        <v>39.689176274136216</v>
      </c>
      <c r="AS38" s="73">
        <f ca="1">Transport!$J49</f>
        <v>33.106569953968474</v>
      </c>
      <c r="AT38" s="73">
        <f ca="1">Transport!$O49</f>
        <v>39.689176274136216</v>
      </c>
      <c r="AU38" s="2">
        <v>30</v>
      </c>
      <c r="AW38" s="121">
        <f>Transport!$A49</f>
        <v>45170</v>
      </c>
      <c r="AX38" s="73">
        <f t="shared" ca="1" si="9"/>
        <v>1.66</v>
      </c>
      <c r="AY38" s="15">
        <f t="shared" ca="1" si="20"/>
        <v>0.50681760236845186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15.204528071053556</v>
      </c>
      <c r="BD38" s="127">
        <f t="shared" ca="1" si="10"/>
        <v>0.94602885441593343</v>
      </c>
      <c r="BE38" s="127">
        <f t="shared" ca="1" si="24"/>
        <v>2.5754617911761311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69182.52999999997</v>
      </c>
      <c r="D39" s="151">
        <f>Data!AO39</f>
        <v>1147</v>
      </c>
      <c r="E39" s="10">
        <f>'Incurred Per Day'!S36</f>
        <v>22</v>
      </c>
      <c r="F39" s="295">
        <f t="shared" si="6"/>
        <v>60.32</v>
      </c>
      <c r="G39" s="441">
        <f t="shared" si="7"/>
        <v>3145</v>
      </c>
      <c r="H39" s="295">
        <f t="shared" si="8"/>
        <v>2.74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2</v>
      </c>
      <c r="AI39" s="73">
        <f ca="1">LeastSq!AD37</f>
        <v>117.32383611894686</v>
      </c>
      <c r="AJ39" s="73">
        <f ca="1">LeastSq!$AZ37</f>
        <v>42.494596678798679</v>
      </c>
      <c r="AK39" s="73">
        <f ca="1">LeastSq!$BJ37</f>
        <v>40.883502316633638</v>
      </c>
      <c r="AL39" s="73">
        <f ca="1">Transport!$G50</f>
        <v>2.7097005724350254</v>
      </c>
      <c r="AM39" s="73">
        <f t="shared" ca="1" si="50"/>
        <v>2</v>
      </c>
      <c r="AP39" s="121">
        <f t="shared" si="18"/>
        <v>45200</v>
      </c>
      <c r="AQ39" s="73">
        <f t="shared" ca="1" si="19"/>
        <v>2</v>
      </c>
      <c r="AR39" s="73">
        <f ca="1">Transport!$N50</f>
        <v>42.758304889834243</v>
      </c>
      <c r="AS39" s="73">
        <f ca="1">Transport!$J50</f>
        <v>44.019815059445179</v>
      </c>
      <c r="AT39" s="73">
        <f ca="1">Transport!$O50</f>
        <v>42.758304889834243</v>
      </c>
      <c r="AU39" s="2">
        <v>31</v>
      </c>
      <c r="AW39" s="121">
        <f>Transport!$A50</f>
        <v>45200</v>
      </c>
      <c r="AX39" s="73">
        <f t="shared" ca="1" si="9"/>
        <v>2</v>
      </c>
      <c r="AY39" s="15">
        <f t="shared" ca="1" si="20"/>
        <v>0.69314718055994529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21.487562597358306</v>
      </c>
      <c r="BD39" s="127">
        <f t="shared" ca="1" si="10"/>
        <v>0.94602885441593343</v>
      </c>
      <c r="BE39" s="127">
        <f t="shared" ca="1" si="24"/>
        <v>2.5754617911761311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52327.960000000014</v>
      </c>
      <c r="D40" s="151">
        <f>Data!AO40</f>
        <v>1189</v>
      </c>
      <c r="E40" s="10">
        <f>'Incurred Per Day'!S37</f>
        <v>21</v>
      </c>
      <c r="F40" s="295">
        <f t="shared" si="6"/>
        <v>44.01</v>
      </c>
      <c r="G40" s="441">
        <f t="shared" si="7"/>
        <v>2492</v>
      </c>
      <c r="H40" s="295">
        <f t="shared" si="8"/>
        <v>2.1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2.56</v>
      </c>
      <c r="AI40" s="73">
        <f ca="1">LeastSq!AD38</f>
        <v>125.91147988025472</v>
      </c>
      <c r="AJ40" s="73">
        <f ca="1">LeastSq!$AZ38</f>
        <v>42.384834315371585</v>
      </c>
      <c r="AK40" s="73">
        <f ca="1">LeastSq!$BJ38</f>
        <v>40.328390773470737</v>
      </c>
      <c r="AL40" s="73">
        <f ca="1">Transport!$G51</f>
        <v>4.2869596278451505</v>
      </c>
      <c r="AM40" s="73">
        <f t="shared" ca="1" si="50"/>
        <v>2.56</v>
      </c>
      <c r="AP40" s="121">
        <f t="shared" si="18"/>
        <v>45231</v>
      </c>
      <c r="AQ40" s="73">
        <f t="shared" ca="1" si="19"/>
        <v>2.56</v>
      </c>
      <c r="AR40" s="73">
        <f ca="1">Transport!$N51</f>
        <v>46.350869558308368</v>
      </c>
      <c r="AS40" s="73">
        <f ca="1">Transport!$J51</f>
        <v>51.148529656089053</v>
      </c>
      <c r="AT40" s="73">
        <f ca="1">Transport!$O51</f>
        <v>46.350869558308368</v>
      </c>
      <c r="AU40" s="2">
        <v>32</v>
      </c>
      <c r="AW40" s="121">
        <f>Transport!$A51</f>
        <v>45231</v>
      </c>
      <c r="AX40" s="73">
        <f t="shared" ca="1" si="9"/>
        <v>2.56</v>
      </c>
      <c r="AY40" s="15">
        <f t="shared" ca="1" si="20"/>
        <v>0.94000725849147115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30.080232271727077</v>
      </c>
      <c r="BD40" s="127">
        <f t="shared" ca="1" si="10"/>
        <v>0.94602885441593343</v>
      </c>
      <c r="BE40" s="127">
        <f t="shared" ca="1" si="24"/>
        <v>2.5754617911761311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109952.08999999998</v>
      </c>
      <c r="D41" s="151">
        <f>Data!AO41</f>
        <v>1228</v>
      </c>
      <c r="E41" s="10">
        <f>'Incurred Per Day'!S38</f>
        <v>22</v>
      </c>
      <c r="F41" s="295">
        <f t="shared" si="6"/>
        <v>89.54</v>
      </c>
      <c r="G41" s="441">
        <f t="shared" si="7"/>
        <v>4998</v>
      </c>
      <c r="H41" s="295">
        <f t="shared" si="8"/>
        <v>4.07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2.19</v>
      </c>
      <c r="AI41" s="73">
        <f ca="1">LeastSq!AD39</f>
        <v>124.79134152776857</v>
      </c>
      <c r="AJ41" s="73">
        <f ca="1">LeastSq!$AZ39</f>
        <v>42.275355465081851</v>
      </c>
      <c r="AK41" s="73">
        <f ca="1">LeastSq!$BJ39</f>
        <v>39.780816471686201</v>
      </c>
      <c r="AL41" s="73">
        <f ca="1">Transport!$G52</f>
        <v>4.3852876480541338</v>
      </c>
      <c r="AM41" s="73">
        <f t="shared" ca="1" si="50"/>
        <v>2.19</v>
      </c>
      <c r="AP41" s="121">
        <f t="shared" si="18"/>
        <v>45261</v>
      </c>
      <c r="AQ41" s="73">
        <f t="shared" ca="1" si="19"/>
        <v>2.19</v>
      </c>
      <c r="AR41" s="73">
        <f ca="1">Transport!$N52</f>
        <v>47.28072287182664</v>
      </c>
      <c r="AS41" s="73">
        <f ca="1">Transport!$J52</f>
        <v>43.884263959390864</v>
      </c>
      <c r="AT41" s="73">
        <f ca="1">Transport!$O52</f>
        <v>47.28072287182664</v>
      </c>
      <c r="AU41" s="2">
        <v>33</v>
      </c>
      <c r="AW41" s="121">
        <f>Transport!$A52</f>
        <v>45261</v>
      </c>
      <c r="AX41" s="73">
        <f t="shared" ca="1" si="9"/>
        <v>2.19</v>
      </c>
      <c r="AY41" s="15">
        <f t="shared" ca="1" si="20"/>
        <v>0.78390154382840938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25.86875094633751</v>
      </c>
      <c r="BD41" s="127">
        <f t="shared" ca="1" si="10"/>
        <v>0.94602885441593343</v>
      </c>
      <c r="BE41" s="127">
        <f t="shared" ca="1" si="24"/>
        <v>2.5754617911761311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137813.97000000003</v>
      </c>
      <c r="D42" s="151">
        <f>Data!AO42</f>
        <v>2326</v>
      </c>
      <c r="E42" s="10">
        <f>'Incurred Per Day'!S39</f>
        <v>20</v>
      </c>
      <c r="F42" s="295">
        <f t="shared" si="6"/>
        <v>59.25</v>
      </c>
      <c r="G42" s="441">
        <f t="shared" si="7"/>
        <v>6891</v>
      </c>
      <c r="H42" s="295">
        <f t="shared" si="8"/>
        <v>2.96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2.13</v>
      </c>
      <c r="AI42" s="73">
        <f ca="1">LeastSq!AD40</f>
        <v>130.76683911474819</v>
      </c>
      <c r="AJ42" s="73">
        <f ca="1">LeastSq!$AZ40</f>
        <v>42.166159395622913</v>
      </c>
      <c r="AK42" s="73">
        <f ca="1">LeastSq!$BJ40</f>
        <v>39.240677071474082</v>
      </c>
      <c r="AL42" s="73">
        <f ca="1">Transport!$G53</f>
        <v>5.5291510416666725</v>
      </c>
      <c r="AM42" s="73">
        <f t="shared" ca="1" si="50"/>
        <v>2.13</v>
      </c>
      <c r="AP42" s="121">
        <f t="shared" si="18"/>
        <v>45292</v>
      </c>
      <c r="AQ42" s="73">
        <f t="shared" ca="1" si="19"/>
        <v>2.13</v>
      </c>
      <c r="AR42" s="73">
        <f ca="1">Transport!$N53</f>
        <v>41.857063326599679</v>
      </c>
      <c r="AS42" s="73">
        <f ca="1">Transport!$J53</f>
        <v>46.809375000000003</v>
      </c>
      <c r="AT42" s="73">
        <f ca="1">Transport!$O53</f>
        <v>41.857063326599679</v>
      </c>
      <c r="AU42" s="2">
        <v>34</v>
      </c>
      <c r="AW42" s="121">
        <f>Transport!$A53</f>
        <v>45292</v>
      </c>
      <c r="AX42" s="73">
        <f t="shared" ca="1" si="9"/>
        <v>2.13</v>
      </c>
      <c r="AY42" s="15">
        <f t="shared" ca="1" si="20"/>
        <v>0.75612197972133366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25.708147310525344</v>
      </c>
      <c r="BD42" s="127">
        <f t="shared" ca="1" si="10"/>
        <v>0.94602885441593343</v>
      </c>
      <c r="BE42" s="127">
        <f t="shared" ca="1" si="24"/>
        <v>2.5754617911761311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35923.329999999994</v>
      </c>
      <c r="D43" s="151">
        <f>Data!AO43</f>
        <v>837</v>
      </c>
      <c r="E43" s="10">
        <f>'Incurred Per Day'!S40</f>
        <v>22</v>
      </c>
      <c r="F43" s="295">
        <f t="shared" si="6"/>
        <v>42.92</v>
      </c>
      <c r="G43" s="441">
        <f t="shared" si="7"/>
        <v>1633</v>
      </c>
      <c r="H43" s="295">
        <f t="shared" si="8"/>
        <v>1.95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1.66</v>
      </c>
      <c r="AI43" s="73">
        <f ca="1">LeastSq!AD41</f>
        <v>124.31451847517374</v>
      </c>
      <c r="AJ43" s="73">
        <f ca="1">LeastSq!$AZ41</f>
        <v>42.057245376579736</v>
      </c>
      <c r="AK43" s="73">
        <f ca="1">LeastSq!$BJ41</f>
        <v>38.70787162258668</v>
      </c>
      <c r="AL43" s="73">
        <f ca="1">Transport!$G54</f>
        <v>12.641054707597323</v>
      </c>
      <c r="AM43" s="73">
        <f t="shared" ca="1" si="50"/>
        <v>1.66</v>
      </c>
      <c r="AP43" s="121">
        <f t="shared" si="18"/>
        <v>45323</v>
      </c>
      <c r="AQ43" s="73">
        <f t="shared" ca="1" si="19"/>
        <v>1.66</v>
      </c>
      <c r="AR43" s="73">
        <f ca="1">Transport!$N54</f>
        <v>40.072322251201911</v>
      </c>
      <c r="AS43" s="73">
        <f ca="1">Transport!$J54</f>
        <v>34.877551020408163</v>
      </c>
      <c r="AT43" s="73">
        <f ca="1">Transport!$O54</f>
        <v>40.072322251201911</v>
      </c>
      <c r="AU43" s="2">
        <v>35</v>
      </c>
      <c r="AW43" s="121">
        <f>Transport!$A54</f>
        <v>45323</v>
      </c>
      <c r="AX43" s="73">
        <f t="shared" ca="1" si="9"/>
        <v>1.66</v>
      </c>
      <c r="AY43" s="15">
        <f t="shared" ca="1" si="20"/>
        <v>0.50681760236845186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17.738616082895817</v>
      </c>
      <c r="BD43" s="127">
        <f t="shared" ca="1" si="10"/>
        <v>0.94602885441593343</v>
      </c>
      <c r="BE43" s="127">
        <f t="shared" ca="1" si="24"/>
        <v>2.5754617911761311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1.83</v>
      </c>
      <c r="AI44" s="73">
        <f ca="1">LeastSq!AD42</f>
        <v>131.45177576947901</v>
      </c>
      <c r="AJ44" s="73">
        <f ca="1">LeastSq!$AZ42</f>
        <v>41.948612679423938</v>
      </c>
      <c r="AK44" s="73">
        <f ca="1">LeastSq!$BJ42</f>
        <v>38.182300545467307</v>
      </c>
      <c r="AL44" s="73">
        <f ca="1">Transport!$G55</f>
        <v>31.747438900203672</v>
      </c>
      <c r="AM44" s="73">
        <f t="shared" ca="1" si="50"/>
        <v>1.83</v>
      </c>
      <c r="AP44" s="121">
        <f t="shared" si="18"/>
        <v>45352</v>
      </c>
      <c r="AQ44" s="73">
        <f t="shared" ca="1" si="19"/>
        <v>1.83</v>
      </c>
      <c r="AR44" s="73">
        <f>Transport!$N55</f>
        <v>0</v>
      </c>
      <c r="AS44" s="73">
        <f ca="1">Transport!$J55</f>
        <v>38.530040733197559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1.83</v>
      </c>
      <c r="AY44" s="15">
        <f t="shared" ca="1" si="20"/>
        <v>0.60431596685332956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21.755374806719864</v>
      </c>
      <c r="BD44" s="127">
        <f t="shared" ca="1" si="10"/>
        <v>0.94602885441593343</v>
      </c>
      <c r="BE44" s="127">
        <f t="shared" ca="1" si="24"/>
        <v>2.5754617911761311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79.879999999999967</v>
      </c>
      <c r="AY45" s="15">
        <f t="shared" ca="1" si="51"/>
        <v>27.641681698993231</v>
      </c>
      <c r="AZ45" s="98">
        <f t="shared" ca="1" si="51"/>
        <v>36</v>
      </c>
      <c r="BA45" s="128">
        <f t="shared" ca="1" si="51"/>
        <v>666</v>
      </c>
      <c r="BB45" s="7">
        <f t="shared" ca="1" si="51"/>
        <v>16206</v>
      </c>
      <c r="BC45" s="15">
        <f t="shared" ca="1" si="51"/>
        <v>473.94819524815597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0.76782449163870092</v>
      </c>
      <c r="AZ46" s="7"/>
      <c r="BA46" s="7">
        <f ca="1">+BA45/AZ45</f>
        <v>18.5</v>
      </c>
      <c r="BB46" s="7">
        <f ca="1">+BB45/AZ45</f>
        <v>450.16666666666669</v>
      </c>
      <c r="BC46" s="15">
        <f ca="1">+BC45/AZ45</f>
        <v>13.16522764578211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36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27.641681698993231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13.16522764578211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18.5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0.76782449163870092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450.16666666666669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342.25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-9.6326682582287861E-3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0.94602885441593343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-0.10916140569920707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-10.9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42.919151732377529</v>
      </c>
      <c r="AY71" s="15">
        <f>IF(AX71=0,0,LN(AX71))</f>
        <v>3.7593181536430866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3.7593181536430866</v>
      </c>
      <c r="BD71" s="127">
        <f t="shared" ref="BD71:BD106" ca="1" si="55">AX$118*$M69+AX$119</f>
        <v>3.9996783305813239</v>
      </c>
      <c r="BE71" s="127">
        <f ca="1">EXP(BD71)</f>
        <v>54.580590302327899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4.0350884454614837</v>
      </c>
      <c r="BO71" s="127">
        <f ca="1">EXP(BN71)</f>
        <v>56.547921424159931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3.9128182524207302</v>
      </c>
      <c r="BY71" s="127">
        <f ca="1">EXP(BX71)</f>
        <v>50.039778164265591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3.9887049063059035</v>
      </c>
      <c r="CI71" s="127">
        <f ca="1">EXP(CH71)</f>
        <v>53.984928529672892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59.249342218400699</v>
      </c>
      <c r="AY72" s="15">
        <f t="shared" ref="AY72:AY106" si="61">IF(AX72=0,0,LN(AX72))</f>
        <v>4.0817546781544705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8.1635093563089409</v>
      </c>
      <c r="BD72" s="127">
        <f t="shared" ca="1" si="55"/>
        <v>3.9996783305813239</v>
      </c>
      <c r="BE72" s="127">
        <f ca="1">EXP(BD72)</f>
        <v>54.580590302327899</v>
      </c>
      <c r="BG72" s="121">
        <f t="shared" ref="BG72:BG106" si="65">+AW72</f>
        <v>44317</v>
      </c>
      <c r="BH72" s="73">
        <f t="shared" ref="BH72:BH106" si="66">+AT10</f>
        <v>63.902008841356043</v>
      </c>
      <c r="BI72" s="15">
        <f t="shared" ref="BI72:BI106" si="67">IF(BH72=0,0,LN(BH72))</f>
        <v>4.1573507981562665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8.314701596312533</v>
      </c>
      <c r="BN72" s="127">
        <f t="shared" ca="1" si="56"/>
        <v>4.0350884454614837</v>
      </c>
      <c r="BO72" s="127">
        <f ca="1">EXP(BN72)</f>
        <v>56.547921424159931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3.9128182524207302</v>
      </c>
      <c r="BY72" s="127">
        <f ca="1">EXP(BX72)</f>
        <v>50.039778164265591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3.9887049063059035</v>
      </c>
      <c r="CI72" s="127">
        <f ca="1">EXP(CH72)</f>
        <v>53.984928529672892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89.537532573289894</v>
      </c>
      <c r="AY73" s="15">
        <f t="shared" si="61"/>
        <v>4.4946578957354486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13.483973687206346</v>
      </c>
      <c r="BD73" s="127">
        <f t="shared" ca="1" si="55"/>
        <v>3.9996783305813239</v>
      </c>
      <c r="BE73" s="127">
        <f ca="1">EXP(BD73)</f>
        <v>54.580590302327899</v>
      </c>
      <c r="BG73" s="121">
        <f t="shared" si="65"/>
        <v>44348</v>
      </c>
      <c r="BH73" s="73">
        <f t="shared" si="66"/>
        <v>64.265644554897719</v>
      </c>
      <c r="BI73" s="15">
        <f t="shared" si="67"/>
        <v>4.1630251891530916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12.489075567459274</v>
      </c>
      <c r="BN73" s="127">
        <f t="shared" ca="1" si="56"/>
        <v>4.0350884454614837</v>
      </c>
      <c r="BO73" s="127">
        <f ca="1">EXP(BN73)</f>
        <v>56.547921424159931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3.9128182524207302</v>
      </c>
      <c r="BY73" s="127">
        <f ca="1">EXP(BX73)</f>
        <v>50.039778164265591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3.9887049063059035</v>
      </c>
      <c r="CI73" s="127">
        <f ca="1">EXP(CH73)</f>
        <v>53.984928529672892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44.010058873002535</v>
      </c>
      <c r="AY74" s="15">
        <f t="shared" si="61"/>
        <v>3.7844182185408632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15.137672874163453</v>
      </c>
      <c r="BD74" s="127">
        <f t="shared" ca="1" si="55"/>
        <v>3.9996783305813239</v>
      </c>
      <c r="BE74" s="127">
        <f ca="1">EXP(BD74)</f>
        <v>54.580590302327899</v>
      </c>
      <c r="BG74" s="121">
        <f t="shared" si="65"/>
        <v>44378</v>
      </c>
      <c r="BH74" s="73">
        <f t="shared" si="66"/>
        <v>64.621219816593239</v>
      </c>
      <c r="BI74" s="15">
        <f t="shared" si="67"/>
        <v>4.1685428369837911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16.674171347935165</v>
      </c>
      <c r="BN74" s="127">
        <f t="shared" ca="1" si="56"/>
        <v>4.0350884454614837</v>
      </c>
      <c r="BO74" s="127">
        <f ca="1">EXP(BN74)</f>
        <v>56.547921424159931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3.9128182524207302</v>
      </c>
      <c r="BY74" s="127">
        <f ca="1">EXP(BX74)</f>
        <v>50.039778164265591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3.9887049063059035</v>
      </c>
      <c r="CI74" s="127">
        <f ca="1">EXP(CH74)</f>
        <v>53.984928529672892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60.316068003487331</v>
      </c>
      <c r="AY75" s="15">
        <f t="shared" si="61"/>
        <v>4.0995985359564475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20.497992679782236</v>
      </c>
      <c r="BD75" s="127">
        <f t="shared" ca="1" si="55"/>
        <v>3.9996783305813239</v>
      </c>
      <c r="BE75" s="127">
        <f t="shared" ref="BE75:BE106" ca="1" si="81">EXP(BD75)</f>
        <v>54.580590302327899</v>
      </c>
      <c r="BG75" s="121">
        <f t="shared" si="65"/>
        <v>44409</v>
      </c>
      <c r="BH75" s="73">
        <f t="shared" si="66"/>
        <v>50.56411228030089</v>
      </c>
      <c r="BI75" s="15">
        <f t="shared" si="67"/>
        <v>3.9232420811889681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19.616210405944841</v>
      </c>
      <c r="BN75" s="127">
        <f t="shared" ca="1" si="56"/>
        <v>4.0350884454614837</v>
      </c>
      <c r="BO75" s="127">
        <f t="shared" ref="BO75:BO106" ca="1" si="82">EXP(BN75)</f>
        <v>56.547921424159931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3.9128182524207302</v>
      </c>
      <c r="BY75" s="127">
        <f t="shared" ref="BY75:BY106" ca="1" si="83">EXP(BX75)</f>
        <v>50.039778164265591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3.9887049063059035</v>
      </c>
      <c r="CI75" s="127">
        <f t="shared" ref="CI75:CI106" ca="1" si="84">EXP(CH75)</f>
        <v>53.984928529672892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47.366209964412811</v>
      </c>
      <c r="AY76" s="15">
        <f t="shared" si="61"/>
        <v>3.8579091045393308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23.147454627235984</v>
      </c>
      <c r="BD76" s="127">
        <f t="shared" ca="1" si="55"/>
        <v>3.9996783305813239</v>
      </c>
      <c r="BE76" s="127">
        <f t="shared" ca="1" si="81"/>
        <v>54.580590302327899</v>
      </c>
      <c r="BG76" s="121">
        <f t="shared" si="65"/>
        <v>44440</v>
      </c>
      <c r="BH76" s="73">
        <f t="shared" si="66"/>
        <v>57.633836708962804</v>
      </c>
      <c r="BI76" s="15">
        <f t="shared" si="67"/>
        <v>4.0541098380887677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24.324659028532608</v>
      </c>
      <c r="BN76" s="127">
        <f t="shared" ca="1" si="56"/>
        <v>4.0350884454614837</v>
      </c>
      <c r="BO76" s="127">
        <f t="shared" ca="1" si="82"/>
        <v>56.547921424159931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3.9128182524207302</v>
      </c>
      <c r="BY76" s="127">
        <f t="shared" ca="1" si="83"/>
        <v>50.039778164265591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3.9887049063059035</v>
      </c>
      <c r="CI76" s="127">
        <f t="shared" ca="1" si="84"/>
        <v>53.984928529672892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65.219232158988262</v>
      </c>
      <c r="AY77" s="15">
        <f t="shared" si="61"/>
        <v>4.177754397200613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29.244280780404292</v>
      </c>
      <c r="BD77" s="127">
        <f t="shared" ca="1" si="55"/>
        <v>3.9996783305813239</v>
      </c>
      <c r="BE77" s="127">
        <f t="shared" ca="1" si="81"/>
        <v>54.580590302327899</v>
      </c>
      <c r="BG77" s="121">
        <f t="shared" si="65"/>
        <v>44470</v>
      </c>
      <c r="BH77" s="73">
        <f t="shared" si="66"/>
        <v>56.421265595064227</v>
      </c>
      <c r="BI77" s="15">
        <f t="shared" si="67"/>
        <v>4.032846136996568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28.229922958975976</v>
      </c>
      <c r="BN77" s="127">
        <f t="shared" ca="1" si="56"/>
        <v>4.0350884454614837</v>
      </c>
      <c r="BO77" s="127">
        <f t="shared" ca="1" si="82"/>
        <v>56.547921424159931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3.9128182524207302</v>
      </c>
      <c r="BY77" s="127">
        <f t="shared" ca="1" si="83"/>
        <v>50.039778164265591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3.9887049063059035</v>
      </c>
      <c r="CI77" s="127">
        <f t="shared" ca="1" si="84"/>
        <v>53.984928529672892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56.678354661791616</v>
      </c>
      <c r="AY78" s="15">
        <f t="shared" si="61"/>
        <v>4.0373923858512422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32.299139086809937</v>
      </c>
      <c r="BD78" s="127">
        <f t="shared" ca="1" si="55"/>
        <v>3.9996783305813239</v>
      </c>
      <c r="BE78" s="127">
        <f t="shared" ca="1" si="81"/>
        <v>54.580590302327899</v>
      </c>
      <c r="BG78" s="121">
        <f t="shared" si="65"/>
        <v>44501</v>
      </c>
      <c r="BH78" s="73">
        <f t="shared" si="66"/>
        <v>57.589438412682028</v>
      </c>
      <c r="BI78" s="15">
        <f t="shared" si="67"/>
        <v>4.0533391899982449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32.42671351998596</v>
      </c>
      <c r="BN78" s="127">
        <f t="shared" ca="1" si="56"/>
        <v>4.0350884454614837</v>
      </c>
      <c r="BO78" s="127">
        <f t="shared" ca="1" si="82"/>
        <v>56.547921424159931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3.9128182524207302</v>
      </c>
      <c r="BY78" s="127">
        <f t="shared" ca="1" si="83"/>
        <v>50.039778164265591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3.9887049063059035</v>
      </c>
      <c r="CI78" s="127">
        <f t="shared" ca="1" si="84"/>
        <v>53.984928529672892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50.870728417266207</v>
      </c>
      <c r="AY79" s="15">
        <f t="shared" si="61"/>
        <v>3.9292876779235488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35.363589101311938</v>
      </c>
      <c r="BD79" s="127">
        <f t="shared" ca="1" si="55"/>
        <v>3.9996783305813239</v>
      </c>
      <c r="BE79" s="127">
        <f t="shared" ca="1" si="81"/>
        <v>54.580590302327899</v>
      </c>
      <c r="BG79" s="121">
        <f t="shared" si="65"/>
        <v>44531</v>
      </c>
      <c r="BH79" s="73">
        <f t="shared" si="66"/>
        <v>48.210290882467717</v>
      </c>
      <c r="BI79" s="15">
        <f t="shared" si="67"/>
        <v>3.8755725020535023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34.880152518481523</v>
      </c>
      <c r="BN79" s="127">
        <f t="shared" ca="1" si="56"/>
        <v>4.0350884454614837</v>
      </c>
      <c r="BO79" s="127">
        <f t="shared" ca="1" si="82"/>
        <v>56.547921424159931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3.9128182524207302</v>
      </c>
      <c r="BY79" s="127">
        <f t="shared" ca="1" si="83"/>
        <v>50.039778164265591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3.9887049063059035</v>
      </c>
      <c r="CI79" s="127">
        <f t="shared" ca="1" si="84"/>
        <v>53.984928529672892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37.081789568345329</v>
      </c>
      <c r="AY80" s="15">
        <f t="shared" si="61"/>
        <v>3.6131260018940492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36.131260018940495</v>
      </c>
      <c r="BD80" s="127">
        <f t="shared" ca="1" si="55"/>
        <v>3.9996783305813239</v>
      </c>
      <c r="BE80" s="127">
        <f t="shared" ca="1" si="81"/>
        <v>54.580590302327899</v>
      </c>
      <c r="BG80" s="121">
        <f t="shared" si="65"/>
        <v>44562</v>
      </c>
      <c r="BH80" s="73">
        <f t="shared" si="66"/>
        <v>44.339071606063577</v>
      </c>
      <c r="BI80" s="15">
        <f t="shared" si="67"/>
        <v>3.7918662659009317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37.918662659009314</v>
      </c>
      <c r="BN80" s="127">
        <f t="shared" ca="1" si="56"/>
        <v>4.0350884454614837</v>
      </c>
      <c r="BO80" s="127">
        <f t="shared" ca="1" si="82"/>
        <v>56.547921424159931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3.9128182524207302</v>
      </c>
      <c r="BY80" s="127">
        <f t="shared" ca="1" si="83"/>
        <v>50.039778164265591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3.9887049063059035</v>
      </c>
      <c r="CI80" s="127">
        <f t="shared" ca="1" si="84"/>
        <v>53.984928529672892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45.064696832579187</v>
      </c>
      <c r="AY81" s="15">
        <f t="shared" si="61"/>
        <v>3.8080991646492124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41.889090811141337</v>
      </c>
      <c r="BD81" s="127">
        <f t="shared" ca="1" si="55"/>
        <v>3.9996783305813239</v>
      </c>
      <c r="BE81" s="127">
        <f t="shared" ca="1" si="81"/>
        <v>54.580590302327899</v>
      </c>
      <c r="BG81" s="121">
        <f t="shared" si="65"/>
        <v>44593</v>
      </c>
      <c r="BH81" s="73">
        <f t="shared" si="66"/>
        <v>39.691862911618763</v>
      </c>
      <c r="BI81" s="15">
        <f t="shared" si="67"/>
        <v>3.6811462022422106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40.492608224664316</v>
      </c>
      <c r="BN81" s="127">
        <f t="shared" ca="1" si="56"/>
        <v>4.0350884454614837</v>
      </c>
      <c r="BO81" s="127">
        <f t="shared" ca="1" si="82"/>
        <v>56.547921424159931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3.9128182524207302</v>
      </c>
      <c r="BY81" s="127">
        <f t="shared" ca="1" si="83"/>
        <v>50.039778164265591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3.9887049063059035</v>
      </c>
      <c r="CI81" s="127">
        <f t="shared" ca="1" si="84"/>
        <v>53.984928529672892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36.92910233393178</v>
      </c>
      <c r="AY82" s="15">
        <f t="shared" si="61"/>
        <v>3.6089999213373045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43.307999056047656</v>
      </c>
      <c r="BD82" s="127">
        <f t="shared" ca="1" si="55"/>
        <v>3.9996783305813239</v>
      </c>
      <c r="BE82" s="127">
        <f t="shared" ca="1" si="81"/>
        <v>54.580590302327899</v>
      </c>
      <c r="BG82" s="121">
        <f t="shared" si="65"/>
        <v>44621</v>
      </c>
      <c r="BH82" s="73">
        <f t="shared" si="66"/>
        <v>40.66518366453861</v>
      </c>
      <c r="BI82" s="15">
        <f t="shared" si="67"/>
        <v>3.7053722881347562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44.464467457617076</v>
      </c>
      <c r="BN82" s="127">
        <f t="shared" ca="1" si="56"/>
        <v>4.0350884454614837</v>
      </c>
      <c r="BO82" s="127">
        <f t="shared" ca="1" si="82"/>
        <v>56.547921424159931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3.9128182524207302</v>
      </c>
      <c r="BY82" s="127">
        <f t="shared" ca="1" si="83"/>
        <v>50.039778164265591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3.9887049063059035</v>
      </c>
      <c r="CI82" s="127">
        <f t="shared" ca="1" si="84"/>
        <v>53.984928529672892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40.001751827104876</v>
      </c>
      <c r="AY83" s="15">
        <f t="shared" si="61"/>
        <v>3.6889232488325554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47.956002234823217</v>
      </c>
      <c r="BD83" s="127">
        <f t="shared" ca="1" si="55"/>
        <v>3.9996783305813239</v>
      </c>
      <c r="BE83" s="127">
        <f t="shared" ca="1" si="81"/>
        <v>54.580590302327899</v>
      </c>
      <c r="BG83" s="121">
        <f t="shared" si="65"/>
        <v>44652</v>
      </c>
      <c r="BH83" s="73">
        <f t="shared" si="66"/>
        <v>38.527446849537903</v>
      </c>
      <c r="BI83" s="15">
        <f t="shared" si="67"/>
        <v>3.651370892480351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47.467821602244562</v>
      </c>
      <c r="BN83" s="127">
        <f t="shared" ca="1" si="56"/>
        <v>4.0350884454614837</v>
      </c>
      <c r="BO83" s="127">
        <f t="shared" ca="1" si="82"/>
        <v>56.547921424159931</v>
      </c>
      <c r="BQ83" s="121">
        <f t="shared" si="71"/>
        <v>44652</v>
      </c>
      <c r="BR83" s="73">
        <f>+BH83</f>
        <v>38.527446849537903</v>
      </c>
      <c r="BS83" s="15">
        <f t="shared" si="72"/>
        <v>3.651370892480351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47.467821602244562</v>
      </c>
      <c r="BX83" s="127">
        <f t="shared" ca="1" si="57"/>
        <v>3.9128182524207302</v>
      </c>
      <c r="BY83" s="127">
        <f t="shared" ca="1" si="83"/>
        <v>50.039778164265591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3.9887049063059035</v>
      </c>
      <c r="CI83" s="127">
        <f t="shared" ca="1" si="84"/>
        <v>53.984928529672892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38.651486387577066</v>
      </c>
      <c r="AY84" s="15">
        <f t="shared" si="61"/>
        <v>3.6545852319285492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51.164193246999687</v>
      </c>
      <c r="BD84" s="127">
        <f t="shared" ca="1" si="55"/>
        <v>3.9996783305813239</v>
      </c>
      <c r="BE84" s="127">
        <f t="shared" ca="1" si="81"/>
        <v>54.580590302327899</v>
      </c>
      <c r="BG84" s="121">
        <f t="shared" si="65"/>
        <v>44682</v>
      </c>
      <c r="BH84" s="73">
        <f t="shared" si="66"/>
        <v>41.575403418907172</v>
      </c>
      <c r="BI84" s="15">
        <f t="shared" si="67"/>
        <v>3.7275087284331687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52.185122198064363</v>
      </c>
      <c r="BN84" s="127">
        <f t="shared" ca="1" si="56"/>
        <v>4.0350884454614837</v>
      </c>
      <c r="BO84" s="127">
        <f t="shared" ca="1" si="82"/>
        <v>56.547921424159931</v>
      </c>
      <c r="BQ84" s="121">
        <f t="shared" si="71"/>
        <v>44682</v>
      </c>
      <c r="BR84" s="73">
        <f t="shared" ref="BR84:BR106" si="85">+BH84</f>
        <v>41.575403418907172</v>
      </c>
      <c r="BS84" s="15">
        <f t="shared" si="72"/>
        <v>3.7275087284331687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52.185122198064363</v>
      </c>
      <c r="BX84" s="127">
        <f t="shared" ca="1" si="57"/>
        <v>3.9128182524207302</v>
      </c>
      <c r="BY84" s="127">
        <f t="shared" ca="1" si="83"/>
        <v>50.039778164265591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3.9887049063059035</v>
      </c>
      <c r="CI84" s="127">
        <f t="shared" ca="1" si="84"/>
        <v>53.984928529672892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46.072972042039574</v>
      </c>
      <c r="AY85" s="15">
        <f t="shared" si="61"/>
        <v>3.8302264883070256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57.453397324605383</v>
      </c>
      <c r="BD85" s="127">
        <f t="shared" ca="1" si="55"/>
        <v>3.9996783305813239</v>
      </c>
      <c r="BE85" s="127">
        <f t="shared" ca="1" si="81"/>
        <v>54.580590302327899</v>
      </c>
      <c r="BG85" s="121">
        <f t="shared" si="65"/>
        <v>44713</v>
      </c>
      <c r="BH85" s="73">
        <f t="shared" si="66"/>
        <v>43.547088332615637</v>
      </c>
      <c r="BI85" s="15">
        <f t="shared" si="67"/>
        <v>3.7738428430293296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56.607642645439945</v>
      </c>
      <c r="BN85" s="127">
        <f t="shared" ca="1" si="56"/>
        <v>4.0350884454614837</v>
      </c>
      <c r="BO85" s="127">
        <f t="shared" ca="1" si="82"/>
        <v>56.547921424159931</v>
      </c>
      <c r="BQ85" s="121">
        <f t="shared" si="71"/>
        <v>44713</v>
      </c>
      <c r="BR85" s="73">
        <f t="shared" si="85"/>
        <v>43.547088332615637</v>
      </c>
      <c r="BS85" s="15">
        <f t="shared" si="72"/>
        <v>3.7738428430293296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56.607642645439945</v>
      </c>
      <c r="BX85" s="127">
        <f t="shared" ca="1" si="57"/>
        <v>3.9128182524207302</v>
      </c>
      <c r="BY85" s="127">
        <f t="shared" ca="1" si="83"/>
        <v>50.039778164265591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3.9887049063059035</v>
      </c>
      <c r="CI85" s="127">
        <f t="shared" ca="1" si="84"/>
        <v>53.984928529672892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45.916806568230278</v>
      </c>
      <c r="AY86" s="15">
        <f t="shared" si="61"/>
        <v>3.8268312062182823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61.229299299492517</v>
      </c>
      <c r="BD86" s="127">
        <f t="shared" ca="1" si="55"/>
        <v>3.9996783305813239</v>
      </c>
      <c r="BE86" s="127">
        <f t="shared" ca="1" si="81"/>
        <v>54.580590302327899</v>
      </c>
      <c r="BG86" s="121">
        <f t="shared" si="65"/>
        <v>44743</v>
      </c>
      <c r="BH86" s="73">
        <f t="shared" si="66"/>
        <v>45.92062561358361</v>
      </c>
      <c r="BI86" s="15">
        <f t="shared" si="67"/>
        <v>3.8269143759076956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61.230630014523129</v>
      </c>
      <c r="BN86" s="127">
        <f t="shared" ca="1" si="56"/>
        <v>4.0350884454614837</v>
      </c>
      <c r="BO86" s="127">
        <f t="shared" ca="1" si="82"/>
        <v>56.547921424159931</v>
      </c>
      <c r="BQ86" s="121">
        <f t="shared" si="71"/>
        <v>44743</v>
      </c>
      <c r="BR86" s="73">
        <f t="shared" si="85"/>
        <v>45.92062561358361</v>
      </c>
      <c r="BS86" s="15">
        <f t="shared" si="72"/>
        <v>3.8269143759076956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61.230630014523129</v>
      </c>
      <c r="BX86" s="127">
        <f t="shared" ca="1" si="57"/>
        <v>3.9128182524207302</v>
      </c>
      <c r="BY86" s="127">
        <f t="shared" ca="1" si="83"/>
        <v>50.039778164265591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3.9887049063059035</v>
      </c>
      <c r="CI86" s="127">
        <f t="shared" ca="1" si="84"/>
        <v>53.984928529672892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45.772098230480971</v>
      </c>
      <c r="AY87" s="15">
        <f t="shared" si="61"/>
        <v>3.823674696535508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65.002469841103633</v>
      </c>
      <c r="BD87" s="127">
        <f t="shared" ca="1" si="55"/>
        <v>3.9996783305813239</v>
      </c>
      <c r="BE87" s="127">
        <f t="shared" ca="1" si="81"/>
        <v>54.580590302327899</v>
      </c>
      <c r="BG87" s="121">
        <f t="shared" si="65"/>
        <v>44774</v>
      </c>
      <c r="BH87" s="73">
        <f t="shared" si="66"/>
        <v>52.103785889678591</v>
      </c>
      <c r="BI87" s="15">
        <f t="shared" si="67"/>
        <v>3.9532376119480515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67.205039403116871</v>
      </c>
      <c r="BN87" s="127">
        <f t="shared" ca="1" si="56"/>
        <v>4.0350884454614837</v>
      </c>
      <c r="BO87" s="127">
        <f t="shared" ca="1" si="82"/>
        <v>56.547921424159931</v>
      </c>
      <c r="BQ87" s="121">
        <f t="shared" si="71"/>
        <v>44774</v>
      </c>
      <c r="BR87" s="73">
        <f t="shared" si="85"/>
        <v>52.103785889678591</v>
      </c>
      <c r="BS87" s="15">
        <f t="shared" si="72"/>
        <v>3.9532376119480515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67.205039403116871</v>
      </c>
      <c r="BX87" s="127">
        <f t="shared" ca="1" si="57"/>
        <v>3.9128182524207302</v>
      </c>
      <c r="BY87" s="127">
        <f t="shared" ca="1" si="83"/>
        <v>50.039778164265591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3.9887049063059035</v>
      </c>
      <c r="CI87" s="127">
        <f t="shared" ca="1" si="84"/>
        <v>53.984928529672892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64.622452870324537</v>
      </c>
      <c r="AY88" s="15">
        <f t="shared" si="61"/>
        <v>4.1685619180529949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75.034114524953907</v>
      </c>
      <c r="BD88" s="127">
        <f t="shared" ca="1" si="55"/>
        <v>3.9996783305813239</v>
      </c>
      <c r="BE88" s="127">
        <f t="shared" ca="1" si="81"/>
        <v>54.580590302327899</v>
      </c>
      <c r="BG88" s="121">
        <f t="shared" si="65"/>
        <v>44805</v>
      </c>
      <c r="BH88" s="73">
        <f t="shared" si="66"/>
        <v>56.2651324966007</v>
      </c>
      <c r="BI88" s="15">
        <f t="shared" si="67"/>
        <v>4.0300750270663466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72.541350487194237</v>
      </c>
      <c r="BN88" s="127">
        <f t="shared" ca="1" si="56"/>
        <v>4.0350884454614837</v>
      </c>
      <c r="BO88" s="127">
        <f t="shared" ca="1" si="82"/>
        <v>56.547921424159931</v>
      </c>
      <c r="BQ88" s="121">
        <f t="shared" si="71"/>
        <v>44805</v>
      </c>
      <c r="BR88" s="73">
        <f t="shared" si="85"/>
        <v>56.2651324966007</v>
      </c>
      <c r="BS88" s="15">
        <f t="shared" si="72"/>
        <v>4.0300750270663466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72.541350487194237</v>
      </c>
      <c r="BX88" s="127">
        <f t="shared" ca="1" si="57"/>
        <v>3.9128182524207302</v>
      </c>
      <c r="BY88" s="127">
        <f t="shared" ca="1" si="83"/>
        <v>50.039778164265591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3.9887049063059035</v>
      </c>
      <c r="CI88" s="127">
        <f t="shared" ca="1" si="84"/>
        <v>53.984928529672892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58.400846388996591</v>
      </c>
      <c r="AY89" s="15">
        <f t="shared" si="61"/>
        <v>4.0673303826914298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77.279277271137161</v>
      </c>
      <c r="BD89" s="127">
        <f t="shared" ca="1" si="55"/>
        <v>3.9996783305813239</v>
      </c>
      <c r="BE89" s="127">
        <f t="shared" ca="1" si="81"/>
        <v>54.580590302327899</v>
      </c>
      <c r="BG89" s="121">
        <f t="shared" si="65"/>
        <v>44835</v>
      </c>
      <c r="BH89" s="73">
        <f t="shared" si="66"/>
        <v>55.571874407910684</v>
      </c>
      <c r="BI89" s="15">
        <f t="shared" si="67"/>
        <v>4.0176772172954101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76.33586712861279</v>
      </c>
      <c r="BN89" s="127">
        <f t="shared" ca="1" si="56"/>
        <v>4.0350884454614837</v>
      </c>
      <c r="BO89" s="127">
        <f t="shared" ca="1" si="82"/>
        <v>56.547921424159931</v>
      </c>
      <c r="BQ89" s="121">
        <f t="shared" si="71"/>
        <v>44835</v>
      </c>
      <c r="BR89" s="73">
        <f t="shared" si="85"/>
        <v>55.571874407910684</v>
      </c>
      <c r="BS89" s="15">
        <f t="shared" si="72"/>
        <v>4.0176772172954101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76.33586712861279</v>
      </c>
      <c r="BX89" s="127">
        <f t="shared" ca="1" si="57"/>
        <v>3.9128182524207302</v>
      </c>
      <c r="BY89" s="127">
        <f t="shared" ca="1" si="83"/>
        <v>50.039778164265591</v>
      </c>
      <c r="CA89" s="121">
        <f t="shared" si="76"/>
        <v>44835</v>
      </c>
      <c r="CB89" s="73">
        <f t="shared" ref="CB89:CB106" si="86">+BR89</f>
        <v>55.571874407910684</v>
      </c>
      <c r="CC89" s="15">
        <f t="shared" si="77"/>
        <v>4.0176772172954101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76.33586712861279</v>
      </c>
      <c r="CH89" s="127">
        <f t="shared" ca="1" si="58"/>
        <v>3.9887049063059035</v>
      </c>
      <c r="CI89" s="127">
        <f t="shared" ca="1" si="84"/>
        <v>53.984928529672892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43.692323964410917</v>
      </c>
      <c r="AY90" s="15">
        <f t="shared" si="61"/>
        <v>3.7771724336844432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75.543448673688857</v>
      </c>
      <c r="BD90" s="127">
        <f t="shared" ca="1" si="55"/>
        <v>3.9996783305813239</v>
      </c>
      <c r="BE90" s="127">
        <f t="shared" ca="1" si="81"/>
        <v>54.580590302327899</v>
      </c>
      <c r="BG90" s="121">
        <f t="shared" si="65"/>
        <v>44866</v>
      </c>
      <c r="BH90" s="73">
        <f t="shared" si="66"/>
        <v>57.753934221677831</v>
      </c>
      <c r="BI90" s="15">
        <f t="shared" si="67"/>
        <v>4.0561914721321957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81.12382944264391</v>
      </c>
      <c r="BN90" s="127">
        <f t="shared" ca="1" si="56"/>
        <v>4.0350884454614837</v>
      </c>
      <c r="BO90" s="127">
        <f t="shared" ca="1" si="82"/>
        <v>56.547921424159931</v>
      </c>
      <c r="BQ90" s="121">
        <f t="shared" si="71"/>
        <v>44866</v>
      </c>
      <c r="BR90" s="73">
        <f t="shared" si="85"/>
        <v>57.753934221677831</v>
      </c>
      <c r="BS90" s="15">
        <f t="shared" si="72"/>
        <v>4.0561914721321957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81.12382944264391</v>
      </c>
      <c r="BX90" s="127">
        <f t="shared" ca="1" si="57"/>
        <v>3.9128182524207302</v>
      </c>
      <c r="BY90" s="127">
        <f t="shared" ca="1" si="83"/>
        <v>50.039778164265591</v>
      </c>
      <c r="CA90" s="121">
        <f t="shared" si="76"/>
        <v>44866</v>
      </c>
      <c r="CB90" s="73">
        <f t="shared" si="86"/>
        <v>57.753934221677831</v>
      </c>
      <c r="CC90" s="15">
        <f t="shared" si="77"/>
        <v>4.0561914721321957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81.12382944264391</v>
      </c>
      <c r="CH90" s="127">
        <f t="shared" ca="1" si="58"/>
        <v>3.9887049063059035</v>
      </c>
      <c r="CI90" s="127">
        <f t="shared" ca="1" si="84"/>
        <v>53.984928529672892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71.168632311625956</v>
      </c>
      <c r="AY91" s="15">
        <f t="shared" si="61"/>
        <v>4.2650521639230137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89.566095442383286</v>
      </c>
      <c r="BD91" s="127">
        <f t="shared" ca="1" si="55"/>
        <v>3.9996783305813239</v>
      </c>
      <c r="BE91" s="127">
        <f t="shared" ca="1" si="81"/>
        <v>54.580590302327899</v>
      </c>
      <c r="BG91" s="121">
        <f t="shared" si="65"/>
        <v>44896</v>
      </c>
      <c r="BH91" s="73">
        <f t="shared" si="66"/>
        <v>49.119790002302857</v>
      </c>
      <c r="BI91" s="15">
        <f t="shared" si="67"/>
        <v>3.8942620086323307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81.779502181278943</v>
      </c>
      <c r="BN91" s="127">
        <f t="shared" ca="1" si="56"/>
        <v>4.0350884454614837</v>
      </c>
      <c r="BO91" s="127">
        <f t="shared" ca="1" si="82"/>
        <v>56.547921424159931</v>
      </c>
      <c r="BQ91" s="121">
        <f t="shared" si="71"/>
        <v>44896</v>
      </c>
      <c r="BR91" s="73">
        <f t="shared" si="85"/>
        <v>49.119790002302857</v>
      </c>
      <c r="BS91" s="15">
        <f t="shared" si="72"/>
        <v>3.8942620086323307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81.779502181278943</v>
      </c>
      <c r="BX91" s="127">
        <f t="shared" ca="1" si="57"/>
        <v>3.9128182524207302</v>
      </c>
      <c r="BY91" s="127">
        <f t="shared" ca="1" si="83"/>
        <v>50.039778164265591</v>
      </c>
      <c r="CA91" s="121">
        <f t="shared" si="76"/>
        <v>44896</v>
      </c>
      <c r="CB91" s="73">
        <f t="shared" si="86"/>
        <v>49.119790002302857</v>
      </c>
      <c r="CC91" s="15">
        <f t="shared" si="77"/>
        <v>3.8942620086323307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81.779502181278943</v>
      </c>
      <c r="CH91" s="127">
        <f t="shared" ca="1" si="58"/>
        <v>3.9887049063059035</v>
      </c>
      <c r="CI91" s="127">
        <f t="shared" ca="1" si="84"/>
        <v>53.984928529672892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32.49841373087169</v>
      </c>
      <c r="AY92" s="15">
        <f t="shared" si="61"/>
        <v>3.481191279863658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76.58620815700047</v>
      </c>
      <c r="BD92" s="127">
        <f t="shared" ca="1" si="55"/>
        <v>3.9996783305813239</v>
      </c>
      <c r="BE92" s="127">
        <f t="shared" ca="1" si="81"/>
        <v>54.580590302327899</v>
      </c>
      <c r="BG92" s="121">
        <f t="shared" si="65"/>
        <v>44927</v>
      </c>
      <c r="BH92" s="73">
        <f t="shared" si="66"/>
        <v>45.464455044698504</v>
      </c>
      <c r="BI92" s="15">
        <f t="shared" si="67"/>
        <v>3.8169308128462474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83.97247788261744</v>
      </c>
      <c r="BN92" s="127">
        <f t="shared" ca="1" si="56"/>
        <v>4.0350884454614837</v>
      </c>
      <c r="BO92" s="127">
        <f t="shared" ca="1" si="82"/>
        <v>56.547921424159931</v>
      </c>
      <c r="BQ92" s="121">
        <f t="shared" si="71"/>
        <v>44927</v>
      </c>
      <c r="BR92" s="73">
        <f t="shared" si="85"/>
        <v>45.464455044698504</v>
      </c>
      <c r="BS92" s="15">
        <f t="shared" si="72"/>
        <v>3.8169308128462474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83.97247788261744</v>
      </c>
      <c r="BX92" s="127">
        <f t="shared" ca="1" si="57"/>
        <v>3.9128182524207302</v>
      </c>
      <c r="BY92" s="127">
        <f t="shared" ca="1" si="83"/>
        <v>50.039778164265591</v>
      </c>
      <c r="CA92" s="121">
        <f t="shared" si="76"/>
        <v>44927</v>
      </c>
      <c r="CB92" s="73">
        <f t="shared" si="86"/>
        <v>45.464455044698504</v>
      </c>
      <c r="CC92" s="15">
        <f t="shared" si="77"/>
        <v>3.8169308128462474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83.97247788261744</v>
      </c>
      <c r="CH92" s="127">
        <f t="shared" ca="1" si="58"/>
        <v>3.9887049063059035</v>
      </c>
      <c r="CI92" s="127">
        <f t="shared" ca="1" si="84"/>
        <v>53.984928529672892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32.72631909159788</v>
      </c>
      <c r="AY93" s="15">
        <f t="shared" si="61"/>
        <v>3.4881796193593977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80.228131245266141</v>
      </c>
      <c r="BD93" s="127">
        <f t="shared" ca="1" si="55"/>
        <v>3.9996783305813239</v>
      </c>
      <c r="BE93" s="127">
        <f t="shared" ca="1" si="81"/>
        <v>54.580590302327899</v>
      </c>
      <c r="BG93" s="121">
        <f t="shared" si="65"/>
        <v>44958</v>
      </c>
      <c r="BH93" s="73">
        <f t="shared" si="66"/>
        <v>33.327617308285802</v>
      </c>
      <c r="BI93" s="15">
        <f t="shared" si="67"/>
        <v>3.5063864018640505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80.646887242873163</v>
      </c>
      <c r="BN93" s="127">
        <f t="shared" ca="1" si="56"/>
        <v>4.0350884454614837</v>
      </c>
      <c r="BO93" s="127">
        <f t="shared" ca="1" si="82"/>
        <v>56.547921424159931</v>
      </c>
      <c r="BQ93" s="121">
        <f t="shared" si="71"/>
        <v>44958</v>
      </c>
      <c r="BR93" s="73">
        <f t="shared" si="85"/>
        <v>33.327617308285802</v>
      </c>
      <c r="BS93" s="15">
        <f t="shared" si="72"/>
        <v>3.5063864018640505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80.646887242873163</v>
      </c>
      <c r="BX93" s="127">
        <f t="shared" ca="1" si="57"/>
        <v>3.9128182524207302</v>
      </c>
      <c r="BY93" s="127">
        <f t="shared" ca="1" si="83"/>
        <v>50.039778164265591</v>
      </c>
      <c r="CA93" s="121">
        <f t="shared" si="76"/>
        <v>44958</v>
      </c>
      <c r="CB93" s="73">
        <f t="shared" si="86"/>
        <v>33.327617308285802</v>
      </c>
      <c r="CC93" s="15">
        <f t="shared" si="77"/>
        <v>3.5063864018640505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80.646887242873163</v>
      </c>
      <c r="CH93" s="127">
        <f t="shared" ca="1" si="58"/>
        <v>3.9887049063059035</v>
      </c>
      <c r="CI93" s="127">
        <f t="shared" ca="1" si="84"/>
        <v>53.984928529672892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34.758119102387823</v>
      </c>
      <c r="AY94" s="15">
        <f t="shared" si="61"/>
        <v>3.5484131879546532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85.161916510911681</v>
      </c>
      <c r="BD94" s="127">
        <f t="shared" ca="1" si="55"/>
        <v>3.9996783305813239</v>
      </c>
      <c r="BE94" s="127">
        <f t="shared" ca="1" si="81"/>
        <v>54.580590302327899</v>
      </c>
      <c r="BG94" s="121">
        <f t="shared" si="65"/>
        <v>44986</v>
      </c>
      <c r="BH94" s="73">
        <f t="shared" ca="1" si="66"/>
        <v>34.081220407870397</v>
      </c>
      <c r="BI94" s="15">
        <f t="shared" ca="1" si="67"/>
        <v>3.5287465114100427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84.689916273841021</v>
      </c>
      <c r="BN94" s="127">
        <f t="shared" ca="1" si="56"/>
        <v>4.0350884454614837</v>
      </c>
      <c r="BO94" s="127">
        <f t="shared" ca="1" si="82"/>
        <v>56.547921424159931</v>
      </c>
      <c r="BQ94" s="121">
        <f t="shared" si="71"/>
        <v>44986</v>
      </c>
      <c r="BR94" s="73">
        <f t="shared" ca="1" si="85"/>
        <v>34.081220407870397</v>
      </c>
      <c r="BS94" s="15">
        <f t="shared" ca="1" si="72"/>
        <v>3.5287465114100427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84.689916273841021</v>
      </c>
      <c r="BX94" s="127">
        <f t="shared" ca="1" si="57"/>
        <v>3.9128182524207302</v>
      </c>
      <c r="BY94" s="127">
        <f t="shared" ca="1" si="83"/>
        <v>50.039778164265591</v>
      </c>
      <c r="CA94" s="121">
        <f t="shared" si="76"/>
        <v>44986</v>
      </c>
      <c r="CB94" s="73">
        <f t="shared" ca="1" si="86"/>
        <v>34.081220407870397</v>
      </c>
      <c r="CC94" s="15">
        <f t="shared" ca="1" si="77"/>
        <v>3.5287465114100427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84.689916273841021</v>
      </c>
      <c r="CH94" s="127">
        <f t="shared" ca="1" si="58"/>
        <v>3.9887049063059035</v>
      </c>
      <c r="CI94" s="127">
        <f t="shared" ca="1" si="84"/>
        <v>53.984928529672892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34.759223029625488</v>
      </c>
      <c r="AY95" s="15">
        <f t="shared" ca="1" si="61"/>
        <v>3.5484449477200273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88.711123693000687</v>
      </c>
      <c r="BD95" s="127">
        <f t="shared" ca="1" si="55"/>
        <v>3.9996783305813239</v>
      </c>
      <c r="BE95" s="127">
        <f t="shared" ca="1" si="81"/>
        <v>54.580590302327899</v>
      </c>
      <c r="BG95" s="121">
        <f t="shared" si="65"/>
        <v>45017</v>
      </c>
      <c r="BH95" s="73">
        <f t="shared" ca="1" si="66"/>
        <v>39.080413455469291</v>
      </c>
      <c r="BI95" s="15">
        <f t="shared" ca="1" si="67"/>
        <v>3.6656214068389161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91.640535170972896</v>
      </c>
      <c r="BN95" s="127">
        <f t="shared" ca="1" si="56"/>
        <v>4.0350884454614837</v>
      </c>
      <c r="BO95" s="127">
        <f t="shared" ca="1" si="82"/>
        <v>56.547921424159931</v>
      </c>
      <c r="BQ95" s="121">
        <f t="shared" si="71"/>
        <v>45017</v>
      </c>
      <c r="BR95" s="73">
        <f t="shared" ca="1" si="85"/>
        <v>39.080413455469291</v>
      </c>
      <c r="BS95" s="15">
        <f t="shared" ca="1" si="72"/>
        <v>3.6656214068389161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91.640535170972896</v>
      </c>
      <c r="BX95" s="127">
        <f t="shared" ca="1" si="57"/>
        <v>3.9128182524207302</v>
      </c>
      <c r="BY95" s="127">
        <f t="shared" ca="1" si="83"/>
        <v>50.039778164265591</v>
      </c>
      <c r="CA95" s="121">
        <f t="shared" si="76"/>
        <v>45017</v>
      </c>
      <c r="CB95" s="73">
        <f t="shared" ca="1" si="86"/>
        <v>39.080413455469291</v>
      </c>
      <c r="CC95" s="15">
        <f t="shared" ca="1" si="77"/>
        <v>3.6656214068389161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91.640535170972896</v>
      </c>
      <c r="CH95" s="127">
        <f t="shared" ca="1" si="58"/>
        <v>3.9887049063059035</v>
      </c>
      <c r="CI95" s="127">
        <f t="shared" ca="1" si="84"/>
        <v>53.984928529672892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47.723898234394554</v>
      </c>
      <c r="AY96" s="15">
        <f t="shared" ca="1" si="61"/>
        <v>3.8654322836333268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100.50123937446649</v>
      </c>
      <c r="BD96" s="127">
        <f t="shared" ca="1" si="55"/>
        <v>3.9996783305813239</v>
      </c>
      <c r="BE96" s="127">
        <f t="shared" ca="1" si="81"/>
        <v>54.580590302327899</v>
      </c>
      <c r="BG96" s="121">
        <f t="shared" si="65"/>
        <v>45047</v>
      </c>
      <c r="BH96" s="73">
        <f t="shared" ca="1" si="66"/>
        <v>39.849016068219775</v>
      </c>
      <c r="BI96" s="15">
        <f t="shared" ca="1" si="67"/>
        <v>3.6850977140460737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95.812540565197921</v>
      </c>
      <c r="BN96" s="127">
        <f t="shared" ca="1" si="56"/>
        <v>4.0350884454614837</v>
      </c>
      <c r="BO96" s="127">
        <f t="shared" ca="1" si="82"/>
        <v>56.547921424159931</v>
      </c>
      <c r="BQ96" s="121">
        <f t="shared" si="71"/>
        <v>45047</v>
      </c>
      <c r="BR96" s="73">
        <f t="shared" ca="1" si="85"/>
        <v>39.849016068219775</v>
      </c>
      <c r="BS96" s="15">
        <f t="shared" ca="1" si="72"/>
        <v>3.6850977140460737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95.812540565197921</v>
      </c>
      <c r="BX96" s="127">
        <f t="shared" ca="1" si="57"/>
        <v>3.9128182524207302</v>
      </c>
      <c r="BY96" s="127">
        <f t="shared" ca="1" si="83"/>
        <v>50.039778164265591</v>
      </c>
      <c r="CA96" s="121">
        <f t="shared" si="76"/>
        <v>45047</v>
      </c>
      <c r="CB96" s="73">
        <f t="shared" ca="1" si="86"/>
        <v>39.849016068219775</v>
      </c>
      <c r="CC96" s="15">
        <f t="shared" ca="1" si="77"/>
        <v>3.6850977140460737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95.812540565197921</v>
      </c>
      <c r="CH96" s="127">
        <f t="shared" ca="1" si="58"/>
        <v>3.9887049063059035</v>
      </c>
      <c r="CI96" s="127">
        <f t="shared" ca="1" si="84"/>
        <v>53.984928529672892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37.06392694063927</v>
      </c>
      <c r="AY97" s="15">
        <f t="shared" ca="1" si="61"/>
        <v>3.6126441769446749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97.541392777506218</v>
      </c>
      <c r="BD97" s="127">
        <f t="shared" ca="1" si="55"/>
        <v>3.9996783305813239</v>
      </c>
      <c r="BE97" s="127">
        <f t="shared" ca="1" si="81"/>
        <v>54.580590302327899</v>
      </c>
      <c r="BG97" s="121">
        <f t="shared" si="65"/>
        <v>45078</v>
      </c>
      <c r="BH97" s="73">
        <f t="shared" ca="1" si="66"/>
        <v>42.586983882281437</v>
      </c>
      <c r="BI97" s="15">
        <f t="shared" ca="1" si="67"/>
        <v>3.7515486639182032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101.29181392579149</v>
      </c>
      <c r="BN97" s="127">
        <f t="shared" ca="1" si="56"/>
        <v>4.0350884454614837</v>
      </c>
      <c r="BO97" s="127">
        <f t="shared" ca="1" si="82"/>
        <v>56.547921424159931</v>
      </c>
      <c r="BQ97" s="121">
        <f t="shared" si="71"/>
        <v>45078</v>
      </c>
      <c r="BR97" s="73">
        <f t="shared" ca="1" si="85"/>
        <v>42.586983882281437</v>
      </c>
      <c r="BS97" s="15">
        <f t="shared" ca="1" si="72"/>
        <v>3.7515486639182032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101.29181392579149</v>
      </c>
      <c r="BX97" s="127">
        <f t="shared" ca="1" si="57"/>
        <v>3.9128182524207302</v>
      </c>
      <c r="BY97" s="127">
        <f t="shared" ca="1" si="83"/>
        <v>50.039778164265591</v>
      </c>
      <c r="CA97" s="121">
        <f t="shared" si="76"/>
        <v>45078</v>
      </c>
      <c r="CB97" s="73">
        <f t="shared" ca="1" si="86"/>
        <v>42.586983882281437</v>
      </c>
      <c r="CC97" s="15">
        <f t="shared" ca="1" si="77"/>
        <v>3.7515486639182032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101.29181392579149</v>
      </c>
      <c r="CH97" s="127">
        <f t="shared" ca="1" si="58"/>
        <v>3.9887049063059035</v>
      </c>
      <c r="CI97" s="127">
        <f t="shared" ca="1" si="84"/>
        <v>53.984928529672892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42.973126471810502</v>
      </c>
      <c r="AY98" s="15">
        <f t="shared" ca="1" si="61"/>
        <v>3.7605749545492007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105.29609872737763</v>
      </c>
      <c r="BD98" s="127">
        <f t="shared" ca="1" si="55"/>
        <v>3.9996783305813239</v>
      </c>
      <c r="BE98" s="127">
        <f t="shared" ca="1" si="81"/>
        <v>54.580590302327899</v>
      </c>
      <c r="BG98" s="121">
        <f t="shared" si="65"/>
        <v>45108</v>
      </c>
      <c r="BH98" s="73">
        <f t="shared" ca="1" si="66"/>
        <v>40.659399073814932</v>
      </c>
      <c r="BI98" s="15">
        <f t="shared" ca="1" si="67"/>
        <v>3.7052300287947468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103.74644080625291</v>
      </c>
      <c r="BN98" s="127">
        <f t="shared" ca="1" si="56"/>
        <v>4.0350884454614837</v>
      </c>
      <c r="BO98" s="127">
        <f t="shared" ca="1" si="82"/>
        <v>56.547921424159931</v>
      </c>
      <c r="BQ98" s="121">
        <f t="shared" si="71"/>
        <v>45108</v>
      </c>
      <c r="BR98" s="73">
        <f t="shared" ca="1" si="85"/>
        <v>40.659399073814932</v>
      </c>
      <c r="BS98" s="15">
        <f t="shared" ca="1" si="72"/>
        <v>3.7052300287947468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103.74644080625291</v>
      </c>
      <c r="BX98" s="127">
        <f t="shared" ca="1" si="57"/>
        <v>3.9128182524207302</v>
      </c>
      <c r="BY98" s="127">
        <f t="shared" ca="1" si="83"/>
        <v>50.039778164265591</v>
      </c>
      <c r="CA98" s="121">
        <f t="shared" si="76"/>
        <v>45108</v>
      </c>
      <c r="CB98" s="73">
        <f t="shared" ca="1" si="86"/>
        <v>40.659399073814932</v>
      </c>
      <c r="CC98" s="15">
        <f t="shared" ca="1" si="77"/>
        <v>3.7052300287947468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103.74644080625291</v>
      </c>
      <c r="CH98" s="127">
        <f t="shared" ca="1" si="58"/>
        <v>3.9887049063059035</v>
      </c>
      <c r="CI98" s="127">
        <f t="shared" ca="1" si="84"/>
        <v>53.984928529672892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41.941143808995001</v>
      </c>
      <c r="AY99" s="15">
        <f t="shared" ca="1" si="61"/>
        <v>3.7362672976101119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108.35175163069324</v>
      </c>
      <c r="BD99" s="127">
        <f t="shared" ca="1" si="55"/>
        <v>3.9996783305813239</v>
      </c>
      <c r="BE99" s="127">
        <f t="shared" ca="1" si="81"/>
        <v>54.580590302327899</v>
      </c>
      <c r="BG99" s="121">
        <f t="shared" si="65"/>
        <v>45139</v>
      </c>
      <c r="BH99" s="73">
        <f t="shared" ca="1" si="66"/>
        <v>39.340280078257997</v>
      </c>
      <c r="BI99" s="15">
        <f t="shared" ca="1" si="67"/>
        <v>3.6722489323625656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106.49521903851441</v>
      </c>
      <c r="BN99" s="127">
        <f t="shared" ca="1" si="56"/>
        <v>4.0350884454614837</v>
      </c>
      <c r="BO99" s="127">
        <f t="shared" ca="1" si="82"/>
        <v>56.547921424159931</v>
      </c>
      <c r="BQ99" s="121">
        <f t="shared" si="71"/>
        <v>45139</v>
      </c>
      <c r="BR99" s="73">
        <f t="shared" ca="1" si="85"/>
        <v>39.340280078257997</v>
      </c>
      <c r="BS99" s="15">
        <f t="shared" ca="1" si="72"/>
        <v>3.6722489323625656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106.49521903851441</v>
      </c>
      <c r="BX99" s="127">
        <f t="shared" ca="1" si="57"/>
        <v>3.9128182524207302</v>
      </c>
      <c r="BY99" s="127">
        <f t="shared" ca="1" si="83"/>
        <v>50.039778164265591</v>
      </c>
      <c r="CA99" s="121">
        <f t="shared" si="76"/>
        <v>45139</v>
      </c>
      <c r="CB99" s="73">
        <f t="shared" ca="1" si="86"/>
        <v>39.340280078257997</v>
      </c>
      <c r="CC99" s="15">
        <f t="shared" ca="1" si="77"/>
        <v>3.6722489323625656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106.49521903851441</v>
      </c>
      <c r="CH99" s="127">
        <f t="shared" ca="1" si="58"/>
        <v>3.9887049063059035</v>
      </c>
      <c r="CI99" s="127">
        <f t="shared" ca="1" si="84"/>
        <v>53.984928529672892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33.106569953968474</v>
      </c>
      <c r="AY100" s="15">
        <f t="shared" ca="1" si="61"/>
        <v>3.4997317507221748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104.99195252166524</v>
      </c>
      <c r="BD100" s="127">
        <f t="shared" ca="1" si="55"/>
        <v>3.9996783305813239</v>
      </c>
      <c r="BE100" s="127">
        <f t="shared" ca="1" si="81"/>
        <v>54.580590302327899</v>
      </c>
      <c r="BG100" s="121">
        <f t="shared" si="65"/>
        <v>45170</v>
      </c>
      <c r="BH100" s="73">
        <f t="shared" ca="1" si="66"/>
        <v>39.689176274136216</v>
      </c>
      <c r="BI100" s="15">
        <f t="shared" ca="1" si="67"/>
        <v>3.6810785125895897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110.43235537768768</v>
      </c>
      <c r="BN100" s="127">
        <f t="shared" ca="1" si="56"/>
        <v>4.0350884454614837</v>
      </c>
      <c r="BO100" s="127">
        <f t="shared" ca="1" si="82"/>
        <v>56.547921424159931</v>
      </c>
      <c r="BQ100" s="121">
        <f t="shared" si="71"/>
        <v>45170</v>
      </c>
      <c r="BR100" s="73">
        <f t="shared" ca="1" si="85"/>
        <v>39.689176274136216</v>
      </c>
      <c r="BS100" s="15">
        <f t="shared" ca="1" si="72"/>
        <v>3.6810785125895897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110.43235537768768</v>
      </c>
      <c r="BX100" s="127">
        <f t="shared" ca="1" si="57"/>
        <v>3.9128182524207302</v>
      </c>
      <c r="BY100" s="127">
        <f t="shared" ca="1" si="83"/>
        <v>50.039778164265591</v>
      </c>
      <c r="CA100" s="121">
        <f t="shared" si="76"/>
        <v>45170</v>
      </c>
      <c r="CB100" s="73">
        <f t="shared" ca="1" si="86"/>
        <v>39.689176274136216</v>
      </c>
      <c r="CC100" s="15">
        <f t="shared" ca="1" si="77"/>
        <v>3.6810785125895897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110.43235537768768</v>
      </c>
      <c r="CH100" s="127">
        <f t="shared" ca="1" si="58"/>
        <v>3.9887049063059035</v>
      </c>
      <c r="CI100" s="127">
        <f t="shared" ca="1" si="84"/>
        <v>53.984928529672892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44.019815059445179</v>
      </c>
      <c r="AY101" s="15">
        <f t="shared" ca="1" si="61"/>
        <v>3.7846398748047374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117.32383611894686</v>
      </c>
      <c r="BD101" s="127">
        <f t="shared" ca="1" si="55"/>
        <v>3.9996783305813239</v>
      </c>
      <c r="BE101" s="127">
        <f t="shared" ca="1" si="81"/>
        <v>54.580590302327899</v>
      </c>
      <c r="BG101" s="121">
        <f t="shared" si="65"/>
        <v>45200</v>
      </c>
      <c r="BH101" s="73">
        <f t="shared" ca="1" si="66"/>
        <v>42.758304889834243</v>
      </c>
      <c r="BI101" s="15">
        <f t="shared" ca="1" si="67"/>
        <v>3.7555634429443612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116.42246673127519</v>
      </c>
      <c r="BN101" s="127">
        <f t="shared" ca="1" si="56"/>
        <v>4.0350884454614837</v>
      </c>
      <c r="BO101" s="127">
        <f t="shared" ca="1" si="82"/>
        <v>56.547921424159931</v>
      </c>
      <c r="BQ101" s="121">
        <f t="shared" si="71"/>
        <v>45200</v>
      </c>
      <c r="BR101" s="73">
        <f t="shared" ca="1" si="85"/>
        <v>42.758304889834243</v>
      </c>
      <c r="BS101" s="15">
        <f t="shared" ca="1" si="72"/>
        <v>3.7555634429443612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116.42246673127519</v>
      </c>
      <c r="BX101" s="127">
        <f t="shared" ca="1" si="57"/>
        <v>3.9128182524207302</v>
      </c>
      <c r="BY101" s="127">
        <f t="shared" ca="1" si="83"/>
        <v>50.039778164265591</v>
      </c>
      <c r="CA101" s="121">
        <f t="shared" si="76"/>
        <v>45200</v>
      </c>
      <c r="CB101" s="73">
        <f t="shared" ca="1" si="86"/>
        <v>42.758304889834243</v>
      </c>
      <c r="CC101" s="15">
        <f t="shared" ca="1" si="77"/>
        <v>3.7555634429443612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116.42246673127519</v>
      </c>
      <c r="CH101" s="127">
        <f t="shared" ca="1" si="58"/>
        <v>3.9887049063059035</v>
      </c>
      <c r="CI101" s="127">
        <f t="shared" ca="1" si="84"/>
        <v>53.984928529672892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51.148529656089053</v>
      </c>
      <c r="AY102" s="15">
        <f t="shared" ca="1" si="61"/>
        <v>3.9347337462579599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125.91147988025472</v>
      </c>
      <c r="BD102" s="127">
        <f t="shared" ca="1" si="55"/>
        <v>3.9996783305813239</v>
      </c>
      <c r="BE102" s="127">
        <f t="shared" ca="1" si="81"/>
        <v>54.580590302327899</v>
      </c>
      <c r="BG102" s="121">
        <f t="shared" si="65"/>
        <v>45231</v>
      </c>
      <c r="BH102" s="73">
        <f t="shared" ca="1" si="66"/>
        <v>46.350869558308368</v>
      </c>
      <c r="BI102" s="15">
        <f t="shared" ca="1" si="67"/>
        <v>3.8362400525329368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122.75968168105398</v>
      </c>
      <c r="BN102" s="127">
        <f t="shared" ca="1" si="56"/>
        <v>4.0350884454614837</v>
      </c>
      <c r="BO102" s="127">
        <f t="shared" ca="1" si="82"/>
        <v>56.547921424159931</v>
      </c>
      <c r="BQ102" s="121">
        <f t="shared" si="71"/>
        <v>45231</v>
      </c>
      <c r="BR102" s="73">
        <f t="shared" ca="1" si="85"/>
        <v>46.350869558308368</v>
      </c>
      <c r="BS102" s="15">
        <f t="shared" ca="1" si="72"/>
        <v>3.8362400525329368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122.75968168105398</v>
      </c>
      <c r="BX102" s="127">
        <f t="shared" ca="1" si="57"/>
        <v>3.9128182524207302</v>
      </c>
      <c r="BY102" s="127">
        <f t="shared" ca="1" si="83"/>
        <v>50.039778164265591</v>
      </c>
      <c r="CA102" s="121">
        <f t="shared" si="76"/>
        <v>45231</v>
      </c>
      <c r="CB102" s="73">
        <f t="shared" ca="1" si="86"/>
        <v>46.350869558308368</v>
      </c>
      <c r="CC102" s="15">
        <f t="shared" ca="1" si="77"/>
        <v>3.8362400525329368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122.75968168105398</v>
      </c>
      <c r="CH102" s="127">
        <f t="shared" ca="1" si="58"/>
        <v>3.9887049063059035</v>
      </c>
      <c r="CI102" s="127">
        <f t="shared" ca="1" si="84"/>
        <v>53.984928529672892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43.884263959390864</v>
      </c>
      <c r="AY103" s="15">
        <f t="shared" ca="1" si="61"/>
        <v>3.7815558038717749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124.79134152776857</v>
      </c>
      <c r="BD103" s="127">
        <f t="shared" ca="1" si="55"/>
        <v>3.9996783305813239</v>
      </c>
      <c r="BE103" s="127">
        <f t="shared" ca="1" si="81"/>
        <v>54.580590302327899</v>
      </c>
      <c r="BG103" s="121">
        <f t="shared" si="65"/>
        <v>45261</v>
      </c>
      <c r="BH103" s="73">
        <f t="shared" ca="1" si="66"/>
        <v>47.28072287182664</v>
      </c>
      <c r="BI103" s="15">
        <f t="shared" ca="1" si="67"/>
        <v>3.8561026621481949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127.25138785089042</v>
      </c>
      <c r="BN103" s="127">
        <f t="shared" ca="1" si="56"/>
        <v>4.0350884454614837</v>
      </c>
      <c r="BO103" s="127">
        <f t="shared" ca="1" si="82"/>
        <v>56.547921424159931</v>
      </c>
      <c r="BQ103" s="121">
        <f t="shared" si="71"/>
        <v>45261</v>
      </c>
      <c r="BR103" s="73">
        <f t="shared" ca="1" si="85"/>
        <v>47.28072287182664</v>
      </c>
      <c r="BS103" s="15">
        <f t="shared" ca="1" si="72"/>
        <v>3.8561026621481949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127.25138785089042</v>
      </c>
      <c r="BX103" s="127">
        <f t="shared" ca="1" si="57"/>
        <v>3.9128182524207302</v>
      </c>
      <c r="BY103" s="127">
        <f t="shared" ca="1" si="83"/>
        <v>50.039778164265591</v>
      </c>
      <c r="CA103" s="121">
        <f t="shared" si="76"/>
        <v>45261</v>
      </c>
      <c r="CB103" s="73">
        <f t="shared" ca="1" si="86"/>
        <v>47.28072287182664</v>
      </c>
      <c r="CC103" s="15">
        <f t="shared" ca="1" si="77"/>
        <v>3.8561026621481949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127.25138785089042</v>
      </c>
      <c r="CH103" s="127">
        <f t="shared" ca="1" si="58"/>
        <v>3.9887049063059035</v>
      </c>
      <c r="CI103" s="127">
        <f t="shared" ca="1" si="84"/>
        <v>53.984928529672892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46.809375000000003</v>
      </c>
      <c r="AY104" s="15">
        <f t="shared" ca="1" si="61"/>
        <v>3.8460835033749468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130.76683911474819</v>
      </c>
      <c r="BD104" s="127">
        <f t="shared" ca="1" si="55"/>
        <v>3.9996783305813239</v>
      </c>
      <c r="BE104" s="127">
        <f t="shared" ca="1" si="81"/>
        <v>54.580590302327899</v>
      </c>
      <c r="BG104" s="121">
        <f t="shared" si="65"/>
        <v>45292</v>
      </c>
      <c r="BH104" s="73">
        <f t="shared" ca="1" si="66"/>
        <v>41.857063326599679</v>
      </c>
      <c r="BI104" s="15">
        <f t="shared" ca="1" si="67"/>
        <v>3.7342605599128422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126.96485903703663</v>
      </c>
      <c r="BN104" s="127">
        <f t="shared" ca="1" si="56"/>
        <v>4.0350884454614837</v>
      </c>
      <c r="BO104" s="127">
        <f t="shared" ca="1" si="82"/>
        <v>56.547921424159931</v>
      </c>
      <c r="BQ104" s="121">
        <f t="shared" si="71"/>
        <v>45292</v>
      </c>
      <c r="BR104" s="73">
        <f t="shared" ca="1" si="85"/>
        <v>41.857063326599679</v>
      </c>
      <c r="BS104" s="15">
        <f t="shared" ca="1" si="72"/>
        <v>3.7342605599128422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126.96485903703663</v>
      </c>
      <c r="BX104" s="127">
        <f t="shared" ca="1" si="57"/>
        <v>3.9128182524207302</v>
      </c>
      <c r="BY104" s="127">
        <f t="shared" ca="1" si="83"/>
        <v>50.039778164265591</v>
      </c>
      <c r="CA104" s="121">
        <f t="shared" si="76"/>
        <v>45292</v>
      </c>
      <c r="CB104" s="73">
        <f t="shared" ca="1" si="86"/>
        <v>41.857063326599679</v>
      </c>
      <c r="CC104" s="15">
        <f t="shared" ca="1" si="77"/>
        <v>3.7342605599128422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126.96485903703663</v>
      </c>
      <c r="CH104" s="127">
        <f t="shared" ca="1" si="58"/>
        <v>3.9887049063059035</v>
      </c>
      <c r="CI104" s="127">
        <f t="shared" ca="1" si="84"/>
        <v>53.984928529672892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34.877551020408163</v>
      </c>
      <c r="AY105" s="15">
        <f t="shared" ca="1" si="61"/>
        <v>3.5518433850049642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124.31451847517374</v>
      </c>
      <c r="BD105" s="127">
        <f t="shared" ca="1" si="55"/>
        <v>3.9996783305813239</v>
      </c>
      <c r="BE105" s="127">
        <f t="shared" ca="1" si="81"/>
        <v>54.580590302327899</v>
      </c>
      <c r="BG105" s="121">
        <f t="shared" si="65"/>
        <v>45323</v>
      </c>
      <c r="BH105" s="73">
        <f t="shared" ca="1" si="66"/>
        <v>40.072322251201911</v>
      </c>
      <c r="BI105" s="15">
        <f t="shared" ca="1" si="67"/>
        <v>3.6906858778277796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129.17400572397227</v>
      </c>
      <c r="BN105" s="127">
        <f t="shared" ca="1" si="56"/>
        <v>4.0350884454614837</v>
      </c>
      <c r="BO105" s="127">
        <f t="shared" ca="1" si="82"/>
        <v>56.547921424159931</v>
      </c>
      <c r="BQ105" s="121">
        <f t="shared" si="71"/>
        <v>45323</v>
      </c>
      <c r="BR105" s="73">
        <f t="shared" ca="1" si="85"/>
        <v>40.072322251201911</v>
      </c>
      <c r="BS105" s="15">
        <f t="shared" ca="1" si="72"/>
        <v>3.6906858778277796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129.17400572397227</v>
      </c>
      <c r="BX105" s="127">
        <f t="shared" ca="1" si="57"/>
        <v>3.9128182524207302</v>
      </c>
      <c r="BY105" s="127">
        <f t="shared" ca="1" si="83"/>
        <v>50.039778164265591</v>
      </c>
      <c r="CA105" s="121">
        <f t="shared" si="76"/>
        <v>45323</v>
      </c>
      <c r="CB105" s="73">
        <f t="shared" ca="1" si="86"/>
        <v>40.072322251201911</v>
      </c>
      <c r="CC105" s="15">
        <f t="shared" ca="1" si="77"/>
        <v>3.6906858778277796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129.17400572397227</v>
      </c>
      <c r="CH105" s="127">
        <f t="shared" ca="1" si="58"/>
        <v>3.9887049063059035</v>
      </c>
      <c r="CI105" s="127">
        <f t="shared" ca="1" si="84"/>
        <v>53.984928529672892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38.530040733197559</v>
      </c>
      <c r="AY106" s="15">
        <f t="shared" ca="1" si="61"/>
        <v>3.6514382158188612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131.45177576947901</v>
      </c>
      <c r="BD106" s="127">
        <f t="shared" ca="1" si="55"/>
        <v>3.9996783305813239</v>
      </c>
      <c r="BE106" s="127">
        <f t="shared" ca="1" si="81"/>
        <v>54.580590302327899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4.0350884454614837</v>
      </c>
      <c r="BO106" s="127">
        <f t="shared" ca="1" si="82"/>
        <v>56.547921424159931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3.9128182524207302</v>
      </c>
      <c r="BY106" s="127">
        <f t="shared" ca="1" si="83"/>
        <v>50.039778164265591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3.9887049063059035</v>
      </c>
      <c r="CI106" s="127">
        <f t="shared" ca="1" si="84"/>
        <v>53.984928529672892</v>
      </c>
    </row>
    <row r="107" spans="45:87" x14ac:dyDescent="0.2">
      <c r="AW107" s="121" t="s">
        <v>86</v>
      </c>
      <c r="AX107" s="73">
        <f t="shared" ref="AX107:BC107" ca="1" si="87">SUM(AX71:AX106)</f>
        <v>1686.3619537214856</v>
      </c>
      <c r="AY107" s="15">
        <f t="shared" ca="1" si="87"/>
        <v>137.44584793308988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2504.5831836164425</v>
      </c>
      <c r="BD107" s="66"/>
      <c r="BE107" s="120"/>
      <c r="BG107" s="121" t="s">
        <v>86</v>
      </c>
      <c r="BH107" s="73">
        <f t="shared" ref="BH107:BM107" ca="1" si="88">SUM(BH71:BH106)</f>
        <v>1600.6868609981661</v>
      </c>
      <c r="BI107" s="15">
        <f t="shared" ca="1" si="88"/>
        <v>130.42323508585855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2377.6087376960145</v>
      </c>
      <c r="BN107" s="66"/>
      <c r="BO107" s="120"/>
      <c r="BQ107" s="121" t="s">
        <v>86</v>
      </c>
      <c r="BR107" s="73">
        <f t="shared" ref="BR107:BW107" ca="1" si="89">SUM(BR71:BR106)</f>
        <v>1012.7829257236201</v>
      </c>
      <c r="BS107" s="15">
        <f t="shared" ca="1" si="89"/>
        <v>86.816821756961417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2077.7773924110961</v>
      </c>
      <c r="BX107" s="66"/>
      <c r="BY107" s="120"/>
      <c r="CA107" s="121" t="s">
        <v>86</v>
      </c>
      <c r="CB107" s="73">
        <f t="shared" ref="CB107:CG107" ca="1" si="90">SUM(CB71:CB106)</f>
        <v>734.8434431226965</v>
      </c>
      <c r="CC107" s="15">
        <f t="shared" ca="1" si="90"/>
        <v>63.853872278096482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1720.5397860605128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3.8179402203636079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69.571755100456741</v>
      </c>
      <c r="BG108" s="7" t="s">
        <v>176</v>
      </c>
      <c r="BH108" s="7"/>
      <c r="BI108" s="15">
        <f ca="1">+BI107/BJ107</f>
        <v>3.8359775025252514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69.929668755765135</v>
      </c>
      <c r="BQ108" s="7" t="s">
        <v>176</v>
      </c>
      <c r="BR108" s="7"/>
      <c r="BS108" s="15">
        <f ca="1">+BS107/BT107</f>
        <v>3.774644424215714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90.33814749613461</v>
      </c>
      <c r="CA108" s="7" t="s">
        <v>176</v>
      </c>
      <c r="CB108" s="7"/>
      <c r="CC108" s="15">
        <f ca="1">+CC107/CD107</f>
        <v>3.7561101340056755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101.20822270944193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22.248692789146489</v>
      </c>
      <c r="AW111" t="s">
        <v>254</v>
      </c>
      <c r="AX111" s="66">
        <f ca="1">AY107</f>
        <v>137.44584793308988</v>
      </c>
      <c r="BG111" t="s">
        <v>254</v>
      </c>
      <c r="BH111" s="66">
        <f ca="1">BI107</f>
        <v>130.42323508585855</v>
      </c>
      <c r="BQ111" t="s">
        <v>254</v>
      </c>
      <c r="BR111" s="66">
        <f ca="1">BS107</f>
        <v>86.816821756961417</v>
      </c>
      <c r="CA111" t="s">
        <v>254</v>
      </c>
      <c r="CB111" s="66">
        <f ca="1">CC107</f>
        <v>63.853872278096482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9.5374884867484226</v>
      </c>
      <c r="AW113" s="1" t="s">
        <v>255</v>
      </c>
      <c r="AX113" s="59">
        <f ca="1">+BC108</f>
        <v>69.571755100456741</v>
      </c>
      <c r="AZ113" t="s">
        <v>244</v>
      </c>
      <c r="BG113" s="1" t="s">
        <v>255</v>
      </c>
      <c r="BH113" s="59">
        <f ca="1">+BM108</f>
        <v>69.929668755765135</v>
      </c>
      <c r="BJ113" t="s">
        <v>244</v>
      </c>
      <c r="BQ113" s="1" t="s">
        <v>255</v>
      </c>
      <c r="BR113" s="59">
        <f ca="1">+BW108</f>
        <v>90.33814749613461</v>
      </c>
      <c r="BT113" t="s">
        <v>244</v>
      </c>
      <c r="CA113" s="1" t="s">
        <v>255</v>
      </c>
      <c r="CB113" s="59">
        <f ca="1">+CG108</f>
        <v>101.20822270944193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0.61801924414295817</v>
      </c>
      <c r="AW115" s="1" t="s">
        <v>256</v>
      </c>
      <c r="AX115" s="59">
        <f ca="1">AX111/AX110</f>
        <v>3.8179402203636079</v>
      </c>
      <c r="BG115" s="1" t="s">
        <v>256</v>
      </c>
      <c r="BH115" s="59">
        <f ca="1">BH111/BH110</f>
        <v>3.8359775025252514</v>
      </c>
      <c r="BQ115" s="1" t="s">
        <v>256</v>
      </c>
      <c r="BR115" s="59">
        <f ca="1">BR111/BR110</f>
        <v>3.774644424215714</v>
      </c>
      <c r="CA115" s="1" t="s">
        <v>256</v>
      </c>
      <c r="CB115" s="59">
        <f ca="1">CB111/CB110</f>
        <v>3.7561101340056755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-1.7567884446915587E-2</v>
      </c>
      <c r="AW118" s="28" t="s">
        <v>247</v>
      </c>
      <c r="AX118" s="66">
        <f ca="1">(AX113-AX115*AX114)/(AX116-AX117)</f>
        <v>-9.8236816333900599E-3</v>
      </c>
      <c r="BG118" s="28" t="s">
        <v>247</v>
      </c>
      <c r="BH118" s="66">
        <f ca="1">(BH113-BH115*BH114)/(BH116-BH117)</f>
        <v>-1.0762753672228776E-2</v>
      </c>
      <c r="BQ118" s="28" t="s">
        <v>247</v>
      </c>
      <c r="BR118" s="66">
        <f ca="1">(BR113-BR115*BR114)/(BR116-BR117)</f>
        <v>-5.7572428418756708E-3</v>
      </c>
      <c r="CA118" s="28" t="s">
        <v>247</v>
      </c>
      <c r="CB118" s="66">
        <f ca="1">(CB113-CB115*CB114)/(CB116-CB117)</f>
        <v>-8.6146211963047392E-3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0.94302510641089654</v>
      </c>
      <c r="AW119" s="28" t="s">
        <v>248</v>
      </c>
      <c r="AX119" s="66">
        <f ca="1">AX115-AX118*AX114</f>
        <v>3.9996783305813239</v>
      </c>
      <c r="BG119" s="28" t="s">
        <v>248</v>
      </c>
      <c r="BH119" s="66">
        <f ca="1">BH115-BH118*BH114</f>
        <v>4.0350884454614837</v>
      </c>
      <c r="BQ119" s="28" t="s">
        <v>248</v>
      </c>
      <c r="BR119" s="66">
        <f ca="1">BR115-BR118*BR114</f>
        <v>3.9128182524207302</v>
      </c>
      <c r="CA119" s="28" t="s">
        <v>248</v>
      </c>
      <c r="CB119" s="66">
        <f ca="1">CB115-CB118*CB114</f>
        <v>3.9887049063059035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-0.20858640393246553</v>
      </c>
      <c r="AW120" t="s">
        <v>249</v>
      </c>
      <c r="AX120" s="126">
        <f ca="1">EXP(12*AX118+AX119)/EXP(AX119)-1</f>
        <v>-0.11120101229281854</v>
      </c>
      <c r="BG120" t="s">
        <v>249</v>
      </c>
      <c r="BH120" s="126">
        <f ca="1">EXP(12*BH118+BH119)/EXP(BH119)-1</f>
        <v>-0.12116054591131453</v>
      </c>
      <c r="BQ120" t="s">
        <v>249</v>
      </c>
      <c r="BR120" s="126">
        <f ca="1">EXP(12*BR118+BR119)/EXP(BR119)-1</f>
        <v>-6.6754435647442323E-2</v>
      </c>
      <c r="CA120" t="s">
        <v>249</v>
      </c>
      <c r="CB120" s="126">
        <f ca="1">EXP(12*CB118+CB119)/EXP(CB119)-1</f>
        <v>-9.821167044338619E-2</v>
      </c>
    </row>
    <row r="121" spans="45:82" x14ac:dyDescent="0.2">
      <c r="AS121" t="s">
        <v>250</v>
      </c>
      <c r="AT121" t="s">
        <v>530</v>
      </c>
      <c r="AU121">
        <f t="shared" ca="1" si="91"/>
        <v>-20.799999999999997</v>
      </c>
      <c r="AW121" t="s">
        <v>250</v>
      </c>
      <c r="AX121" t="str">
        <f ca="1">FIXED(AX120*100,1,TRUE)</f>
        <v>-11.1</v>
      </c>
      <c r="BG121" t="s">
        <v>250</v>
      </c>
      <c r="BH121" t="str">
        <f ca="1">FIXED(BH120*100,1,TRUE)</f>
        <v>-12.1</v>
      </c>
      <c r="BQ121" t="s">
        <v>250</v>
      </c>
      <c r="BR121" t="str">
        <f ca="1">FIXED(BR120*100,1,TRUE)</f>
        <v>-6.7</v>
      </c>
      <c r="CA121" t="s">
        <v>250</v>
      </c>
      <c r="CB121" t="str">
        <f ca="1">FIXED(CB120*100,1,TRUE)</f>
        <v>-9.8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topLeftCell="A228" zoomScale="80" zoomScaleNormal="80" workbookViewId="0"/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AAMG - Commercial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AAMG - Commercial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32.49841373087169</v>
      </c>
      <c r="AW2" s="120">
        <f ca="1">MAX(BA9:BA44)</f>
        <v>89.537532573289894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30</v>
      </c>
      <c r="AW3" s="120">
        <f ca="1">INT(AW2+0.5)+INT(MAX(2,0.05*AW2))</f>
        <v>94</v>
      </c>
      <c r="AX3" s="120"/>
      <c r="AZ3" s="120">
        <f>INT(AZ2)+INT(MAX(2,0.05*AZ2))</f>
        <v>2</v>
      </c>
      <c r="BB3" s="120">
        <f ca="1">+INT(MAX(2,0.08*AW2))</f>
        <v>7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42.919151732377529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42.919151732377529</v>
      </c>
      <c r="BA9" s="73">
        <f>IF(AT9=0,0,MAX(AT9:AW9))</f>
        <v>42.919151732377529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59.249342218400699</v>
      </c>
      <c r="AU10" s="73">
        <f ca="1">IF(AT10=0,0,LeastSq!AP8)</f>
        <v>55.452130706127321</v>
      </c>
      <c r="AV10" s="73"/>
      <c r="AW10" s="73"/>
      <c r="AX10" s="586"/>
      <c r="AY10" s="73">
        <f>Transport!$G21</f>
        <v>0</v>
      </c>
      <c r="AZ10" s="73">
        <f t="shared" ref="AZ10:AZ44" si="1">IF(AT10=0,MAX(AT10:AT36),AT10)</f>
        <v>59.249342218400699</v>
      </c>
      <c r="BA10" s="73">
        <f t="shared" ref="BA10:BA44" ca="1" si="2">IF(AT10=0,0,MAX(AT10:AW10))</f>
        <v>59.249342218400699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89.537532573289894</v>
      </c>
      <c r="AU11" s="73">
        <f ca="1">IF(AT11=0,0,LeastSq!AP9)</f>
        <v>54.848448360529638</v>
      </c>
      <c r="AV11" s="73"/>
      <c r="AW11" s="73"/>
      <c r="AX11" s="586"/>
      <c r="AY11" s="73">
        <f>Transport!$G22</f>
        <v>0</v>
      </c>
      <c r="AZ11" s="73">
        <f t="shared" si="1"/>
        <v>89.537532573289894</v>
      </c>
      <c r="BA11" s="73">
        <f t="shared" ca="1" si="2"/>
        <v>89.537532573289894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44.010058873002535</v>
      </c>
      <c r="AU12" s="73">
        <f ca="1">IF(AT12=0,0,LeastSq!AP10)</f>
        <v>54.251338032449453</v>
      </c>
      <c r="AV12" s="73"/>
      <c r="AW12" s="73"/>
      <c r="AX12" s="586"/>
      <c r="AY12" s="73">
        <f>Transport!$G23</f>
        <v>0</v>
      </c>
      <c r="AZ12" s="73">
        <f t="shared" si="1"/>
        <v>44.010058873002535</v>
      </c>
      <c r="BA12" s="73">
        <f t="shared" ca="1" si="2"/>
        <v>54.251338032449453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60.316068003487331</v>
      </c>
      <c r="AU13" s="73">
        <f ca="1">IF(AT13=0,0,LeastSq!AP11)</f>
        <v>53.660728175295205</v>
      </c>
      <c r="AV13" s="73"/>
      <c r="AW13" s="73"/>
      <c r="AX13" s="586"/>
      <c r="AY13" s="73">
        <f>Transport!$G24</f>
        <v>0</v>
      </c>
      <c r="AZ13" s="73">
        <f t="shared" si="1"/>
        <v>60.316068003487331</v>
      </c>
      <c r="BA13" s="73">
        <f t="shared" ca="1" si="2"/>
        <v>60.316068003487331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47.366209964412811</v>
      </c>
      <c r="AU14" s="73">
        <f ca="1">IF(AT14=0,0,LeastSq!AP12)</f>
        <v>53.076548021370769</v>
      </c>
      <c r="AV14" s="73"/>
      <c r="AW14" s="73"/>
      <c r="AX14" s="586"/>
      <c r="AY14" s="73">
        <f>Transport!$G25</f>
        <v>0</v>
      </c>
      <c r="AZ14" s="73">
        <f t="shared" si="1"/>
        <v>47.366209964412811</v>
      </c>
      <c r="BA14" s="73">
        <f t="shared" ca="1" si="2"/>
        <v>53.076548021370769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65.219232158988262</v>
      </c>
      <c r="AU15" s="73">
        <f ca="1">IF(AT15=0,0,LeastSq!AP13)</f>
        <v>52.498727573395961</v>
      </c>
      <c r="AV15" s="73"/>
      <c r="AW15" s="73"/>
      <c r="AX15" s="586"/>
      <c r="AY15" s="73">
        <f>Transport!$G26</f>
        <v>0</v>
      </c>
      <c r="AZ15" s="73">
        <f t="shared" si="1"/>
        <v>65.219232158988262</v>
      </c>
      <c r="BA15" s="73">
        <f t="shared" ca="1" si="2"/>
        <v>65.219232158988262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56.678354661791616</v>
      </c>
      <c r="AU16" s="73">
        <f ca="1">IF(AT16=0,0,LeastSq!AP14)</f>
        <v>51.927197596119527</v>
      </c>
      <c r="AV16" s="73"/>
      <c r="AW16" s="73"/>
      <c r="AX16" s="586"/>
      <c r="AY16" s="73">
        <f>Transport!$G27</f>
        <v>0</v>
      </c>
      <c r="AZ16" s="73">
        <f t="shared" si="1"/>
        <v>56.678354661791616</v>
      </c>
      <c r="BA16" s="73">
        <f t="shared" ca="1" si="2"/>
        <v>56.678354661791616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50.870728417266207</v>
      </c>
      <c r="AU17" s="73">
        <f ca="1">IF(AT17=0,0,LeastSq!AP15)</f>
        <v>51.36188960802307</v>
      </c>
      <c r="AV17" s="73"/>
      <c r="AW17" s="73"/>
      <c r="AX17" s="586"/>
      <c r="AY17" s="73">
        <f>Transport!$G28</f>
        <v>0</v>
      </c>
      <c r="AZ17" s="73">
        <f t="shared" si="1"/>
        <v>50.870728417266207</v>
      </c>
      <c r="BA17" s="73">
        <f t="shared" ca="1" si="2"/>
        <v>51.36188960802307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37.081789568345329</v>
      </c>
      <c r="AU18" s="73">
        <f ca="1">IF(AT18=0,0,LeastSq!AP16)</f>
        <v>50.802735873115708</v>
      </c>
      <c r="AV18" s="73"/>
      <c r="AW18" s="73"/>
      <c r="AX18" s="586"/>
      <c r="AY18" s="73">
        <f>Transport!$G29</f>
        <v>0</v>
      </c>
      <c r="AZ18" s="73">
        <f t="shared" si="1"/>
        <v>37.081789568345329</v>
      </c>
      <c r="BA18" s="73">
        <f t="shared" ca="1" si="2"/>
        <v>50.802735873115708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45.064696832579187</v>
      </c>
      <c r="AU19" s="73">
        <f ca="1">IF(AT19=0,0,LeastSq!AP17)</f>
        <v>50.249669392817673</v>
      </c>
      <c r="AV19" s="73">
        <f ca="1">IF(AT19=0,0,LeastSq!$AZ17)</f>
        <v>44.750526417688754</v>
      </c>
      <c r="AW19" s="73"/>
      <c r="AX19" s="586"/>
      <c r="AY19" s="73">
        <f>Transport!$G30</f>
        <v>0</v>
      </c>
      <c r="AZ19" s="73">
        <f t="shared" si="1"/>
        <v>45.064696832579187</v>
      </c>
      <c r="BA19" s="73">
        <f t="shared" ca="1" si="2"/>
        <v>50.249669392817673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36.92910233393178</v>
      </c>
      <c r="AU20" s="73">
        <f ca="1">IF(AT20=0,0,LeastSq!AP18)</f>
        <v>49.70262389793259</v>
      </c>
      <c r="AV20" s="73">
        <f ca="1">IF(AT20=0,0,LeastSq!$AZ18)</f>
        <v>44.634937050378376</v>
      </c>
      <c r="AW20" s="73"/>
      <c r="AX20" s="586"/>
      <c r="AY20" s="73">
        <f>Transport!$G31</f>
        <v>0</v>
      </c>
      <c r="AZ20" s="73">
        <f t="shared" si="1"/>
        <v>36.92910233393178</v>
      </c>
      <c r="BA20" s="73">
        <f t="shared" ca="1" si="2"/>
        <v>49.70262389793259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40.001751827104876</v>
      </c>
      <c r="AU21" s="73">
        <f ca="1">IF(AT21=0,0,LeastSq!AP19)</f>
        <v>49.16153384070688</v>
      </c>
      <c r="AV21" s="73">
        <f ca="1">IF(AT21=0,0,LeastSq!$AZ19)</f>
        <v>44.519646247194615</v>
      </c>
      <c r="AW21" s="73"/>
      <c r="AX21" s="586"/>
      <c r="AY21" s="73">
        <f>Transport!$G32</f>
        <v>1.058651545174822E-2</v>
      </c>
      <c r="AZ21" s="73">
        <f t="shared" si="1"/>
        <v>40.001751827104876</v>
      </c>
      <c r="BA21" s="73">
        <f t="shared" ca="1" si="2"/>
        <v>49.16153384070688</v>
      </c>
      <c r="BH21" s="73">
        <f>LeastSq!BB19</f>
        <v>44652</v>
      </c>
      <c r="BI21" s="73">
        <f ca="1">LeastSq!$AZ19</f>
        <v>44.519646247194615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38.651486387577066</v>
      </c>
      <c r="AU22" s="73">
        <f ca="1">IF(AT22=0,0,LeastSq!AP20)</f>
        <v>48.626334386975884</v>
      </c>
      <c r="AV22" s="73">
        <f ca="1">IF(AT22=0,0,LeastSq!$AZ20)</f>
        <v>44.404653236954609</v>
      </c>
      <c r="AW22" s="73"/>
      <c r="AX22" s="586"/>
      <c r="AY22" s="73">
        <f>Transport!$G33</f>
        <v>1.3638286311215187E-2</v>
      </c>
      <c r="AZ22" s="73">
        <f t="shared" si="1"/>
        <v>38.651486387577066</v>
      </c>
      <c r="BA22" s="73">
        <f t="shared" ca="1" si="2"/>
        <v>48.626334386975884</v>
      </c>
      <c r="BH22" s="73">
        <f>LeastSq!BB20</f>
        <v>44682</v>
      </c>
      <c r="BI22" s="73">
        <f ca="1">LeastSq!$AZ20</f>
        <v>44.404653236954609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46.072972042039574</v>
      </c>
      <c r="AU23" s="73">
        <f ca="1">IF(AT23=0,0,LeastSq!AP21)</f>
        <v>48.096961408395174</v>
      </c>
      <c r="AV23" s="73">
        <f ca="1">IF(AT23=0,0,LeastSq!$AZ21)</f>
        <v>44.289957250467452</v>
      </c>
      <c r="AW23" s="73"/>
      <c r="AX23" s="586"/>
      <c r="AY23" s="73">
        <f>Transport!$G34</f>
        <v>1.6256978518686412E-2</v>
      </c>
      <c r="AZ23" s="73">
        <f t="shared" si="1"/>
        <v>46.072972042039574</v>
      </c>
      <c r="BA23" s="73">
        <f t="shared" ca="1" si="2"/>
        <v>48.096961408395174</v>
      </c>
      <c r="BH23" s="73">
        <f>LeastSq!BB21</f>
        <v>44713</v>
      </c>
      <c r="BI23" s="73">
        <f ca="1">LeastSq!$AZ21</f>
        <v>44.289957250467452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45.916806568230278</v>
      </c>
      <c r="AU24" s="73">
        <f ca="1">IF(AT24=0,0,LeastSq!AP22)</f>
        <v>47.573351474756784</v>
      </c>
      <c r="AV24" s="73">
        <f ca="1">IF(AT24=0,0,LeastSq!$AZ22)</f>
        <v>44.175557520529047</v>
      </c>
      <c r="AW24" s="73"/>
      <c r="AX24" s="586"/>
      <c r="AY24" s="73">
        <f>Transport!$G35</f>
        <v>1.6201875089479508E-2</v>
      </c>
      <c r="AZ24" s="73">
        <f t="shared" si="1"/>
        <v>45.916806568230278</v>
      </c>
      <c r="BA24" s="73">
        <f t="shared" ca="1" si="2"/>
        <v>47.573351474756784</v>
      </c>
      <c r="BH24" s="73">
        <f>LeastSq!BB22</f>
        <v>44743</v>
      </c>
      <c r="BI24" s="73">
        <f ca="1">LeastSq!$AZ22</f>
        <v>44.175557520529047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45.772098230480971</v>
      </c>
      <c r="AU25" s="73">
        <f ca="1">IF(AT25=0,0,LeastSq!AP23)</f>
        <v>47.055441846388739</v>
      </c>
      <c r="AV25" s="73">
        <f ca="1">IF(AT25=0,0,LeastSq!$AZ23)</f>
        <v>44.061453281916968</v>
      </c>
      <c r="AW25" s="73">
        <f ca="1">IF($AT25=0,0,LeastSq!$BJ23)</f>
        <v>49.507260590481984</v>
      </c>
      <c r="AX25" s="586"/>
      <c r="AY25" s="73">
        <f>Transport!$G36</f>
        <v>1.615081434314642E-2</v>
      </c>
      <c r="AZ25" s="73">
        <f t="shared" si="1"/>
        <v>45.772098230480971</v>
      </c>
      <c r="BA25" s="73">
        <f t="shared" ca="1" si="2"/>
        <v>49.507260590481984</v>
      </c>
      <c r="BH25" s="73">
        <f>LeastSq!BB23</f>
        <v>44774</v>
      </c>
      <c r="BI25" s="73">
        <f ca="1">LeastSq!$AZ23</f>
        <v>44.061453281916968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64.622452870324537</v>
      </c>
      <c r="AU26" s="73">
        <f ca="1">IF(AT26=0,0,LeastSq!AP24)</f>
        <v>46.543170466637669</v>
      </c>
      <c r="AV26" s="73">
        <f ca="1">IF(AT26=0,0,LeastSq!$AZ24)</f>
        <v>43.94764377138528</v>
      </c>
      <c r="AW26" s="73">
        <f ca="1">IF(AT26=0,0,LeastSq!$BJ24)</f>
        <v>48.835056638596747</v>
      </c>
      <c r="AX26" s="586"/>
      <c r="AY26" s="73">
        <f>Transport!$G37</f>
        <v>2.2802215302693475E-2</v>
      </c>
      <c r="AZ26" s="73">
        <f t="shared" si="1"/>
        <v>64.622452870324537</v>
      </c>
      <c r="BA26" s="73">
        <f t="shared" ca="1" si="2"/>
        <v>64.622452870324537</v>
      </c>
      <c r="BH26" s="73">
        <f>LeastSq!BB24</f>
        <v>44805</v>
      </c>
      <c r="BI26" s="73">
        <f ca="1">LeastSq!$AZ24</f>
        <v>43.94764377138528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58.400846388996591</v>
      </c>
      <c r="AU27" s="73">
        <f ca="1">IF(AT27=0,0,LeastSq!AP25)</f>
        <v>46.036475954432916</v>
      </c>
      <c r="AV27" s="73">
        <f ca="1">IF(AT27=0,0,LeastSq!$AZ25)</f>
        <v>43.834128227659562</v>
      </c>
      <c r="AW27" s="73">
        <f ca="1">IF($AT27=0,0,LeastSq!$BJ25)</f>
        <v>48.171979795493975</v>
      </c>
      <c r="AX27" s="73"/>
      <c r="AY27" s="73">
        <f>Transport!$G38</f>
        <v>9.5342041170502934E-2</v>
      </c>
      <c r="AZ27" s="73">
        <f t="shared" si="1"/>
        <v>58.400846388996591</v>
      </c>
      <c r="BA27" s="73">
        <f t="shared" ca="1" si="2"/>
        <v>58.400846388996591</v>
      </c>
      <c r="BH27" s="73">
        <f>LeastSq!BB25</f>
        <v>44835</v>
      </c>
      <c r="BI27" s="73">
        <f ca="1">LeastSq!$AZ25</f>
        <v>43.834128227659562</v>
      </c>
      <c r="BJ27" s="73">
        <f ca="1">LeastSq!$BJ25</f>
        <v>48.171979795493975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43.692323964410917</v>
      </c>
      <c r="AU28" s="73">
        <f ca="1">IF(AT28=0,0,LeastSq!AP26)</f>
        <v>45.535297596931969</v>
      </c>
      <c r="AV28" s="73">
        <f ca="1">IF(AT28=0,0,LeastSq!$AZ26)</f>
        <v>43.720905891431705</v>
      </c>
      <c r="AW28" s="73">
        <f ca="1">IF(AT28=0,0,LeastSq!$BJ26)</f>
        <v>47.517906134328967</v>
      </c>
      <c r="AX28" s="73"/>
      <c r="AY28" s="73">
        <f>Transport!$G39</f>
        <v>8.995138093113221E-2</v>
      </c>
      <c r="AZ28" s="73">
        <f t="shared" si="1"/>
        <v>43.692323964410917</v>
      </c>
      <c r="BA28" s="73">
        <f t="shared" ca="1" si="2"/>
        <v>47.517906134328967</v>
      </c>
      <c r="BH28" s="73">
        <f>LeastSq!BB26</f>
        <v>44866</v>
      </c>
      <c r="BI28" s="73">
        <f ca="1">LeastSq!$AZ26</f>
        <v>43.720905891431705</v>
      </c>
      <c r="BJ28" s="73">
        <f ca="1">LeastSq!$BJ26</f>
        <v>47.517906134328967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71.168632311625956</v>
      </c>
      <c r="AU29" s="73">
        <f ca="1">IF(AT29=0,0,LeastSq!AP27)</f>
        <v>45.039575342245563</v>
      </c>
      <c r="AV29" s="73">
        <f ca="1">IF(AT29=0,0,LeastSq!$AZ27)</f>
        <v>43.607976005354892</v>
      </c>
      <c r="AW29" s="73">
        <f ca="1">IF(AT29=0,0,LeastSq!$BJ27)</f>
        <v>46.872713410921691</v>
      </c>
      <c r="AX29" s="73"/>
      <c r="AY29" s="73">
        <f>Transport!$G40</f>
        <v>0.14772562148510573</v>
      </c>
      <c r="AZ29" s="73">
        <f t="shared" si="1"/>
        <v>71.168632311625956</v>
      </c>
      <c r="BA29" s="73">
        <f t="shared" ca="1" si="2"/>
        <v>71.168632311625956</v>
      </c>
      <c r="BH29" s="73">
        <f>LeastSq!BB27</f>
        <v>44896</v>
      </c>
      <c r="BI29" s="73">
        <f ca="1">LeastSq!$AZ27</f>
        <v>43.607976005354892</v>
      </c>
      <c r="BJ29" s="73">
        <f ca="1">LeastSq!$BJ27</f>
        <v>46.872713410921691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32.49841373087169</v>
      </c>
      <c r="AU30" s="73">
        <f ca="1">IF(AT30=0,0,LeastSq!AP28)</f>
        <v>44.549249792242335</v>
      </c>
      <c r="AV30" s="73">
        <f ca="1">IF(AT30=0,0,LeastSq!$AZ28)</f>
        <v>43.4953378140385</v>
      </c>
      <c r="AW30" s="73">
        <f ca="1">IF(AT30=0,0,LeastSq!$BJ28)</f>
        <v>46.236281040909617</v>
      </c>
      <c r="AX30" s="73"/>
      <c r="AY30" s="73">
        <f>Transport!$G41</f>
        <v>6.7641161427237265E-2</v>
      </c>
      <c r="AZ30" s="73">
        <f t="shared" si="1"/>
        <v>32.49841373087169</v>
      </c>
      <c r="BA30" s="73">
        <f t="shared" ca="1" si="2"/>
        <v>46.236281040909617</v>
      </c>
      <c r="BH30" s="73">
        <f>LeastSq!BB28</f>
        <v>44927</v>
      </c>
      <c r="BI30" s="73">
        <f ca="1">LeastSq!$AZ28</f>
        <v>43.4953378140385</v>
      </c>
      <c r="BJ30" s="73">
        <f ca="1">LeastSq!$BJ28</f>
        <v>46.236281040909617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32.72631909159788</v>
      </c>
      <c r="AU31" s="73">
        <f ca="1">IF(AT31=0,0,LeastSq!AP29)</f>
        <v>44.06426219543161</v>
      </c>
      <c r="AV31" s="73">
        <f ca="1">IF(AT31=0,0,LeastSq!$AZ29)</f>
        <v>43.382990564043077</v>
      </c>
      <c r="AW31" s="73">
        <f ca="1">IF(AT31=0,0,LeastSq!$BJ29)</f>
        <v>45.608490077211052</v>
      </c>
      <c r="AX31" s="73">
        <f ca="1">IF($AT31=0,0,LeastSq!$BT29)</f>
        <v>35.455256527045854</v>
      </c>
      <c r="AY31" s="73">
        <f>Transport!$G42</f>
        <v>9.9453545379390773E-2</v>
      </c>
      <c r="AZ31" s="73">
        <f t="shared" si="1"/>
        <v>32.72631909159788</v>
      </c>
      <c r="BA31" s="73">
        <f t="shared" ca="1" si="2"/>
        <v>45.608490077211052</v>
      </c>
      <c r="BH31" s="73">
        <f>LeastSq!BB29</f>
        <v>44958</v>
      </c>
      <c r="BI31" s="73">
        <f ca="1">LeastSq!$AZ29</f>
        <v>43.382990564043077</v>
      </c>
      <c r="BJ31" s="73">
        <f ca="1">LeastSq!$BJ29</f>
        <v>45.608490077211052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34.758119102387823</v>
      </c>
      <c r="AU32" s="73">
        <f ca="1">IF(AT32=0,0,LeastSq!AP30)</f>
        <v>43.584554439923643</v>
      </c>
      <c r="AV32" s="73">
        <f ca="1">IF(AT32=0,0,LeastSq!$AZ30)</f>
        <v>43.270933503875227</v>
      </c>
      <c r="AW32" s="73">
        <f ca="1">IF(AT32=0,0,LeastSq!$BJ30)</f>
        <v>44.989223187794146</v>
      </c>
      <c r="AX32" s="73">
        <f ca="1">IF($AT32=0,0,LeastSq!$BT30)</f>
        <v>36.302648981521457</v>
      </c>
      <c r="AY32" s="73">
        <f>Transport!$G43</f>
        <v>0.12470271725269332</v>
      </c>
      <c r="AZ32" s="73">
        <f t="shared" si="1"/>
        <v>34.758119102387823</v>
      </c>
      <c r="BA32" s="73">
        <f t="shared" ca="1" si="2"/>
        <v>44.989223187794146</v>
      </c>
      <c r="BH32" s="73">
        <f>LeastSq!BB30</f>
        <v>44986</v>
      </c>
      <c r="BI32" s="73">
        <f ca="1">LeastSq!$AZ30</f>
        <v>43.270933503875227</v>
      </c>
      <c r="BJ32" s="73">
        <f ca="1">LeastSq!$BJ30</f>
        <v>44.989223187794146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34.759223029625488</v>
      </c>
      <c r="AU33" s="73">
        <f ca="1">IF(AT33=0,0,LeastSq!AP31)</f>
        <v>43.110069046466649</v>
      </c>
      <c r="AV33" s="73">
        <f ca="1">IF(AT33=0,0,LeastSq!$AZ31)</f>
        <v>43.159165883982716</v>
      </c>
      <c r="AW33" s="73">
        <f ca="1">IF(AT33=0,0,LeastSq!$BJ31)</f>
        <v>44.378364633748127</v>
      </c>
      <c r="AX33" s="73">
        <f ca="1">IF($AT33=0,0,LeastSq!$BT31)</f>
        <v>37.170294398244117</v>
      </c>
      <c r="AY33" s="73">
        <f ca="1">Transport!$G44</f>
        <v>0.18819312465064167</v>
      </c>
      <c r="AZ33" s="73">
        <f t="shared" ca="1" si="1"/>
        <v>34.759223029625488</v>
      </c>
      <c r="BA33" s="73">
        <f t="shared" ca="1" si="2"/>
        <v>44.378364633748127</v>
      </c>
      <c r="BH33" s="73">
        <f>LeastSq!BB31</f>
        <v>45017</v>
      </c>
      <c r="BI33" s="73">
        <f ca="1">LeastSq!$AZ31</f>
        <v>43.159165883982716</v>
      </c>
      <c r="BJ33" s="73">
        <f ca="1">LeastSq!$BJ31</f>
        <v>44.378364633748127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47.723898234394554</v>
      </c>
      <c r="AU34" s="73">
        <f ca="1">IF(AT34=0,0,LeastSq!AP32)</f>
        <v>42.640749161559583</v>
      </c>
      <c r="AV34" s="73">
        <f ca="1">IF(AT34=0,0,LeastSq!$AZ32)</f>
        <v>43.047686956749331</v>
      </c>
      <c r="AW34" s="73">
        <f ca="1">IF(AT34=0,0,LeastSq!$BJ32)</f>
        <v>43.775800247651908</v>
      </c>
      <c r="AX34" s="73">
        <f ca="1">IF($AT34=0,0,LeastSq!$BT32)</f>
        <v>38.058676829765425</v>
      </c>
      <c r="AY34" s="73">
        <f ca="1">Transport!$G45</f>
        <v>0.36404977061028126</v>
      </c>
      <c r="AZ34" s="73">
        <f t="shared" ca="1" si="1"/>
        <v>47.723898234394554</v>
      </c>
      <c r="BA34" s="73">
        <f t="shared" ca="1" si="2"/>
        <v>47.723898234394554</v>
      </c>
      <c r="BH34" s="73">
        <f>LeastSq!BB32</f>
        <v>45047</v>
      </c>
      <c r="BI34" s="73">
        <f ca="1">LeastSq!$AZ32</f>
        <v>43.047686956749331</v>
      </c>
      <c r="BJ34" s="73">
        <f ca="1">LeastSq!$BJ32</f>
        <v>43.775800247651908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37.06392694063927</v>
      </c>
      <c r="AU35" s="73">
        <f ca="1">IF(AT35=0,0,LeastSq!AP33)</f>
        <v>42.176538550639819</v>
      </c>
      <c r="AV35" s="73">
        <f ca="1">IF(AT35=0,0,LeastSq!$AZ33)</f>
        <v>42.936495976489958</v>
      </c>
      <c r="AW35" s="73">
        <f ca="1">IF(AT35=0,0,LeastSq!$BJ33)</f>
        <v>43.181417412236719</v>
      </c>
      <c r="AX35" s="73">
        <f ca="1">IF($AT35=0,0,LeastSq!$BT33)</f>
        <v>38.968291897654368</v>
      </c>
      <c r="AY35" s="73">
        <f ca="1">Transport!$G46</f>
        <v>0.41334855403348009</v>
      </c>
      <c r="AZ35" s="73">
        <f t="shared" ca="1" si="1"/>
        <v>37.06392694063927</v>
      </c>
      <c r="BA35" s="73">
        <f t="shared" ca="1" si="2"/>
        <v>43.181417412236719</v>
      </c>
      <c r="BH35" s="73">
        <f>LeastSq!BB33</f>
        <v>45078</v>
      </c>
      <c r="BI35" s="73">
        <f ca="1">LeastSq!$AZ33</f>
        <v>42.936495976489958</v>
      </c>
      <c r="BJ35" s="73">
        <f ca="1">LeastSq!$BJ33</f>
        <v>43.181417412236719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42.973126471810502</v>
      </c>
      <c r="AU36" s="73">
        <f ca="1">IF(AT36=0,0,LeastSq!AP34)</f>
        <v>41.71738159134501</v>
      </c>
      <c r="AV36" s="73">
        <f ca="1">IF(AT36=0,0,LeastSq!$AZ34)</f>
        <v>42.825592199445559</v>
      </c>
      <c r="AW36" s="73">
        <f ca="1">IF(AT36=0,0,LeastSq!$BJ34)</f>
        <v>42.595105039338186</v>
      </c>
      <c r="AX36" s="73">
        <f ca="1">IF($AT36=0,0,LeastSq!$BT34)</f>
        <v>39.8996470690007</v>
      </c>
      <c r="AY36" s="73">
        <f ca="1">Transport!$G47</f>
        <v>1.0120349078819788</v>
      </c>
      <c r="AZ36" s="73">
        <f t="shared" ca="1" si="1"/>
        <v>42.973126471810502</v>
      </c>
      <c r="BA36" s="73">
        <f t="shared" ca="1" si="2"/>
        <v>42.973126471810502</v>
      </c>
      <c r="BH36" s="73">
        <f>LeastSq!BB34</f>
        <v>45108</v>
      </c>
      <c r="BI36" s="73">
        <f ca="1">LeastSq!$AZ34</f>
        <v>42.825592199445559</v>
      </c>
      <c r="BJ36" s="73">
        <f ca="1">LeastSq!$BJ34</f>
        <v>42.595105039338186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41.941143808995001</v>
      </c>
      <c r="AU37" s="73">
        <f ca="1">IF(AT37=0,0,LeastSq!AP35)</f>
        <v>41.26322326684847</v>
      </c>
      <c r="AV37" s="73">
        <f ca="1">IF(AT37=0,0,LeastSq!$AZ35)</f>
        <v>42.714974883778197</v>
      </c>
      <c r="AW37" s="73">
        <f ca="1">IF(AT37=0,0,LeastSq!$BJ35)</f>
        <v>42.016753549134471</v>
      </c>
      <c r="AX37" s="73">
        <f ca="1">IF($AT37=0,0,LeastSq!$BT35)</f>
        <v>40.85326193952686</v>
      </c>
      <c r="AY37" s="73">
        <f ca="1">Transport!$G48</f>
        <v>1.4841823986674054</v>
      </c>
      <c r="AZ37" s="73">
        <f t="shared" ca="1" si="1"/>
        <v>41.941143808995001</v>
      </c>
      <c r="BA37" s="73">
        <f t="shared" ca="1" si="2"/>
        <v>42.714974883778197</v>
      </c>
      <c r="BH37" s="73">
        <f>LeastSq!BB35</f>
        <v>45139</v>
      </c>
      <c r="BI37" s="73">
        <f ca="1">LeastSq!$AZ35</f>
        <v>42.714974883778197</v>
      </c>
      <c r="BJ37" s="73">
        <f ca="1">LeastSq!$BJ35</f>
        <v>42.016753549134471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33.106569953968474</v>
      </c>
      <c r="AU38" s="73">
        <f ca="1">IF(AT38=0,0,LeastSq!AP36)</f>
        <v>40.814009159266817</v>
      </c>
      <c r="AV38" s="73">
        <f ca="1">IF(AT38=0,0,LeastSq!$AZ36)</f>
        <v>42.604643289566113</v>
      </c>
      <c r="AW38" s="73">
        <f ca="1">IF(AT38=0,0,LeastSq!$BJ36)</f>
        <v>41.446254849666026</v>
      </c>
      <c r="AX38" s="73">
        <f ca="1">IF($AT38=0,0,LeastSq!$BT36)</f>
        <v>41.829668523466303</v>
      </c>
      <c r="AY38" s="73">
        <f ca="1">Transport!$G49</f>
        <v>1.518037383177578</v>
      </c>
      <c r="AZ38" s="73">
        <f t="shared" ca="1" si="1"/>
        <v>33.106569953968474</v>
      </c>
      <c r="BA38" s="73">
        <f t="shared" ca="1" si="2"/>
        <v>42.604643289566113</v>
      </c>
      <c r="BH38" s="73">
        <f>LeastSq!BB36</f>
        <v>45170</v>
      </c>
      <c r="BI38" s="73">
        <f ca="1">LeastSq!$AZ36</f>
        <v>42.604643289566113</v>
      </c>
      <c r="BJ38" s="73">
        <f ca="1">LeastSq!$BJ36</f>
        <v>41.446254849666026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44.019815059445179</v>
      </c>
      <c r="AU39" s="73">
        <f ca="1">IF(AT39=0,0,LeastSq!AP37)</f>
        <v>40.369685443139709</v>
      </c>
      <c r="AV39" s="73">
        <f ca="1">IF(AT39=0,0,LeastSq!$AZ37)</f>
        <v>42.494596678798679</v>
      </c>
      <c r="AW39" s="73">
        <f ca="1">IF(AT39=0,0,LeastSq!$BJ37)</f>
        <v>40.883502316633638</v>
      </c>
      <c r="AX39" s="73">
        <f ca="1">IF($AT39=0,0,LeastSq!$BT37)</f>
        <v>42.829411550370139</v>
      </c>
      <c r="AY39" s="73">
        <f ca="1">Transport!$G50</f>
        <v>2.7097005724350254</v>
      </c>
      <c r="AZ39" s="73">
        <f t="shared" ca="1" si="1"/>
        <v>44.019815059445179</v>
      </c>
      <c r="BA39" s="73">
        <f t="shared" ca="1" si="2"/>
        <v>44.019815059445179</v>
      </c>
      <c r="BH39" s="73">
        <f>LeastSq!BB37</f>
        <v>45200</v>
      </c>
      <c r="BI39" s="73">
        <f ca="1">LeastSq!$AZ37</f>
        <v>42.494596678798679</v>
      </c>
      <c r="BJ39" s="73">
        <f ca="1">LeastSq!$BJ37</f>
        <v>40.883502316633638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51.148529656089053</v>
      </c>
      <c r="AU40" s="73">
        <f ca="1">IF(AT40=0,0,LeastSq!AP38)</f>
        <v>39.930198878980249</v>
      </c>
      <c r="AV40" s="73">
        <f ca="1">IF(AT40=0,0,LeastSq!$AZ38)</f>
        <v>42.384834315371585</v>
      </c>
      <c r="AW40" s="73">
        <f ca="1">IF(AT40=0,0,LeastSq!$BJ38)</f>
        <v>40.328390773470737</v>
      </c>
      <c r="AX40" s="73">
        <f ca="1">IF($AT40=0,0,LeastSq!$BT38)</f>
        <v>43.853048769007344</v>
      </c>
      <c r="AY40" s="73">
        <f ca="1">Transport!$G51</f>
        <v>4.2869596278451505</v>
      </c>
      <c r="AZ40" s="73">
        <f t="shared" ca="1" si="1"/>
        <v>51.148529656089053</v>
      </c>
      <c r="BA40" s="73">
        <f t="shared" ca="1" si="2"/>
        <v>51.148529656089053</v>
      </c>
      <c r="BH40" s="73">
        <f>LeastSq!BB38</f>
        <v>45231</v>
      </c>
      <c r="BI40" s="73">
        <f ca="1">LeastSq!$AZ38</f>
        <v>42.384834315371585</v>
      </c>
      <c r="BJ40" s="73">
        <f ca="1">LeastSq!$BJ38</f>
        <v>40.328390773470737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43.884263959390864</v>
      </c>
      <c r="AU41" s="73">
        <f ca="1">IF(AT41=0,0,LeastSq!AP39)</f>
        <v>39.495496806895893</v>
      </c>
      <c r="AV41" s="73">
        <f ca="1">IF(AT41=0,0,LeastSq!$AZ39)</f>
        <v>42.275355465081851</v>
      </c>
      <c r="AW41" s="73">
        <f ca="1">IF(AT41=0,0,LeastSq!$BJ39)</f>
        <v>39.780816471686201</v>
      </c>
      <c r="AX41" s="73">
        <f ca="1">IF($AT41=0,0,LeastSq!$BT39)</f>
        <v>44.901151258528479</v>
      </c>
      <c r="AY41" s="73">
        <f ca="1">Transport!$G52</f>
        <v>4.3852876480541338</v>
      </c>
      <c r="AZ41" s="73">
        <f t="shared" ca="1" si="1"/>
        <v>43.884263959390864</v>
      </c>
      <c r="BA41" s="73">
        <f t="shared" ca="1" si="2"/>
        <v>43.884263959390864</v>
      </c>
      <c r="BH41" s="73">
        <f>LeastSq!BB39</f>
        <v>45261</v>
      </c>
      <c r="BI41" s="73">
        <f ca="1">LeastSq!$AZ39</f>
        <v>42.275355465081851</v>
      </c>
      <c r="BJ41" s="73">
        <f ca="1">LeastSq!$BJ39</f>
        <v>39.780816471686201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46.809375000000003</v>
      </c>
      <c r="AU42" s="73">
        <f ca="1">IF(AT42=0,0,LeastSq!AP40)</f>
        <v>39.065527140278554</v>
      </c>
      <c r="AV42" s="73">
        <f ca="1">IF(AT42=0,0,LeastSq!$AZ40)</f>
        <v>42.166159395622913</v>
      </c>
      <c r="AW42" s="73">
        <f ca="1">IF(AT42=0,0,LeastSq!$BJ40)</f>
        <v>39.240677071474082</v>
      </c>
      <c r="AX42" s="73">
        <f ca="1">IF($AT42=0,0,LeastSq!$BT40)</f>
        <v>45.974303747066259</v>
      </c>
      <c r="AY42" s="73">
        <f ca="1">Transport!$G53</f>
        <v>5.5291510416666725</v>
      </c>
      <c r="AZ42" s="73">
        <f t="shared" ca="1" si="1"/>
        <v>46.809375000000003</v>
      </c>
      <c r="BA42" s="73">
        <f t="shared" ca="1" si="2"/>
        <v>46.809375000000003</v>
      </c>
      <c r="BH42" s="73">
        <f>LeastSq!BB40</f>
        <v>45292</v>
      </c>
      <c r="BI42" s="73">
        <f ca="1">LeastSq!$AZ40</f>
        <v>42.166159395622913</v>
      </c>
      <c r="BJ42" s="73">
        <f ca="1">LeastSq!$BJ40</f>
        <v>39.240677071474082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34.877551020408163</v>
      </c>
      <c r="AU43" s="73">
        <f ca="1">IF(AT43=0,0,LeastSq!AP41)</f>
        <v>38.640238359563618</v>
      </c>
      <c r="AV43" s="73"/>
      <c r="AW43" s="73"/>
      <c r="AX43" s="73"/>
      <c r="AY43" s="73">
        <f ca="1">Transport!$G54</f>
        <v>12.641054707597323</v>
      </c>
      <c r="AZ43" s="73">
        <f t="shared" ca="1" si="1"/>
        <v>34.877551020408163</v>
      </c>
      <c r="BA43" s="73">
        <f t="shared" ca="1" si="2"/>
        <v>38.640238359563618</v>
      </c>
      <c r="BH43" s="73">
        <f>LeastSq!BB41</f>
        <v>45323</v>
      </c>
      <c r="BI43" s="73">
        <f ca="1">LeastSq!$AZ41</f>
        <v>42.057245376579736</v>
      </c>
      <c r="BJ43" s="73">
        <f ca="1">LeastSq!$BJ41</f>
        <v>38.70787162258668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38.530040733197559</v>
      </c>
      <c r="AU44" s="73">
        <f ca="1">IF(AT44=0,0,LeastSq!AP42)</f>
        <v>38.219579506056668</v>
      </c>
      <c r="AV44" s="587"/>
      <c r="AW44" s="73"/>
      <c r="AX44" s="73"/>
      <c r="AY44" s="73">
        <f ca="1">Transport!$G55</f>
        <v>31.747438900203672</v>
      </c>
      <c r="AZ44" s="73">
        <f t="shared" ca="1" si="1"/>
        <v>38.530040733197559</v>
      </c>
      <c r="BA44" s="73">
        <f t="shared" ca="1" si="2"/>
        <v>38.530040733197559</v>
      </c>
      <c r="BH44" s="73">
        <f>LeastSq!BB42</f>
        <v>45352</v>
      </c>
      <c r="BI44" s="73">
        <f ca="1">LeastSq!$AZ42</f>
        <v>41.948612679423938</v>
      </c>
      <c r="BJ44" s="73">
        <f ca="1">LeastSq!$BJ42</f>
        <v>38.182300545467307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-0.12309349040752426</v>
      </c>
      <c r="O45" s="275">
        <f ca="1">LeastSq!F11</f>
        <v>-0.12309349040752426</v>
      </c>
      <c r="P45" s="275">
        <f ca="1">LeastSq!G11</f>
        <v>-0.1032626142324693</v>
      </c>
      <c r="Q45" s="275">
        <f ca="1">LeastSq!H11</f>
        <v>-0.1032626142324693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-0.12309349040752426</v>
      </c>
      <c r="AI45" s="275">
        <f t="shared" ref="AI45:AI48" ca="1" si="6">+O45</f>
        <v>-0.12309349040752426</v>
      </c>
      <c r="AJ45" s="275">
        <f t="shared" ref="AJ45:AJ48" ca="1" si="7">+P45</f>
        <v>-0.1032626142324693</v>
      </c>
      <c r="AK45" s="275">
        <f t="shared" ref="AK45:AK48" ca="1" si="8">+Q45</f>
        <v>-0.1032626142324693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-3.0559100933952976E-2</v>
      </c>
      <c r="O46" s="276">
        <f ca="1">LeastSq!F12</f>
        <v>-3.0559100933952976E-2</v>
      </c>
      <c r="P46" s="276">
        <f ca="1">LeastSq!G12</f>
        <v>-5.1499394256647291E-2</v>
      </c>
      <c r="Q46" s="276">
        <f ca="1">LeastSq!H12</f>
        <v>-5.1499394256647291E-2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-3.0559100933952976E-2</v>
      </c>
      <c r="AI46" s="275">
        <f t="shared" ca="1" si="6"/>
        <v>-3.0559100933952976E-2</v>
      </c>
      <c r="AJ46" s="275">
        <f t="shared" ca="1" si="7"/>
        <v>-5.1499394256647291E-2</v>
      </c>
      <c r="AK46" s="275">
        <f t="shared" ca="1" si="8"/>
        <v>-5.1499394256647291E-2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-0.15130118192780007</v>
      </c>
      <c r="O47" s="276">
        <f ca="1">LeastSq!F13</f>
        <v>-0.15130118192780007</v>
      </c>
      <c r="P47" s="276">
        <f ca="1">LeastSq!G13</f>
        <v>-0.13046271876633242</v>
      </c>
      <c r="Q47" s="276">
        <f ca="1">LeastSq!H13</f>
        <v>-0.13046271876633242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-0.15130118192780007</v>
      </c>
      <c r="AI47" s="275">
        <f t="shared" ca="1" si="6"/>
        <v>-0.15130118192780007</v>
      </c>
      <c r="AJ47" s="275">
        <f t="shared" ca="1" si="7"/>
        <v>-0.13046271876633242</v>
      </c>
      <c r="AK47" s="275">
        <f t="shared" ca="1" si="8"/>
        <v>-0.13046271876633242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0.32767633205650593</v>
      </c>
      <c r="O48" s="276">
        <f ca="1">LeastSq!F14</f>
        <v>0.32767633205650593</v>
      </c>
      <c r="P48" s="276">
        <f ca="1">LeastSq!G14</f>
        <v>0.13760782633022606</v>
      </c>
      <c r="Q48" s="276">
        <f ca="1">LeastSq!H14</f>
        <v>0.13760782633022606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0.32767633205650593</v>
      </c>
      <c r="AI48" s="275">
        <f t="shared" ca="1" si="6"/>
        <v>0.32767633205650593</v>
      </c>
      <c r="AJ48" s="275">
        <f t="shared" ca="1" si="7"/>
        <v>0.13760782633022606</v>
      </c>
      <c r="AK48" s="275">
        <f t="shared" ca="1" si="8"/>
        <v>0.13760782633022606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9.5342041170502934E-2</v>
      </c>
      <c r="AQ51" s="120">
        <f t="shared" ref="AQ51:AQ68" si="13">AP51</f>
        <v>9.5342041170502934E-2</v>
      </c>
      <c r="AR51" s="120">
        <f t="shared" ref="AR51:AR68" si="14">AQ51</f>
        <v>9.5342041170502934E-2</v>
      </c>
      <c r="AS51" s="120">
        <f t="shared" ref="AS51:AT67" si="15">+AT27</f>
        <v>58.400846388996591</v>
      </c>
      <c r="AT51" s="120">
        <f t="shared" ca="1" si="15"/>
        <v>46.036475954432916</v>
      </c>
      <c r="AU51" s="588">
        <f ca="1">IF(AT27=0,0,LeastSq!$AZ25)</f>
        <v>43.834128227659562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8.995138093113221E-2</v>
      </c>
      <c r="AQ52" s="120">
        <f t="shared" si="13"/>
        <v>8.995138093113221E-2</v>
      </c>
      <c r="AR52" s="120">
        <f t="shared" si="14"/>
        <v>8.995138093113221E-2</v>
      </c>
      <c r="AS52" s="120">
        <f t="shared" si="15"/>
        <v>43.692323964410917</v>
      </c>
      <c r="AT52" s="120">
        <f t="shared" ca="1" si="15"/>
        <v>45.535297596931969</v>
      </c>
      <c r="AU52" s="588">
        <f ca="1">IF(AT28=0,0,LeastSq!$AZ26)</f>
        <v>43.720905891431705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0.14772562148510573</v>
      </c>
      <c r="AQ53" s="120">
        <f t="shared" si="13"/>
        <v>0.14772562148510573</v>
      </c>
      <c r="AR53" s="120">
        <f t="shared" si="14"/>
        <v>0.14772562148510573</v>
      </c>
      <c r="AS53" s="120">
        <f t="shared" si="15"/>
        <v>71.168632311625956</v>
      </c>
      <c r="AT53" s="120">
        <f t="shared" ca="1" si="15"/>
        <v>45.039575342245563</v>
      </c>
      <c r="AU53" s="588">
        <f ca="1">IF(AT29=0,0,LeastSq!$AZ27)</f>
        <v>43.607976005354892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6.7641161427237265E-2</v>
      </c>
      <c r="AQ54" s="120">
        <f t="shared" si="13"/>
        <v>6.7641161427237265E-2</v>
      </c>
      <c r="AR54" s="120">
        <f t="shared" si="14"/>
        <v>6.7641161427237265E-2</v>
      </c>
      <c r="AS54" s="120">
        <f t="shared" si="15"/>
        <v>32.49841373087169</v>
      </c>
      <c r="AT54" s="120">
        <f t="shared" ca="1" si="15"/>
        <v>44.549249792242335</v>
      </c>
      <c r="AU54" s="588">
        <f ca="1">IF(AT30=0,0,LeastSq!$AZ28)</f>
        <v>43.4953378140385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9.9453545379390773E-2</v>
      </c>
      <c r="AQ55" s="120">
        <f t="shared" si="13"/>
        <v>9.9453545379390773E-2</v>
      </c>
      <c r="AR55" s="120">
        <f t="shared" si="14"/>
        <v>9.9453545379390773E-2</v>
      </c>
      <c r="AS55" s="120">
        <f t="shared" si="15"/>
        <v>32.72631909159788</v>
      </c>
      <c r="AT55" s="120">
        <f t="shared" ca="1" si="15"/>
        <v>44.06426219543161</v>
      </c>
      <c r="AU55" s="588">
        <f ca="1">IF(AT31=0,0,LeastSq!$AZ29)</f>
        <v>43.382990564043077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0.12470271725269332</v>
      </c>
      <c r="AQ56" s="120">
        <f t="shared" si="13"/>
        <v>0.12470271725269332</v>
      </c>
      <c r="AR56" s="120">
        <f t="shared" si="14"/>
        <v>0.12470271725269332</v>
      </c>
      <c r="AS56" s="120">
        <f t="shared" si="15"/>
        <v>34.758119102387823</v>
      </c>
      <c r="AT56" s="120">
        <f t="shared" ca="1" si="15"/>
        <v>43.584554439923643</v>
      </c>
      <c r="AU56" s="588">
        <f ca="1">IF(AT32=0,0,LeastSq!$AZ30)</f>
        <v>43.270933503875227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0.18819312465064167</v>
      </c>
      <c r="AQ57" s="120">
        <f t="shared" ca="1" si="13"/>
        <v>0.18819312465064167</v>
      </c>
      <c r="AR57" s="120">
        <f t="shared" ca="1" si="14"/>
        <v>0.18819312465064167</v>
      </c>
      <c r="AS57" s="120">
        <f t="shared" ca="1" si="15"/>
        <v>34.759223029625488</v>
      </c>
      <c r="AT57" s="120">
        <f t="shared" ca="1" si="15"/>
        <v>43.110069046466649</v>
      </c>
      <c r="AU57" s="588">
        <f ca="1">IF(AT33=0,0,LeastSq!$AZ31)</f>
        <v>43.159165883982716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0.36404977061028126</v>
      </c>
      <c r="AQ58" s="120">
        <f t="shared" ca="1" si="13"/>
        <v>0.36404977061028126</v>
      </c>
      <c r="AR58" s="120">
        <f t="shared" ca="1" si="14"/>
        <v>0.36404977061028126</v>
      </c>
      <c r="AS58" s="120">
        <f t="shared" ca="1" si="15"/>
        <v>47.723898234394554</v>
      </c>
      <c r="AT58" s="120">
        <f t="shared" ca="1" si="15"/>
        <v>42.640749161559583</v>
      </c>
      <c r="AU58" s="588">
        <f ca="1">IF(AT34=0,0,LeastSq!$AZ32)</f>
        <v>43.047686956749331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0.41334855403348009</v>
      </c>
      <c r="AQ59" s="120">
        <f t="shared" ca="1" si="13"/>
        <v>0.41334855403348009</v>
      </c>
      <c r="AR59" s="120">
        <f t="shared" ca="1" si="14"/>
        <v>0.41334855403348009</v>
      </c>
      <c r="AS59" s="120">
        <f t="shared" ca="1" si="15"/>
        <v>37.06392694063927</v>
      </c>
      <c r="AT59" s="120">
        <f t="shared" ca="1" si="15"/>
        <v>42.176538550639819</v>
      </c>
      <c r="AU59" s="588">
        <f ca="1">IF(AT35=0,0,LeastSq!$AZ33)</f>
        <v>42.936495976489958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1.0120349078819788</v>
      </c>
      <c r="AQ60" s="120">
        <f t="shared" ca="1" si="13"/>
        <v>1.0120349078819788</v>
      </c>
      <c r="AR60" s="120">
        <f t="shared" ca="1" si="14"/>
        <v>1.0120349078819788</v>
      </c>
      <c r="AS60" s="120">
        <f t="shared" ca="1" si="15"/>
        <v>42.973126471810502</v>
      </c>
      <c r="AT60" s="120">
        <f t="shared" ca="1" si="15"/>
        <v>41.71738159134501</v>
      </c>
      <c r="AU60" s="588">
        <f ca="1">IF(AT36=0,0,LeastSq!$AZ34)</f>
        <v>42.825592199445559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1.4841823986674054</v>
      </c>
      <c r="AQ61" s="120">
        <f t="shared" ca="1" si="13"/>
        <v>1.4841823986674054</v>
      </c>
      <c r="AR61" s="120">
        <f t="shared" ca="1" si="14"/>
        <v>1.4841823986674054</v>
      </c>
      <c r="AS61" s="120">
        <f t="shared" ca="1" si="15"/>
        <v>41.941143808995001</v>
      </c>
      <c r="AT61" s="120">
        <f t="shared" ca="1" si="15"/>
        <v>41.26322326684847</v>
      </c>
      <c r="AU61" s="588">
        <f ca="1">IF(AT37=0,0,LeastSq!$AZ35)</f>
        <v>42.714974883778197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1.518037383177578</v>
      </c>
      <c r="AQ62" s="120">
        <f t="shared" ca="1" si="13"/>
        <v>1.518037383177578</v>
      </c>
      <c r="AR62" s="120">
        <f t="shared" ca="1" si="14"/>
        <v>1.518037383177578</v>
      </c>
      <c r="AS62" s="120">
        <f t="shared" ca="1" si="15"/>
        <v>33.106569953968474</v>
      </c>
      <c r="AT62" s="120">
        <f t="shared" ca="1" si="15"/>
        <v>40.814009159266817</v>
      </c>
      <c r="AU62" s="588">
        <f ca="1">IF(AT38=0,0,LeastSq!$AZ36)</f>
        <v>42.604643289566113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2.7097005724350254</v>
      </c>
      <c r="AQ63" s="120">
        <f t="shared" ca="1" si="13"/>
        <v>2.7097005724350254</v>
      </c>
      <c r="AR63" s="120">
        <f t="shared" ca="1" si="14"/>
        <v>2.7097005724350254</v>
      </c>
      <c r="AS63" s="120">
        <f t="shared" ca="1" si="15"/>
        <v>44.019815059445179</v>
      </c>
      <c r="AT63" s="120">
        <f t="shared" ca="1" si="15"/>
        <v>40.369685443139709</v>
      </c>
      <c r="AU63" s="588">
        <f ca="1">IF(AT39=0,0,LeastSq!$AZ37)</f>
        <v>42.494596678798679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4.2869596278451505</v>
      </c>
      <c r="AQ64" s="120">
        <f t="shared" ca="1" si="13"/>
        <v>4.2869596278451505</v>
      </c>
      <c r="AR64" s="120">
        <f t="shared" ca="1" si="14"/>
        <v>4.2869596278451505</v>
      </c>
      <c r="AS64" s="120">
        <f t="shared" ca="1" si="15"/>
        <v>51.148529656089053</v>
      </c>
      <c r="AT64" s="120">
        <f t="shared" ca="1" si="15"/>
        <v>39.930198878980249</v>
      </c>
      <c r="AU64" s="588">
        <f ca="1">IF(AT40=0,0,LeastSq!$AZ38)</f>
        <v>42.384834315371585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4.3852876480541338</v>
      </c>
      <c r="AQ65" s="120">
        <f t="shared" ca="1" si="13"/>
        <v>4.3852876480541338</v>
      </c>
      <c r="AR65" s="120">
        <f t="shared" ca="1" si="14"/>
        <v>4.3852876480541338</v>
      </c>
      <c r="AS65" s="120">
        <f t="shared" ca="1" si="15"/>
        <v>43.884263959390864</v>
      </c>
      <c r="AT65" s="120">
        <f t="shared" ca="1" si="15"/>
        <v>39.495496806895893</v>
      </c>
      <c r="AU65" s="588">
        <f ca="1">IF(AT41=0,0,LeastSq!$AZ39)</f>
        <v>42.275355465081851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5.5291510416666725</v>
      </c>
      <c r="AQ66" s="120">
        <f t="shared" ca="1" si="13"/>
        <v>5.5291510416666725</v>
      </c>
      <c r="AR66" s="120">
        <f t="shared" ca="1" si="14"/>
        <v>5.5291510416666725</v>
      </c>
      <c r="AS66" s="120">
        <f t="shared" ca="1" si="15"/>
        <v>46.809375000000003</v>
      </c>
      <c r="AT66" s="120">
        <f t="shared" ca="1" si="15"/>
        <v>39.065527140278554</v>
      </c>
      <c r="AU66" s="588">
        <f ca="1">IF(AT42=0,0,LeastSq!$AZ40)</f>
        <v>42.166159395622913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12.641054707597323</v>
      </c>
      <c r="AQ67" s="120">
        <f t="shared" ca="1" si="13"/>
        <v>12.641054707597323</v>
      </c>
      <c r="AR67" s="120">
        <f t="shared" ca="1" si="14"/>
        <v>12.641054707597323</v>
      </c>
      <c r="AS67" s="120">
        <f t="shared" ca="1" si="15"/>
        <v>34.877551020408163</v>
      </c>
      <c r="AT67" s="120">
        <f t="shared" ca="1" si="15"/>
        <v>38.640238359563618</v>
      </c>
      <c r="AU67" s="588">
        <f ca="1">IF(AT43=0,0,LeastSq!$AZ41)</f>
        <v>42.057245376579736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31.747438900203672</v>
      </c>
      <c r="AQ68" s="120">
        <f t="shared" ca="1" si="13"/>
        <v>31.747438900203672</v>
      </c>
      <c r="AR68" s="120">
        <f t="shared" ca="1" si="14"/>
        <v>31.747438900203672</v>
      </c>
      <c r="AS68" s="120">
        <f ca="1">+AT44</f>
        <v>38.530040733197559</v>
      </c>
      <c r="AT68" s="120">
        <f ca="1">+AU44</f>
        <v>38.219579506056668</v>
      </c>
      <c r="AU68" s="588">
        <f ca="1">IF(AT44=0,0,LeastSq!$AZ42)</f>
        <v>41.948612679423938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AAMG - Commercial</v>
      </c>
      <c r="B89" s="145"/>
      <c r="U89" s="142" t="str">
        <f>$A$1</f>
        <v>AAMG - Commercial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0.81263400256659879</v>
      </c>
      <c r="AQ96" s="141">
        <f>Data!AM271</f>
        <v>0.8225391026416583</v>
      </c>
      <c r="AR96" s="141">
        <f>Data!AL283</f>
        <v>0.81729032321652573</v>
      </c>
      <c r="AS96" s="141">
        <f>Data!AK283</f>
        <v>0.85947419897647237</v>
      </c>
      <c r="AT96" s="173">
        <f>Data!$U283</f>
        <v>0.85121462105141532</v>
      </c>
      <c r="AW96" t="str">
        <f t="shared" si="16"/>
        <v>2</v>
      </c>
      <c r="AX96" s="141">
        <f>Data!AO271</f>
        <v>0.81263400256659879</v>
      </c>
      <c r="AY96" s="141">
        <f>Data!AP271</f>
        <v>0.82605677321161752</v>
      </c>
      <c r="AZ96" s="141">
        <f>Data!AQ271</f>
        <v>0.85507681125844959</v>
      </c>
      <c r="BA96" s="141">
        <f>Data!AR271</f>
        <v>0.75867204467073435</v>
      </c>
      <c r="BB96" s="141">
        <f>Data!BN10</f>
        <v>0.8225391026416583</v>
      </c>
    </row>
    <row r="97" spans="41:54" x14ac:dyDescent="0.2">
      <c r="AO97" t="str">
        <f>Data!AJ284</f>
        <v>12/23</v>
      </c>
      <c r="AP97" s="141">
        <f>Data!AN272</f>
        <v>0.8827200385440388</v>
      </c>
      <c r="AQ97" s="141">
        <f>Data!AM272</f>
        <v>0.88524574736067785</v>
      </c>
      <c r="AR97" s="141">
        <f>Data!AL284</f>
        <v>0.87435376544141896</v>
      </c>
      <c r="AS97" s="141">
        <f>Data!AK284</f>
        <v>0.89995772050377121</v>
      </c>
      <c r="AT97" s="173">
        <f>Data!$U284</f>
        <v>0.91023733573595489</v>
      </c>
      <c r="AW97" t="str">
        <f t="shared" si="16"/>
        <v>12/23</v>
      </c>
      <c r="AX97" s="141">
        <f>Data!AO272</f>
        <v>0.8827200385440388</v>
      </c>
      <c r="AY97" s="141">
        <f>Data!AP272</f>
        <v>0.88091372375632016</v>
      </c>
      <c r="AZ97" s="141">
        <f>Data!AQ272</f>
        <v>0.90530965634461036</v>
      </c>
      <c r="BA97" s="141">
        <f>Data!AR272</f>
        <v>0.81045764592209191</v>
      </c>
      <c r="BB97" s="141">
        <f>Data!BN11</f>
        <v>0.88524574736067785</v>
      </c>
    </row>
    <row r="98" spans="41:54" x14ac:dyDescent="0.2">
      <c r="AO98" t="str">
        <f>Data!AJ285</f>
        <v>4</v>
      </c>
      <c r="AP98" s="141">
        <f>Data!AN273</f>
        <v>0.90487542049442293</v>
      </c>
      <c r="AQ98" s="141">
        <f>Data!AM273</f>
        <v>0.91618567270283457</v>
      </c>
      <c r="AR98" s="141">
        <f>Data!AL285</f>
        <v>0.90660061020719629</v>
      </c>
      <c r="AS98" s="141">
        <f>Data!AK285</f>
        <v>0.91875423406052503</v>
      </c>
      <c r="AT98" s="173">
        <f>Data!$U285</f>
        <v>0.93567334740051578</v>
      </c>
      <c r="AW98" t="str">
        <f t="shared" si="16"/>
        <v>4</v>
      </c>
      <c r="AX98" s="141">
        <f>Data!AO273</f>
        <v>0.90487542049442293</v>
      </c>
      <c r="AY98" s="141">
        <f>Data!AP273</f>
        <v>0.92283199969090823</v>
      </c>
      <c r="AZ98" s="141">
        <f>Data!AQ273</f>
        <v>0.93149462856642395</v>
      </c>
      <c r="BA98" s="141">
        <f>Data!AR273</f>
        <v>0.8572621300487171</v>
      </c>
      <c r="BB98" s="141">
        <f>Data!BN12</f>
        <v>0.91618567270283457</v>
      </c>
    </row>
    <row r="99" spans="41:54" x14ac:dyDescent="0.2">
      <c r="AO99" t="str">
        <f>Data!AJ286</f>
        <v>5</v>
      </c>
      <c r="AP99" s="141">
        <f>Data!AN274</f>
        <v>0.93209421312689777</v>
      </c>
      <c r="AQ99" s="141">
        <f>Data!AM274</f>
        <v>0.93844338986626585</v>
      </c>
      <c r="AR99" s="141">
        <f>Data!AL286</f>
        <v>0.95760153500233269</v>
      </c>
      <c r="AS99" s="141">
        <f>Data!AK286</f>
        <v>0.94179918731553347</v>
      </c>
      <c r="AT99" s="173">
        <f>Data!$U286</f>
        <v>0.96491593996840952</v>
      </c>
      <c r="AW99" t="str">
        <f t="shared" si="16"/>
        <v>5</v>
      </c>
      <c r="AX99" s="141">
        <f>Data!AO274</f>
        <v>0.93209421312689777</v>
      </c>
      <c r="AY99" s="141">
        <f>Data!AP274</f>
        <v>0.93997108976515797</v>
      </c>
      <c r="AZ99" s="141">
        <f>Data!AQ274</f>
        <v>0.96649362810081441</v>
      </c>
      <c r="BA99" s="141">
        <f>Data!AR274</f>
        <v>0.98466651860051424</v>
      </c>
      <c r="BB99" s="141">
        <f>Data!BN13</f>
        <v>0.93844338986626585</v>
      </c>
    </row>
    <row r="100" spans="41:54" x14ac:dyDescent="0.2">
      <c r="AO100" t="str">
        <f>Data!AJ287</f>
        <v>9/23</v>
      </c>
      <c r="AP100" s="141">
        <f>Data!AN275</f>
        <v>0.95432664747744456</v>
      </c>
      <c r="AQ100" s="141">
        <f>Data!AM275</f>
        <v>0.95414634495957895</v>
      </c>
      <c r="AR100" s="141">
        <f>Data!AL287</f>
        <v>0.970673232625337</v>
      </c>
      <c r="AS100" s="141">
        <f>Data!AK287</f>
        <v>0.95192255738947995</v>
      </c>
      <c r="AT100" s="173">
        <f>Data!$U287</f>
        <v>0.97791322960369997</v>
      </c>
      <c r="AW100" t="str">
        <f t="shared" si="16"/>
        <v>9/23</v>
      </c>
      <c r="AX100" s="141">
        <f>Data!AO275</f>
        <v>0.95432664747744456</v>
      </c>
      <c r="AY100" s="141">
        <f>Data!AP275</f>
        <v>0.95039581877532198</v>
      </c>
      <c r="AZ100" s="141">
        <f>Data!AQ275</f>
        <v>0.98034415521634022</v>
      </c>
      <c r="BA100" s="141">
        <f>Data!AR275</f>
        <v>0.99143115248450009</v>
      </c>
      <c r="BB100" s="141">
        <f>Data!BN14</f>
        <v>0.95414634495957895</v>
      </c>
    </row>
    <row r="101" spans="41:54" x14ac:dyDescent="0.2">
      <c r="AO101" t="str">
        <f>Data!AJ288</f>
        <v>7</v>
      </c>
      <c r="AP101" s="141">
        <f>Data!AN276</f>
        <v>0.96118441482885042</v>
      </c>
      <c r="AQ101" s="141">
        <f>Data!AM276</f>
        <v>0.96461221708344935</v>
      </c>
      <c r="AR101" s="141">
        <f>Data!AL288</f>
        <v>0.97702746669683405</v>
      </c>
      <c r="AS101" s="141">
        <f>Data!AK288</f>
        <v>0.95797724184092259</v>
      </c>
      <c r="AT101" s="173">
        <f>Data!$U288</f>
        <v>0.98349263112655705</v>
      </c>
      <c r="AW101" t="str">
        <f t="shared" si="16"/>
        <v>7</v>
      </c>
      <c r="AX101" s="141">
        <f>Data!AO276</f>
        <v>0.96118441482885042</v>
      </c>
      <c r="AY101" s="141">
        <f>Data!AP276</f>
        <v>0.96444314441314327</v>
      </c>
      <c r="AZ101" s="141">
        <f>Data!AQ276</f>
        <v>0.98350712740919921</v>
      </c>
      <c r="BA101" s="141">
        <f>Data!AR276</f>
        <v>0.99252216755220413</v>
      </c>
      <c r="BB101" s="141">
        <f>Data!BN15</f>
        <v>0.96461221708344935</v>
      </c>
    </row>
    <row r="102" spans="41:54" ht="61.5" customHeight="1" x14ac:dyDescent="0.2">
      <c r="AO102" t="str">
        <f>Data!AJ289</f>
        <v>8</v>
      </c>
      <c r="AP102" s="141">
        <f>Data!AN277</f>
        <v>0.97192471635438127</v>
      </c>
      <c r="AQ102" s="141">
        <f>Data!AM277</f>
        <v>0.97644923512466342</v>
      </c>
      <c r="AR102" s="141">
        <f>Data!AL289</f>
        <v>0.98435125522634026</v>
      </c>
      <c r="AS102" s="141">
        <f>Data!AK289</f>
        <v>0.96499730984607868</v>
      </c>
      <c r="AT102" s="173">
        <f>Data!$U289</f>
        <v>0.98954921207949142</v>
      </c>
      <c r="AW102" t="str">
        <f t="shared" si="16"/>
        <v>8</v>
      </c>
      <c r="AX102" s="141">
        <f>Data!AO277</f>
        <v>0.97192471635438127</v>
      </c>
      <c r="AY102" s="141">
        <f>Data!AP277</f>
        <v>0.98049001124246304</v>
      </c>
      <c r="AZ102" s="141">
        <f>Data!AQ277</f>
        <v>0.98827328424079586</v>
      </c>
      <c r="BA102" s="141">
        <f>Data!AR277</f>
        <v>0.99380762307785675</v>
      </c>
      <c r="BB102" s="141">
        <f>Data!BN16</f>
        <v>0.97644923512466342</v>
      </c>
    </row>
    <row r="103" spans="41:54" x14ac:dyDescent="0.2">
      <c r="AO103" t="str">
        <f>Data!AJ290</f>
        <v>6/23</v>
      </c>
      <c r="AP103" s="141">
        <f>Data!AN278</f>
        <v>0.9899275329423507</v>
      </c>
      <c r="AQ103" s="141">
        <f>Data!AM278</f>
        <v>0.9888472365669273</v>
      </c>
      <c r="AR103" s="141">
        <f>Data!AL290</f>
        <v>0.99141870751256733</v>
      </c>
      <c r="AS103" s="141">
        <f>Data!AK290</f>
        <v>0.96884848382347444</v>
      </c>
      <c r="AT103" s="173">
        <f>Data!$U290</f>
        <v>0.99471605067473912</v>
      </c>
      <c r="AW103" t="str">
        <f t="shared" si="16"/>
        <v>6/23</v>
      </c>
      <c r="AX103" s="141">
        <f>Data!AO278</f>
        <v>0.9899275329423507</v>
      </c>
      <c r="AY103" s="141">
        <f>Data!AP278</f>
        <v>0.98729212962701007</v>
      </c>
      <c r="AZ103" s="141">
        <f>Data!AQ278</f>
        <v>0.99153218690385314</v>
      </c>
      <c r="BA103" s="141">
        <f>Data!AR278</f>
        <v>0.99566942167459793</v>
      </c>
      <c r="BB103" s="141">
        <f>Data!BN17</f>
        <v>0.9888472365669273</v>
      </c>
    </row>
    <row r="104" spans="41:54" x14ac:dyDescent="0.2">
      <c r="AO104" t="str">
        <f>Data!AJ291</f>
        <v>10</v>
      </c>
      <c r="AP104" s="141">
        <f>Data!AN279</f>
        <v>0.99279091561247346</v>
      </c>
      <c r="AQ104" s="141">
        <f>Data!AM279</f>
        <v>0.99237227838733333</v>
      </c>
      <c r="AR104" s="141">
        <f>Data!AL291</f>
        <v>0.99532273867438126</v>
      </c>
      <c r="AS104" s="141">
        <f>Data!AK291</f>
        <v>0.97206385463862688</v>
      </c>
      <c r="AT104" s="173">
        <f>Data!$U291</f>
        <v>0.99756455714073022</v>
      </c>
      <c r="AW104" t="str">
        <f t="shared" si="16"/>
        <v>10</v>
      </c>
      <c r="AX104" s="141">
        <f>Data!AO279</f>
        <v>0.99279091561247346</v>
      </c>
      <c r="AY104" s="141">
        <f>Data!AP279</f>
        <v>0.99147625672133421</v>
      </c>
      <c r="AZ104" s="141">
        <f>Data!AQ279</f>
        <v>0.99782035348443021</v>
      </c>
      <c r="BA104" s="141">
        <f>Data!AR279</f>
        <v>0.99794806945441561</v>
      </c>
      <c r="BB104" s="141">
        <f>Data!BN18</f>
        <v>0.99237227838733333</v>
      </c>
    </row>
    <row r="105" spans="41:54" x14ac:dyDescent="0.2">
      <c r="AO105" t="str">
        <f>Data!AJ292</f>
        <v>11</v>
      </c>
      <c r="AP105" s="141">
        <f>Data!AN280</f>
        <v>0.99484576857992224</v>
      </c>
      <c r="AQ105" s="141">
        <f>Data!AM280</f>
        <v>0.99458592875873786</v>
      </c>
      <c r="AR105" s="141">
        <f>Data!AL292</f>
        <v>0.99655321095702043</v>
      </c>
      <c r="AS105" s="141">
        <f>Data!AK292</f>
        <v>0.97370073847766125</v>
      </c>
      <c r="AT105" s="173">
        <f>Data!$U292</f>
        <v>0.99856535609270136</v>
      </c>
      <c r="AW105" t="str">
        <f t="shared" si="16"/>
        <v>11</v>
      </c>
      <c r="AX105" s="141">
        <f>Data!AO280</f>
        <v>0.99484576857992224</v>
      </c>
      <c r="AY105" s="141">
        <f>Data!AP280</f>
        <v>0.99409276044079065</v>
      </c>
      <c r="AZ105" s="141">
        <f>Data!AQ280</f>
        <v>0.99830703972216595</v>
      </c>
      <c r="BA105" s="141">
        <f>Data!AR280</f>
        <v>0.99824055517747556</v>
      </c>
      <c r="BB105" s="141">
        <f>Data!BN19</f>
        <v>0.99458592875873786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0.81263400256659879</v>
      </c>
      <c r="AQ108" s="141">
        <f>1-AP108</f>
        <v>0.18736599743340121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5.0000000000000001E-3</v>
      </c>
      <c r="AQ109" s="519">
        <f>VLOOKUP(AQ108,AU109:AZ114,6)</f>
        <v>0.02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0.80763400256659879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0.8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1.02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0.75867204467073435</v>
      </c>
      <c r="AQ117" s="141">
        <f>1-AP117</f>
        <v>0.24132795532926565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5.0000000000000001E-3</v>
      </c>
      <c r="AQ118" s="519">
        <f>VLOOKUP(AQ117,AU109:AZ114,6)</f>
        <v>0.02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0.75367204467073434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0.75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1.02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AAMG - Commercial</v>
      </c>
      <c r="U180" s="142" t="str">
        <f>$A$1</f>
        <v>AAMG - Commercial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54209.01</v>
      </c>
      <c r="AQ183" s="51">
        <f>AP183</f>
        <v>54209.01</v>
      </c>
      <c r="AS183" s="41">
        <f>+Transport!C38</f>
        <v>67160.97334734608</v>
      </c>
    </row>
    <row r="184" spans="1:45" x14ac:dyDescent="0.2">
      <c r="AO184" s="150" t="str">
        <f t="shared" si="19"/>
        <v>11/22</v>
      </c>
      <c r="AP184" s="151">
        <f>Data!V142</f>
        <v>25118.140000000003</v>
      </c>
      <c r="AQ184" s="51">
        <f t="shared" ref="AQ184:AQ200" si="20">AP184</f>
        <v>25118.140000000003</v>
      </c>
      <c r="AS184" s="151">
        <f>+Transport!C39</f>
        <v>49721.864671499621</v>
      </c>
    </row>
    <row r="185" spans="1:45" x14ac:dyDescent="0.2">
      <c r="AO185" s="150" t="str">
        <f t="shared" si="19"/>
        <v>12/22</v>
      </c>
      <c r="AP185" s="151">
        <f>Data!W142</f>
        <v>90259.820000000022</v>
      </c>
      <c r="AQ185" s="51">
        <f t="shared" si="20"/>
        <v>90259.820000000022</v>
      </c>
      <c r="AS185" s="151">
        <f>+Transport!C40</f>
        <v>80847.56630600708</v>
      </c>
    </row>
    <row r="186" spans="1:45" x14ac:dyDescent="0.2">
      <c r="AO186" s="150" t="str">
        <f t="shared" si="19"/>
        <v>1/23</v>
      </c>
      <c r="AP186" s="151">
        <f>Data!X142</f>
        <v>45288.23000000001</v>
      </c>
      <c r="AQ186" s="51">
        <f t="shared" si="20"/>
        <v>45288.23000000001</v>
      </c>
      <c r="AS186" s="151">
        <f>+Transport!C41</f>
        <v>37438.172617964185</v>
      </c>
    </row>
    <row r="187" spans="1:45" x14ac:dyDescent="0.2">
      <c r="AO187" s="150" t="str">
        <f t="shared" si="19"/>
        <v>2/23</v>
      </c>
      <c r="AP187" s="151">
        <f>Data!Y142</f>
        <v>43291.640000000014</v>
      </c>
      <c r="AQ187" s="51">
        <f t="shared" si="20"/>
        <v>43291.640000000014</v>
      </c>
      <c r="AS187" s="151">
        <f>+Transport!C42</f>
        <v>38944.319719001476</v>
      </c>
    </row>
    <row r="188" spans="1:45" x14ac:dyDescent="0.2">
      <c r="AO188" s="150" t="str">
        <f t="shared" si="19"/>
        <v>3/23</v>
      </c>
      <c r="AP188" s="151">
        <f>Data!Z142</f>
        <v>48896.680000000008</v>
      </c>
      <c r="AQ188" s="51">
        <f t="shared" si="20"/>
        <v>48896.680000000008</v>
      </c>
      <c r="AS188" s="151">
        <f>+Transport!C43</f>
        <v>246921.67810336311</v>
      </c>
    </row>
    <row r="189" spans="1:45" x14ac:dyDescent="0.2">
      <c r="AO189" s="150" t="str">
        <f t="shared" si="19"/>
        <v>4/23</v>
      </c>
      <c r="AP189" s="151">
        <f>Data!AA142</f>
        <v>214940.7999999999</v>
      </c>
      <c r="AQ189" s="51">
        <f t="shared" si="20"/>
        <v>214940.7999999999</v>
      </c>
      <c r="AS189" s="151">
        <f ca="1">+Transport!C44</f>
        <v>248737</v>
      </c>
    </row>
    <row r="190" spans="1:45" ht="50.25" customHeight="1" x14ac:dyDescent="0.2">
      <c r="AO190" s="150" t="str">
        <f t="shared" si="19"/>
        <v>5/23</v>
      </c>
      <c r="AP190" s="151">
        <f>Data!AB142</f>
        <v>218768.76</v>
      </c>
      <c r="AQ190" s="51">
        <f t="shared" si="20"/>
        <v>218768.76</v>
      </c>
      <c r="AS190" s="151">
        <f ca="1">+Transport!C45</f>
        <v>343278</v>
      </c>
    </row>
    <row r="191" spans="1:45" x14ac:dyDescent="0.2">
      <c r="AO191" s="150" t="str">
        <f t="shared" si="19"/>
        <v>6/23</v>
      </c>
      <c r="AP191" s="151">
        <f>Data!AC142</f>
        <v>283943.94000000012</v>
      </c>
      <c r="AQ191" s="51">
        <f t="shared" si="20"/>
        <v>283943.94000000012</v>
      </c>
      <c r="AS191" s="151">
        <f ca="1">+Transport!C46</f>
        <v>267861</v>
      </c>
    </row>
    <row r="192" spans="1:45" x14ac:dyDescent="0.2">
      <c r="AO192" s="150" t="str">
        <f t="shared" si="19"/>
        <v>7/23</v>
      </c>
      <c r="AP192" s="151">
        <f>Data!AD142</f>
        <v>269690.23000000004</v>
      </c>
      <c r="AQ192" s="51">
        <f t="shared" si="20"/>
        <v>269690.23000000004</v>
      </c>
      <c r="AS192" s="151">
        <f ca="1">+Transport!C47</f>
        <v>310223</v>
      </c>
    </row>
    <row r="193" spans="41:45" x14ac:dyDescent="0.2">
      <c r="AO193" s="150" t="str">
        <f t="shared" si="19"/>
        <v>8/23</v>
      </c>
      <c r="AP193" s="151">
        <f>Data!AE142</f>
        <v>358027.36</v>
      </c>
      <c r="AQ193" s="51">
        <f t="shared" si="20"/>
        <v>358027.36</v>
      </c>
      <c r="AS193" s="151">
        <f ca="1">+Transport!C48</f>
        <v>302144</v>
      </c>
    </row>
    <row r="194" spans="41:45" x14ac:dyDescent="0.2">
      <c r="AO194" s="150" t="str">
        <f t="shared" si="19"/>
        <v>9/23</v>
      </c>
      <c r="AP194" s="151">
        <f>Data!AF142</f>
        <v>175880.59</v>
      </c>
      <c r="AQ194" s="51">
        <f t="shared" si="20"/>
        <v>175880.59</v>
      </c>
      <c r="AS194" s="151">
        <f ca="1">+Transport!C49</f>
        <v>237341</v>
      </c>
    </row>
    <row r="195" spans="41:45" x14ac:dyDescent="0.2">
      <c r="AO195" s="150" t="str">
        <f t="shared" si="19"/>
        <v>10/23</v>
      </c>
      <c r="AP195" s="151">
        <f>Data!AG142</f>
        <v>234488.36000000004</v>
      </c>
      <c r="AQ195" s="51">
        <f t="shared" si="20"/>
        <v>234488.36000000004</v>
      </c>
      <c r="AS195" s="151">
        <f ca="1">+Transport!C50</f>
        <v>299907</v>
      </c>
    </row>
    <row r="196" spans="41:45" x14ac:dyDescent="0.2">
      <c r="AO196" s="150" t="str">
        <f t="shared" si="19"/>
        <v>11/23</v>
      </c>
      <c r="AP196" s="151">
        <f>Data!AH142</f>
        <v>316036.46000000008</v>
      </c>
      <c r="AQ196" s="51">
        <f t="shared" si="20"/>
        <v>316036.46000000008</v>
      </c>
      <c r="AS196" s="151">
        <f ca="1">+Transport!C51</f>
        <v>307863</v>
      </c>
    </row>
    <row r="197" spans="41:45" x14ac:dyDescent="0.2">
      <c r="AO197" s="150" t="str">
        <f t="shared" si="19"/>
        <v>12/23</v>
      </c>
      <c r="AP197" s="151">
        <f>Data!AI142</f>
        <v>268020.35000000009</v>
      </c>
      <c r="AQ197" s="51">
        <f t="shared" si="20"/>
        <v>268020.35000000009</v>
      </c>
      <c r="AS197" s="151">
        <f ca="1">+Transport!C52</f>
        <v>259356</v>
      </c>
    </row>
    <row r="198" spans="41:45" x14ac:dyDescent="0.2">
      <c r="AO198" s="150" t="str">
        <f t="shared" si="19"/>
        <v>1/24</v>
      </c>
      <c r="AP198" s="151">
        <f>Data!AJ142</f>
        <v>302948.39000000007</v>
      </c>
      <c r="AQ198" s="51">
        <f t="shared" si="20"/>
        <v>302948.39000000007</v>
      </c>
      <c r="AS198" s="151">
        <f ca="1">+Transport!C53</f>
        <v>269622</v>
      </c>
    </row>
    <row r="199" spans="41:45" x14ac:dyDescent="0.2">
      <c r="AO199" s="150" t="str">
        <f t="shared" si="19"/>
        <v>2/24</v>
      </c>
      <c r="AP199" s="151">
        <f>Data!AK142</f>
        <v>322496.55999999994</v>
      </c>
      <c r="AQ199" s="51">
        <f t="shared" si="20"/>
        <v>322496.55999999994</v>
      </c>
      <c r="AS199" s="151">
        <f ca="1">+Transport!C54</f>
        <v>203371</v>
      </c>
    </row>
    <row r="200" spans="41:45" x14ac:dyDescent="0.2">
      <c r="AO200" s="150" t="str">
        <f t="shared" si="19"/>
        <v>3/24</v>
      </c>
      <c r="AP200" s="151">
        <f>Data!AL142</f>
        <v>184407.05</v>
      </c>
      <c r="AQ200" s="51">
        <f t="shared" si="20"/>
        <v>184407.05</v>
      </c>
      <c r="AS200" s="151">
        <f ca="1">+Transport!C55</f>
        <v>227019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0.94674261714058228</v>
      </c>
      <c r="AQ227" s="152">
        <f>AP227</f>
        <v>0.94674261714058228</v>
      </c>
      <c r="AU227" s="42" t="str">
        <f>+AO244</f>
        <v>3/24</v>
      </c>
      <c r="AV227" s="448">
        <f t="shared" ref="AV227:AV243" si="21">IF(ISERR(+AW227),"--",AW227)</f>
        <v>2.0521898701812109</v>
      </c>
      <c r="AW227" s="449">
        <f>+AQ244</f>
        <v>2.0521898701812109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1.1240800473283452</v>
      </c>
      <c r="AQ228" s="152">
        <f t="shared" ref="AQ228:AQ244" si="23">AP228</f>
        <v>1.1240800473283452</v>
      </c>
      <c r="AU228" s="42" t="str">
        <f>+AO243</f>
        <v>2/24</v>
      </c>
      <c r="AV228" s="448">
        <f t="shared" si="21"/>
        <v>1.5955196545352301</v>
      </c>
      <c r="AW228" s="449">
        <f>+AQ243</f>
        <v>1.5955196545352301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1.4965122908510113</v>
      </c>
      <c r="AQ229" s="152">
        <f t="shared" si="23"/>
        <v>1.4965122908510113</v>
      </c>
      <c r="AU229" s="42" t="str">
        <f>+AO242</f>
        <v>1/24</v>
      </c>
      <c r="AV229" s="448">
        <f t="shared" si="21"/>
        <v>1.6947634876026236</v>
      </c>
      <c r="AW229" s="449">
        <f>+AQ242</f>
        <v>1.6947634876026236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1.0730138934553193</v>
      </c>
      <c r="AQ230" s="152">
        <f t="shared" si="23"/>
        <v>1.0730138934553193</v>
      </c>
      <c r="AU230" s="42" t="str">
        <f>+AO241</f>
        <v>12/23</v>
      </c>
      <c r="AV230" s="448">
        <f t="shared" si="21"/>
        <v>1.7829285350907123</v>
      </c>
      <c r="AW230" s="449">
        <f>+AQ241</f>
        <v>1.7829285350907123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1.805379052399031</v>
      </c>
      <c r="AQ231" s="152">
        <f t="shared" si="23"/>
        <v>1.805379052399031</v>
      </c>
      <c r="AU231" s="42" t="str">
        <f>+AO240</f>
        <v>11/23</v>
      </c>
      <c r="AV231" s="448">
        <f t="shared" si="21"/>
        <v>1.5293566761252804</v>
      </c>
      <c r="AW231" s="449">
        <f>+AQ240</f>
        <v>1.5293566761252804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0.58717013097821769</v>
      </c>
      <c r="AQ232" s="152">
        <f t="shared" si="23"/>
        <v>0.58717013097821769</v>
      </c>
      <c r="AU232" s="42" t="str">
        <f>+AO239</f>
        <v>10/23</v>
      </c>
      <c r="AV232" s="448">
        <f t="shared" si="21"/>
        <v>1.6687366912370403</v>
      </c>
      <c r="AW232" s="449">
        <f>+AQ239</f>
        <v>1.6687366912370403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0.90987304411261161</v>
      </c>
      <c r="AQ233" s="152">
        <f t="shared" si="23"/>
        <v>0.90987304411261161</v>
      </c>
      <c r="AU233" s="42" t="str">
        <f>+AO238</f>
        <v>9/23</v>
      </c>
      <c r="AV233" s="448">
        <f t="shared" si="21"/>
        <v>1.496488100250289</v>
      </c>
      <c r="AW233" s="449">
        <f>+AQ238</f>
        <v>1.496488100250289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1.4823841850180073</v>
      </c>
      <c r="AQ234" s="152">
        <f t="shared" si="23"/>
        <v>1.4823841850180073</v>
      </c>
      <c r="AU234" s="42" t="str">
        <f>+AO237</f>
        <v>8/23</v>
      </c>
      <c r="AV234" s="448">
        <f t="shared" si="21"/>
        <v>1.120204612295552</v>
      </c>
      <c r="AW234" s="449">
        <f>+AQ237</f>
        <v>1.120204612295552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1.0818535870143946</v>
      </c>
      <c r="AQ235" s="152">
        <f t="shared" si="23"/>
        <v>1.0818535870143946</v>
      </c>
      <c r="AU235" s="42" t="str">
        <f>+AO236</f>
        <v>7/23</v>
      </c>
      <c r="AV235" s="448">
        <f t="shared" si="21"/>
        <v>1.2356222173862206</v>
      </c>
      <c r="AW235" s="449">
        <f>+AQ236</f>
        <v>1.2356222173862206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1.2356222173862206</v>
      </c>
      <c r="AQ236" s="152">
        <f t="shared" si="23"/>
        <v>1.2356222173862206</v>
      </c>
      <c r="AU236" s="42" t="str">
        <f>+AO235</f>
        <v>6/23</v>
      </c>
      <c r="AV236" s="448">
        <f t="shared" si="21"/>
        <v>1.0818535870143946</v>
      </c>
      <c r="AW236" s="449">
        <f>+AQ235</f>
        <v>1.0818535870143946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1.120204612295552</v>
      </c>
      <c r="AQ237" s="152">
        <f t="shared" si="23"/>
        <v>1.120204612295552</v>
      </c>
      <c r="AU237" s="42" t="str">
        <f>+AO234</f>
        <v>5/23</v>
      </c>
      <c r="AV237" s="448">
        <f t="shared" si="21"/>
        <v>1.4823841850180073</v>
      </c>
      <c r="AW237" s="449">
        <f>+AQ234</f>
        <v>1.4823841850180073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1.496488100250289</v>
      </c>
      <c r="AQ238" s="152">
        <f t="shared" si="23"/>
        <v>1.496488100250289</v>
      </c>
      <c r="AU238" s="42" t="str">
        <f>+AO233</f>
        <v>4/23</v>
      </c>
      <c r="AV238" s="448">
        <f t="shared" si="21"/>
        <v>0.90987304411261161</v>
      </c>
      <c r="AW238" s="449">
        <f>+AQ233</f>
        <v>0.90987304411261161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1.6687366912370403</v>
      </c>
      <c r="AQ239" s="152">
        <f t="shared" si="23"/>
        <v>1.6687366912370403</v>
      </c>
      <c r="AU239" s="42" t="str">
        <f>+AO232</f>
        <v>3/23</v>
      </c>
      <c r="AV239" s="448">
        <f t="shared" si="21"/>
        <v>0.58717013097821769</v>
      </c>
      <c r="AW239" s="449">
        <f>+AQ232</f>
        <v>0.58717013097821769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1.5293566761252804</v>
      </c>
      <c r="AQ240" s="152">
        <f t="shared" si="23"/>
        <v>1.5293566761252804</v>
      </c>
      <c r="AU240" s="42" t="str">
        <f>+AO231</f>
        <v>2/23</v>
      </c>
      <c r="AV240" s="448">
        <f t="shared" si="21"/>
        <v>1.805379052399031</v>
      </c>
      <c r="AW240" s="449">
        <f>+AQ231</f>
        <v>1.805379052399031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1.7829285350907123</v>
      </c>
      <c r="AQ241" s="152">
        <f t="shared" si="23"/>
        <v>1.7829285350907123</v>
      </c>
      <c r="AU241" s="42" t="str">
        <f>+AO230</f>
        <v>1/23</v>
      </c>
      <c r="AV241" s="448">
        <f t="shared" si="21"/>
        <v>1.0730138934553193</v>
      </c>
      <c r="AW241" s="449">
        <f>+AQ230</f>
        <v>1.0730138934553193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1.6947634876026236</v>
      </c>
      <c r="AQ242" s="152">
        <f t="shared" si="23"/>
        <v>1.6947634876026236</v>
      </c>
      <c r="AU242" s="42" t="str">
        <f>+AO229</f>
        <v>12/22</v>
      </c>
      <c r="AV242" s="448">
        <f t="shared" si="21"/>
        <v>1.4965122908510113</v>
      </c>
      <c r="AW242" s="449">
        <f>+AQ229</f>
        <v>1.4965122908510113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1.5955196545352301</v>
      </c>
      <c r="AQ243" s="152">
        <f t="shared" si="23"/>
        <v>1.5955196545352301</v>
      </c>
      <c r="AU243" s="42" t="str">
        <f>+AO228</f>
        <v>11/22</v>
      </c>
      <c r="AV243" s="448">
        <f t="shared" si="21"/>
        <v>1.1240800473283452</v>
      </c>
      <c r="AW243" s="449">
        <f>+AQ228</f>
        <v>1.1240800473283452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2.0521898701812109</v>
      </c>
      <c r="AQ244" s="152">
        <f t="shared" si="23"/>
        <v>2.0521898701812109</v>
      </c>
      <c r="AU244" s="42" t="str">
        <f>+AO227</f>
        <v>10/22</v>
      </c>
      <c r="AV244" s="448">
        <f>IF(ISERR(+AW244),"--",AW244)</f>
        <v>0.94674261714058228</v>
      </c>
      <c r="AW244" s="449">
        <f>+AQ227</f>
        <v>0.94674261714058228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AAMG - Commercial</v>
      </c>
      <c r="U268" s="142" t="str">
        <f>$A$1</f>
        <v>AAMG - Commercial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837</v>
      </c>
    </row>
    <row r="273" spans="41:42" x14ac:dyDescent="0.2">
      <c r="AO273" s="153" t="str">
        <f t="shared" si="24"/>
        <v>5/21</v>
      </c>
      <c r="AP273" s="154">
        <f>Transport!B21</f>
        <v>2326</v>
      </c>
    </row>
    <row r="274" spans="41:42" x14ac:dyDescent="0.2">
      <c r="AO274" s="153" t="str">
        <f t="shared" si="24"/>
        <v>6/21</v>
      </c>
      <c r="AP274" s="154">
        <f>Transport!B22</f>
        <v>1228</v>
      </c>
    </row>
    <row r="275" spans="41:42" x14ac:dyDescent="0.2">
      <c r="AO275" s="153" t="str">
        <f t="shared" si="24"/>
        <v>7/21</v>
      </c>
      <c r="AP275" s="154">
        <f>Transport!B23</f>
        <v>1189</v>
      </c>
    </row>
    <row r="276" spans="41:42" x14ac:dyDescent="0.2">
      <c r="AO276" s="153" t="str">
        <f t="shared" si="24"/>
        <v>8/21</v>
      </c>
      <c r="AP276" s="154">
        <f>Transport!B24</f>
        <v>1147</v>
      </c>
    </row>
    <row r="277" spans="41:42" ht="59.25" customHeight="1" x14ac:dyDescent="0.2">
      <c r="AO277" s="153" t="str">
        <f t="shared" si="24"/>
        <v>9/21</v>
      </c>
      <c r="AP277" s="154">
        <f>Transport!B25</f>
        <v>1124</v>
      </c>
    </row>
    <row r="278" spans="41:42" x14ac:dyDescent="0.2">
      <c r="AO278" s="153" t="str">
        <f t="shared" si="24"/>
        <v>10/21</v>
      </c>
      <c r="AP278" s="154">
        <f>Transport!B26</f>
        <v>1107</v>
      </c>
    </row>
    <row r="279" spans="41:42" x14ac:dyDescent="0.2">
      <c r="AO279" s="153" t="str">
        <f t="shared" si="24"/>
        <v>11/21</v>
      </c>
      <c r="AP279" s="154">
        <f>Transport!B27</f>
        <v>1094</v>
      </c>
    </row>
    <row r="280" spans="41:42" x14ac:dyDescent="0.2">
      <c r="AO280" s="153" t="str">
        <f t="shared" si="24"/>
        <v>12/21</v>
      </c>
      <c r="AP280" s="154">
        <f>Transport!B28</f>
        <v>1112</v>
      </c>
    </row>
    <row r="281" spans="41:42" x14ac:dyDescent="0.2">
      <c r="AO281" s="153" t="str">
        <f t="shared" si="24"/>
        <v>1/22</v>
      </c>
      <c r="AP281" s="154">
        <f>Transport!B29</f>
        <v>1112</v>
      </c>
    </row>
    <row r="282" spans="41:42" x14ac:dyDescent="0.2">
      <c r="AO282" s="153" t="str">
        <f t="shared" si="24"/>
        <v>2/22</v>
      </c>
      <c r="AP282" s="154">
        <f>Transport!B30</f>
        <v>1105</v>
      </c>
    </row>
    <row r="283" spans="41:42" x14ac:dyDescent="0.2">
      <c r="AO283" s="153" t="str">
        <f t="shared" si="24"/>
        <v>3/22</v>
      </c>
      <c r="AP283" s="154">
        <f>Transport!B31</f>
        <v>1114</v>
      </c>
    </row>
    <row r="284" spans="41:42" x14ac:dyDescent="0.2">
      <c r="AO284" s="153" t="str">
        <f t="shared" si="24"/>
        <v>4/22</v>
      </c>
      <c r="AP284" s="154">
        <f>Transport!B32</f>
        <v>1107</v>
      </c>
    </row>
    <row r="285" spans="41:42" x14ac:dyDescent="0.2">
      <c r="AO285" s="153" t="str">
        <f t="shared" si="24"/>
        <v>5/22</v>
      </c>
      <c r="AP285" s="154">
        <f>Transport!B33</f>
        <v>1106</v>
      </c>
    </row>
    <row r="286" spans="41:42" x14ac:dyDescent="0.2">
      <c r="AO286" s="153" t="str">
        <f t="shared" si="24"/>
        <v>6/22</v>
      </c>
      <c r="AP286" s="154">
        <f>Transport!B34</f>
        <v>1102</v>
      </c>
    </row>
    <row r="287" spans="41:42" x14ac:dyDescent="0.2">
      <c r="AO287" s="153" t="str">
        <f t="shared" si="24"/>
        <v>7/22</v>
      </c>
      <c r="AP287" s="154">
        <f>Transport!B35</f>
        <v>1108</v>
      </c>
    </row>
    <row r="288" spans="41:42" x14ac:dyDescent="0.2">
      <c r="AO288" s="153" t="str">
        <f t="shared" si="24"/>
        <v>8/22</v>
      </c>
      <c r="AP288" s="154">
        <f>Transport!B36</f>
        <v>1103</v>
      </c>
    </row>
    <row r="289" spans="41:42" x14ac:dyDescent="0.2">
      <c r="AO289" s="153" t="str">
        <f t="shared" si="24"/>
        <v>9/22</v>
      </c>
      <c r="AP289" s="154">
        <f>Transport!B37</f>
        <v>1145</v>
      </c>
    </row>
    <row r="290" spans="41:42" x14ac:dyDescent="0.2">
      <c r="AO290" s="153" t="str">
        <f t="shared" si="24"/>
        <v>10/22</v>
      </c>
      <c r="AP290" s="154">
        <f>Transport!B38</f>
        <v>1150</v>
      </c>
    </row>
    <row r="291" spans="41:42" x14ac:dyDescent="0.2">
      <c r="AO291" s="153" t="str">
        <f t="shared" si="24"/>
        <v>11/22</v>
      </c>
      <c r="AP291" s="154">
        <f>Transport!B39</f>
        <v>1138</v>
      </c>
    </row>
    <row r="292" spans="41:42" x14ac:dyDescent="0.2">
      <c r="AO292" s="153" t="str">
        <f t="shared" si="24"/>
        <v>12/22</v>
      </c>
      <c r="AP292" s="154">
        <f>Transport!B40</f>
        <v>1136</v>
      </c>
    </row>
    <row r="293" spans="41:42" x14ac:dyDescent="0.2">
      <c r="AO293" s="153" t="str">
        <f t="shared" si="24"/>
        <v>1/23</v>
      </c>
      <c r="AP293" s="154">
        <f>Transport!B41</f>
        <v>1152</v>
      </c>
    </row>
    <row r="294" spans="41:42" x14ac:dyDescent="0.2">
      <c r="AO294" s="153" t="str">
        <f t="shared" si="24"/>
        <v>2/23</v>
      </c>
      <c r="AP294" s="154">
        <f>Transport!B42</f>
        <v>1190</v>
      </c>
    </row>
    <row r="295" spans="41:42" x14ac:dyDescent="0.2">
      <c r="AO295" s="153" t="str">
        <f t="shared" si="24"/>
        <v>3/23</v>
      </c>
      <c r="AP295" s="154">
        <f>Transport!B43</f>
        <v>7104</v>
      </c>
    </row>
    <row r="296" spans="41:42" x14ac:dyDescent="0.2">
      <c r="AO296" s="153" t="str">
        <f t="shared" si="24"/>
        <v>4/23</v>
      </c>
      <c r="AP296" s="154">
        <f>Transport!B44</f>
        <v>7156</v>
      </c>
    </row>
    <row r="297" spans="41:42" x14ac:dyDescent="0.2">
      <c r="AO297" s="153" t="str">
        <f t="shared" si="24"/>
        <v>5/23</v>
      </c>
      <c r="AP297" s="154">
        <f>Transport!B45</f>
        <v>7193</v>
      </c>
    </row>
    <row r="298" spans="41:42" x14ac:dyDescent="0.2">
      <c r="AO298" s="153" t="str">
        <f t="shared" si="24"/>
        <v>6/23</v>
      </c>
      <c r="AP298" s="154">
        <f>Transport!B46</f>
        <v>7227</v>
      </c>
    </row>
    <row r="299" spans="41:42" x14ac:dyDescent="0.2">
      <c r="AO299" s="153" t="str">
        <f t="shared" si="24"/>
        <v>7/23</v>
      </c>
      <c r="AP299" s="154">
        <f>Transport!B47</f>
        <v>7219</v>
      </c>
    </row>
    <row r="300" spans="41:42" x14ac:dyDescent="0.2">
      <c r="AO300" s="153" t="str">
        <f t="shared" si="24"/>
        <v>8/23</v>
      </c>
      <c r="AP300" s="154">
        <f>Transport!B48</f>
        <v>7204</v>
      </c>
    </row>
    <row r="301" spans="41:42" x14ac:dyDescent="0.2">
      <c r="AO301" s="153" t="str">
        <f t="shared" si="24"/>
        <v>9/23</v>
      </c>
      <c r="AP301" s="154">
        <f>Transport!B49</f>
        <v>7169</v>
      </c>
    </row>
    <row r="302" spans="41:42" x14ac:dyDescent="0.2">
      <c r="AO302" s="153" t="str">
        <f t="shared" si="24"/>
        <v>10/23</v>
      </c>
      <c r="AP302" s="154">
        <f>Transport!B50</f>
        <v>6813</v>
      </c>
    </row>
    <row r="303" spans="41:42" x14ac:dyDescent="0.2">
      <c r="AO303" s="153" t="str">
        <f t="shared" si="24"/>
        <v>11/23</v>
      </c>
      <c r="AP303" s="154">
        <f>Transport!B51</f>
        <v>6019</v>
      </c>
    </row>
    <row r="304" spans="41:42" x14ac:dyDescent="0.2">
      <c r="AO304" s="153" t="str">
        <f t="shared" si="24"/>
        <v>12/23</v>
      </c>
      <c r="AP304" s="154">
        <f>Transport!B52</f>
        <v>5910</v>
      </c>
    </row>
    <row r="305" spans="41:45" x14ac:dyDescent="0.2">
      <c r="AO305" s="153" t="str">
        <f t="shared" si="24"/>
        <v>1/24</v>
      </c>
      <c r="AP305" s="154">
        <f>Transport!B53</f>
        <v>5760</v>
      </c>
    </row>
    <row r="306" spans="41:45" x14ac:dyDescent="0.2">
      <c r="AO306" s="153" t="str">
        <f t="shared" si="24"/>
        <v>2/24</v>
      </c>
      <c r="AP306" s="154">
        <f>Transport!B54</f>
        <v>5831</v>
      </c>
    </row>
    <row r="307" spans="41:45" x14ac:dyDescent="0.2">
      <c r="AO307" s="153" t="str">
        <f t="shared" si="24"/>
        <v>3/24</v>
      </c>
      <c r="AP307" s="154">
        <f>Transport!B55</f>
        <v>5892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AAMG - Commercial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-0.12309349040752426</v>
      </c>
      <c r="M52" s="278">
        <f ca="1">Charts!$O$45</f>
        <v>-0.12309349040752426</v>
      </c>
      <c r="N52" s="560"/>
      <c r="O52" s="278">
        <f ca="1">LeastSq!$G$11</f>
        <v>-0.1032626142324693</v>
      </c>
      <c r="P52" s="278">
        <f ca="1">LeastSq!$H$11</f>
        <v>-0.1032626142324693</v>
      </c>
      <c r="T52" s="7" t="s">
        <v>616</v>
      </c>
      <c r="U52" s="147">
        <f ca="1">Trends!G30</f>
        <v>-9.9238432224160719E-2</v>
      </c>
      <c r="V52" s="147">
        <f ca="1">Trends!Y30</f>
        <v>-9.9238432224160719E-2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-3.0559100933952976E-2</v>
      </c>
      <c r="M53" s="279">
        <f ca="1">Charts!$O$46</f>
        <v>-3.0559100933952976E-2</v>
      </c>
      <c r="N53" s="453"/>
      <c r="O53" s="279">
        <f ca="1">LeastSq!$G$12</f>
        <v>-5.1499394256647291E-2</v>
      </c>
      <c r="P53" s="279">
        <f ca="1">LeastSq!$H$12</f>
        <v>-5.1499394256647291E-2</v>
      </c>
      <c r="T53" s="10" t="s">
        <v>617</v>
      </c>
      <c r="U53" s="148">
        <f ca="1">Trends!F30</f>
        <v>-0.10416904566584595</v>
      </c>
      <c r="V53" s="148">
        <f ca="1">Trends!X30</f>
        <v>-0.10416904566584595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-0.15130118192780007</v>
      </c>
      <c r="M54" s="279">
        <f ca="1">Charts!$O$47</f>
        <v>-0.15130118192780007</v>
      </c>
      <c r="N54" s="453"/>
      <c r="O54" s="279">
        <f ca="1">LeastSq!$G$13</f>
        <v>-0.13046271876633242</v>
      </c>
      <c r="P54" s="279">
        <f ca="1">LeastSq!$H$13</f>
        <v>-0.13046271876633242</v>
      </c>
      <c r="T54" s="10" t="s">
        <v>234</v>
      </c>
      <c r="U54" s="148">
        <f ca="1">Trends!E30</f>
        <v>-0.10411139636847259</v>
      </c>
      <c r="V54" s="148">
        <f ca="1">Trends!W30</f>
        <v>-0.10411139636847259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0.32767633205650593</v>
      </c>
      <c r="M55" s="279">
        <f ca="1">Charts!$O$48</f>
        <v>0.32767633205650593</v>
      </c>
      <c r="N55" s="453"/>
      <c r="O55" s="279">
        <f ca="1">LeastSq!$G$14</f>
        <v>0.13760782633022606</v>
      </c>
      <c r="P55" s="279">
        <f ca="1">LeastSq!$H$14</f>
        <v>0.13760782633022606</v>
      </c>
    </row>
    <row r="56" spans="1:22" ht="15.75" x14ac:dyDescent="0.25">
      <c r="A56" s="303" t="str">
        <f>Data!$C$1</f>
        <v>AAMG - Commercial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-0.12309349040752426</v>
      </c>
      <c r="M107" s="278">
        <f ca="1">Charts!$O$45</f>
        <v>-0.12309349040752426</v>
      </c>
      <c r="N107" s="560"/>
      <c r="O107" s="278">
        <f ca="1">LeastSq!$G$11</f>
        <v>-0.1032626142324693</v>
      </c>
      <c r="P107" s="278">
        <f ca="1">LeastSq!$H$11</f>
        <v>-0.1032626142324693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-3.0559100933952976E-2</v>
      </c>
      <c r="M108" s="279">
        <f ca="1">Charts!$O$46</f>
        <v>-3.0559100933952976E-2</v>
      </c>
      <c r="N108" s="453"/>
      <c r="O108" s="279">
        <f ca="1">LeastSq!$G$12</f>
        <v>-5.1499394256647291E-2</v>
      </c>
      <c r="P108" s="279">
        <f ca="1">LeastSq!$H$12</f>
        <v>-5.1499394256647291E-2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-0.15130118192780007</v>
      </c>
      <c r="M109" s="279">
        <f ca="1">Charts!$O$47</f>
        <v>-0.15130118192780007</v>
      </c>
      <c r="N109" s="453"/>
      <c r="O109" s="279">
        <f ca="1">LeastSq!$G$13</f>
        <v>-0.13046271876633242</v>
      </c>
      <c r="P109" s="279">
        <f ca="1">LeastSq!$H$13</f>
        <v>-0.13046271876633242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0.32767633205650593</v>
      </c>
      <c r="M110" s="279">
        <f ca="1">Charts!$O$48</f>
        <v>0.32767633205650593</v>
      </c>
      <c r="N110" s="453"/>
      <c r="O110" s="279">
        <f ca="1">LeastSq!$G$14</f>
        <v>0.13760782633022606</v>
      </c>
      <c r="P110" s="279">
        <f ca="1">LeastSq!$H$14</f>
        <v>0.13760782633022606</v>
      </c>
    </row>
    <row r="111" spans="1:17" ht="15.75" x14ac:dyDescent="0.25">
      <c r="A111" s="303" t="str">
        <f>Data!$C$1</f>
        <v>AAMG - Commercial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-0.12309349040752426</v>
      </c>
      <c r="M161" s="278">
        <f ca="1">Charts!$O$45</f>
        <v>-0.12309349040752426</v>
      </c>
      <c r="N161" s="560"/>
      <c r="O161" s="278">
        <f ca="1">LeastSq!$G$11</f>
        <v>-0.1032626142324693</v>
      </c>
      <c r="P161" s="278">
        <f ca="1">LeastSq!$H$11</f>
        <v>-0.1032626142324693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-3.0559100933952976E-2</v>
      </c>
      <c r="M162" s="279">
        <f ca="1">Charts!$O$46</f>
        <v>-3.0559100933952976E-2</v>
      </c>
      <c r="N162" s="453"/>
      <c r="O162" s="279">
        <f ca="1">LeastSq!$G$12</f>
        <v>-5.1499394256647291E-2</v>
      </c>
      <c r="P162" s="279">
        <f ca="1">LeastSq!$H$12</f>
        <v>-5.1499394256647291E-2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-0.15130118192780007</v>
      </c>
      <c r="M163" s="279">
        <f ca="1">Charts!$O$47</f>
        <v>-0.15130118192780007</v>
      </c>
      <c r="N163" s="453"/>
      <c r="O163" s="279">
        <f ca="1">LeastSq!$G$13</f>
        <v>-0.13046271876633242</v>
      </c>
      <c r="P163" s="279">
        <f ca="1">LeastSq!$H$13</f>
        <v>-0.13046271876633242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0.32767633205650593</v>
      </c>
      <c r="M164" s="279">
        <f ca="1">Charts!$O$48</f>
        <v>0.32767633205650593</v>
      </c>
      <c r="N164" s="453"/>
      <c r="O164" s="279">
        <f ca="1">LeastSq!$G$14</f>
        <v>0.13760782633022606</v>
      </c>
      <c r="P164" s="279">
        <f ca="1">LeastSq!$H$14</f>
        <v>0.13760782633022606</v>
      </c>
    </row>
    <row r="166" spans="1:16" ht="15.75" x14ac:dyDescent="0.25">
      <c r="A166" s="303" t="str">
        <f>Data!$C$1</f>
        <v>AAMG - Commercial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-0.12309349040752426</v>
      </c>
      <c r="M217" s="278">
        <f ca="1">Charts!$O$45</f>
        <v>-0.12309349040752426</v>
      </c>
      <c r="N217" s="560"/>
      <c r="O217" s="278">
        <f ca="1">LeastSq!$G$11</f>
        <v>-0.1032626142324693</v>
      </c>
      <c r="P217" s="278">
        <f ca="1">LeastSq!$H$11</f>
        <v>-0.1032626142324693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-3.0559100933952976E-2</v>
      </c>
      <c r="M218" s="279">
        <f ca="1">Charts!$O$46</f>
        <v>-3.0559100933952976E-2</v>
      </c>
      <c r="N218" s="453"/>
      <c r="O218" s="279">
        <f ca="1">LeastSq!$G$12</f>
        <v>-5.1499394256647291E-2</v>
      </c>
      <c r="P218" s="279">
        <f ca="1">LeastSq!$H$12</f>
        <v>-5.1499394256647291E-2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-0.15130118192780007</v>
      </c>
      <c r="M219" s="279">
        <f ca="1">Charts!$O$47</f>
        <v>-0.15130118192780007</v>
      </c>
      <c r="N219" s="453"/>
      <c r="O219" s="279">
        <f ca="1">LeastSq!$G$13</f>
        <v>-0.13046271876633242</v>
      </c>
      <c r="P219" s="279">
        <f ca="1">LeastSq!$H$13</f>
        <v>-0.13046271876633242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0.32767633205650593</v>
      </c>
      <c r="M220" s="279">
        <f ca="1">Charts!$O$48</f>
        <v>0.32767633205650593</v>
      </c>
      <c r="N220" s="453"/>
      <c r="O220" s="279">
        <f ca="1">LeastSq!$G$14</f>
        <v>0.13760782633022606</v>
      </c>
      <c r="P220" s="279">
        <f ca="1">LeastSq!$H$14</f>
        <v>0.13760782633022606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AAMG - Commercial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400197.16773511516</v>
      </c>
      <c r="D10" s="469"/>
      <c r="E10" s="470">
        <f t="shared" ref="E10:E18" ca="1" si="1">SUM(B10:C10)</f>
        <v>400197.16773511516</v>
      </c>
      <c r="F10" s="7"/>
      <c r="G10" s="452">
        <f ca="1">Final!L117</f>
        <v>1.7151013171279141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144443.96000000002</v>
      </c>
      <c r="C11" s="53">
        <f ca="1">Final!C118</f>
        <v>213141.25773511513</v>
      </c>
      <c r="D11" s="30"/>
      <c r="E11" s="53">
        <f t="shared" ca="1" si="1"/>
        <v>357585.21773511515</v>
      </c>
      <c r="F11" s="453"/>
      <c r="G11" s="454">
        <f ca="1">Final!L118</f>
        <v>1.464814798962442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337279.50999999995</v>
      </c>
      <c r="C12" s="53">
        <f ca="1">Final!C119</f>
        <v>139431.26773511514</v>
      </c>
      <c r="D12" s="35"/>
      <c r="E12" s="53">
        <f t="shared" ca="1" si="1"/>
        <v>476710.77773511509</v>
      </c>
      <c r="F12" s="453"/>
      <c r="G12" s="454">
        <f ca="1">Final!L119</f>
        <v>1.70896542258965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402453.81000000006</v>
      </c>
      <c r="C13" s="53">
        <f ca="1">Final!C120</f>
        <v>107583.3577351151</v>
      </c>
      <c r="D13" s="35"/>
      <c r="E13" s="53">
        <f t="shared" ca="1" si="1"/>
        <v>510037.16773511516</v>
      </c>
      <c r="F13" s="453"/>
      <c r="G13" s="454">
        <f ca="1">Final!L120</f>
        <v>1.7645780465645655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437035.21000000008</v>
      </c>
      <c r="C14" s="53">
        <f ca="1">Final!C121</f>
        <v>81666.307735115173</v>
      </c>
      <c r="D14" s="35"/>
      <c r="E14" s="53">
        <f t="shared" ca="1" si="1"/>
        <v>518701.51773511525</v>
      </c>
      <c r="F14" s="453"/>
      <c r="G14" s="454">
        <f ca="1">Final!L121</f>
        <v>1.8413019747765036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471011.88000000024</v>
      </c>
      <c r="C15" s="53">
        <f ca="1">Final!C122</f>
        <v>55863.097735115211</v>
      </c>
      <c r="D15" s="35"/>
      <c r="E15" s="53">
        <f t="shared" ca="1" si="1"/>
        <v>526874.97773511545</v>
      </c>
      <c r="F15" s="453"/>
      <c r="G15" s="454">
        <f ca="1">Final!L122</f>
        <v>1.8830593253275543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424054.42999999993</v>
      </c>
      <c r="C16" s="53">
        <f ca="1">Final!C123</f>
        <v>37401.907735115383</v>
      </c>
      <c r="D16" s="35"/>
      <c r="E16" s="53">
        <f t="shared" ca="1" si="1"/>
        <v>461456.33773511532</v>
      </c>
      <c r="F16" s="453"/>
      <c r="G16" s="454">
        <f ca="1">Final!L123</f>
        <v>1.6292291154200571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373476.83000000031</v>
      </c>
      <c r="C17" s="53">
        <f ca="1">Final!C124</f>
        <v>26519.097735115327</v>
      </c>
      <c r="D17" s="30"/>
      <c r="E17" s="53">
        <f t="shared" ca="1" si="1"/>
        <v>399995.92773511563</v>
      </c>
      <c r="F17" s="453"/>
      <c r="G17" s="454">
        <f ca="1">Final!L124</f>
        <v>1.3632692702406046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440052.23999999993</v>
      </c>
      <c r="C18" s="53">
        <f ca="1">Final!C125</f>
        <v>15827.047735115339</v>
      </c>
      <c r="D18" s="35"/>
      <c r="E18" s="53">
        <f t="shared" ca="1" si="1"/>
        <v>455879.28773511527</v>
      </c>
      <c r="F18" s="453"/>
      <c r="G18" s="454">
        <f ca="1">Final!L125</f>
        <v>1.4843653886369805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406825.34999999992</v>
      </c>
      <c r="C19" s="53">
        <f ca="1">Final!C126</f>
        <v>8521.1677351153339</v>
      </c>
      <c r="D19" s="35"/>
      <c r="E19" s="53">
        <f t="shared" ref="E19:E24" ca="1" si="2">SUM(B19:C19)</f>
        <v>415346.51773511525</v>
      </c>
      <c r="F19" s="453"/>
      <c r="G19" s="454">
        <f ca="1">Final!L126</f>
        <v>1.4490921402683012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425895.56000000029</v>
      </c>
      <c r="C20" s="53">
        <f ca="1">Final!C127</f>
        <v>5533.8977351153735</v>
      </c>
      <c r="D20" s="35"/>
      <c r="E20" s="53">
        <f t="shared" ca="1" si="2"/>
        <v>431429.45773511566</v>
      </c>
      <c r="F20" s="453"/>
      <c r="G20" s="454">
        <f ca="1">Final!L127</f>
        <v>1.5427724248884027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304004.92999999982</v>
      </c>
      <c r="C21" s="53">
        <f ca="1">Final!C128</f>
        <v>2915.2877351156203</v>
      </c>
      <c r="D21" s="35"/>
      <c r="E21" s="53">
        <f t="shared" ca="1" si="2"/>
        <v>306920.21773511544</v>
      </c>
      <c r="F21" s="453"/>
      <c r="G21" s="454">
        <f ca="1">Final!L128</f>
        <v>1.7223260194124324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271555.43999999959</v>
      </c>
      <c r="C22" s="53">
        <f ca="1">Final!C129</f>
        <v>1568.5777351156285</v>
      </c>
      <c r="D22" s="35"/>
      <c r="E22" s="53">
        <f t="shared" ca="1" si="2"/>
        <v>273124.01773511525</v>
      </c>
      <c r="F22" s="453"/>
      <c r="G22" s="454">
        <f ca="1">Final!L129</f>
        <v>2.5343689569156815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74416.329999999783</v>
      </c>
      <c r="C23" s="53">
        <f ca="1">Final!C130</f>
        <v>682.68963175249519</v>
      </c>
      <c r="D23" s="35"/>
      <c r="E23" s="53">
        <f t="shared" ca="1" si="2"/>
        <v>75099.019631752279</v>
      </c>
      <c r="F23" s="453"/>
      <c r="G23" s="454">
        <f ca="1">Final!L130</f>
        <v>1.4329134062517015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78881.999999999738</v>
      </c>
      <c r="C24" s="53">
        <f ca="1">Final!C131</f>
        <v>564.33991275102017</v>
      </c>
      <c r="D24" s="35"/>
      <c r="E24" s="53">
        <f t="shared" ca="1" si="2"/>
        <v>79446.339912750758</v>
      </c>
      <c r="F24" s="453"/>
      <c r="G24" s="454">
        <f ca="1">Final!L131</f>
        <v>1.4186204352519993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-0.12309349040752426</v>
      </c>
      <c r="X53" s="459">
        <f ca="1">Charts!O45</f>
        <v>-0.12309349040752426</v>
      </c>
      <c r="Y53" s="447"/>
      <c r="Z53" s="460" t="s">
        <v>616</v>
      </c>
      <c r="AA53" s="461">
        <f ca="1">Trends!G30</f>
        <v>-9.9238432224160719E-2</v>
      </c>
      <c r="AB53" s="461">
        <f ca="1">Trends!Y30</f>
        <v>-9.9238432224160719E-2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-3.0559100933952976E-2</v>
      </c>
      <c r="X54" s="463">
        <f ca="1">Charts!O46</f>
        <v>-3.0559100933952976E-2</v>
      </c>
      <c r="Y54" s="447"/>
      <c r="Z54" s="464" t="s">
        <v>617</v>
      </c>
      <c r="AA54" s="465">
        <f ca="1">Trends!F30</f>
        <v>-0.10416904566584595</v>
      </c>
      <c r="AB54" s="465">
        <f ca="1">Trends!X30</f>
        <v>-0.10416904566584595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-0.15130118192780007</v>
      </c>
      <c r="X55" s="463">
        <f ca="1">Charts!O47</f>
        <v>-0.15130118192780007</v>
      </c>
      <c r="Y55" s="447"/>
      <c r="Z55" s="464" t="s">
        <v>234</v>
      </c>
      <c r="AA55" s="465">
        <f ca="1">Trends!E30</f>
        <v>-0.10411139636847259</v>
      </c>
      <c r="AB55" s="465">
        <f ca="1">Trends!W30</f>
        <v>-0.10411139636847259</v>
      </c>
    </row>
    <row r="56" spans="1:28" ht="15.75" x14ac:dyDescent="0.25">
      <c r="A56" s="303" t="str">
        <f>Data!$C$1</f>
        <v>AAMG - Commercial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-0.12309349040752426</v>
      </c>
      <c r="M107" s="278">
        <f ca="1">Charts!$O$45</f>
        <v>-0.12309349040752426</v>
      </c>
      <c r="N107" s="560"/>
      <c r="O107" s="278">
        <f ca="1">LeastSq!$G$11</f>
        <v>-0.1032626142324693</v>
      </c>
      <c r="P107" s="278">
        <f ca="1">LeastSq!$H$11</f>
        <v>-0.1032626142324693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-3.0559100933952976E-2</v>
      </c>
      <c r="M108" s="279">
        <f ca="1">Charts!$O$46</f>
        <v>-3.0559100933952976E-2</v>
      </c>
      <c r="N108" s="453"/>
      <c r="O108" s="279">
        <f ca="1">LeastSq!$G$12</f>
        <v>-5.1499394256647291E-2</v>
      </c>
      <c r="P108" s="279">
        <f ca="1">LeastSq!$H$12</f>
        <v>-5.1499394256647291E-2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-0.15130118192780007</v>
      </c>
      <c r="M109" s="279">
        <f ca="1">Charts!$O$47</f>
        <v>-0.15130118192780007</v>
      </c>
      <c r="N109" s="453"/>
      <c r="O109" s="279">
        <f ca="1">LeastSq!$G$13</f>
        <v>-0.13046271876633242</v>
      </c>
      <c r="P109" s="279">
        <f ca="1">LeastSq!$H$13</f>
        <v>-0.13046271876633242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0.32767633205650593</v>
      </c>
      <c r="M110" s="279">
        <f ca="1">Charts!$O$48</f>
        <v>0.32767633205650593</v>
      </c>
      <c r="N110" s="453"/>
      <c r="O110" s="279">
        <f ca="1">LeastSq!$G$14</f>
        <v>0.13760782633022606</v>
      </c>
      <c r="P110" s="279">
        <f ca="1">LeastSq!$H$14</f>
        <v>0.13760782633022606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AAMG - Commercial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400197.16773511516</v>
      </c>
      <c r="D120" s="469"/>
      <c r="E120" s="470">
        <f t="shared" ref="E120:E134" ca="1" si="7">SUM(B120:C120)</f>
        <v>400197.16773511516</v>
      </c>
      <c r="F120" s="7"/>
      <c r="G120" s="452">
        <f t="shared" ref="G120:G134" ca="1" si="8">G10</f>
        <v>1.7151013171279141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144443.96000000002</v>
      </c>
      <c r="C121" s="53">
        <f t="shared" ca="1" si="6"/>
        <v>213141.25773511513</v>
      </c>
      <c r="D121" s="30"/>
      <c r="E121" s="53">
        <f t="shared" ca="1" si="7"/>
        <v>357585.21773511515</v>
      </c>
      <c r="F121" s="453"/>
      <c r="G121" s="454">
        <f t="shared" ca="1" si="8"/>
        <v>1.464814798962442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337279.50999999995</v>
      </c>
      <c r="C122" s="53">
        <f t="shared" ca="1" si="6"/>
        <v>139431.26773511514</v>
      </c>
      <c r="D122" s="35"/>
      <c r="E122" s="53">
        <f t="shared" ca="1" si="7"/>
        <v>476710.77773511509</v>
      </c>
      <c r="F122" s="453"/>
      <c r="G122" s="454">
        <f t="shared" ca="1" si="8"/>
        <v>1.70896542258965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402453.81000000006</v>
      </c>
      <c r="C123" s="53">
        <f t="shared" ca="1" si="6"/>
        <v>107583.3577351151</v>
      </c>
      <c r="D123" s="35"/>
      <c r="E123" s="53">
        <f t="shared" ca="1" si="7"/>
        <v>510037.16773511516</v>
      </c>
      <c r="F123" s="453"/>
      <c r="G123" s="454">
        <f t="shared" ca="1" si="8"/>
        <v>1.7645780465645655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437035.21000000008</v>
      </c>
      <c r="C124" s="53">
        <f t="shared" ca="1" si="6"/>
        <v>81666.307735115173</v>
      </c>
      <c r="D124" s="35"/>
      <c r="E124" s="53">
        <f t="shared" ca="1" si="7"/>
        <v>518701.51773511525</v>
      </c>
      <c r="F124" s="453"/>
      <c r="G124" s="454">
        <f t="shared" ca="1" si="8"/>
        <v>1.8413019747765036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471011.88000000024</v>
      </c>
      <c r="C125" s="53">
        <f t="shared" ca="1" si="6"/>
        <v>55863.097735115211</v>
      </c>
      <c r="D125" s="35"/>
      <c r="E125" s="53">
        <f t="shared" ca="1" si="7"/>
        <v>526874.97773511545</v>
      </c>
      <c r="F125" s="453"/>
      <c r="G125" s="454">
        <f t="shared" ca="1" si="8"/>
        <v>1.8830593253275543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424054.42999999993</v>
      </c>
      <c r="C126" s="53">
        <f t="shared" ca="1" si="6"/>
        <v>37401.907735115383</v>
      </c>
      <c r="D126" s="35"/>
      <c r="E126" s="53">
        <f t="shared" ca="1" si="7"/>
        <v>461456.33773511532</v>
      </c>
      <c r="F126" s="453"/>
      <c r="G126" s="454">
        <f t="shared" ca="1" si="8"/>
        <v>1.6292291154200571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373476.83000000031</v>
      </c>
      <c r="C127" s="53">
        <f t="shared" ca="1" si="6"/>
        <v>26519.097735115327</v>
      </c>
      <c r="D127" s="30"/>
      <c r="E127" s="53">
        <f t="shared" ca="1" si="7"/>
        <v>399995.92773511563</v>
      </c>
      <c r="F127" s="453"/>
      <c r="G127" s="454">
        <f t="shared" ca="1" si="8"/>
        <v>1.3632692702406046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440052.23999999993</v>
      </c>
      <c r="C128" s="53">
        <f t="shared" ca="1" si="6"/>
        <v>15827.047735115339</v>
      </c>
      <c r="D128" s="35"/>
      <c r="E128" s="53">
        <f t="shared" ca="1" si="7"/>
        <v>455879.28773511527</v>
      </c>
      <c r="F128" s="453"/>
      <c r="G128" s="454">
        <f t="shared" ca="1" si="8"/>
        <v>1.4843653886369805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406825.34999999992</v>
      </c>
      <c r="C129" s="53">
        <f t="shared" ca="1" si="6"/>
        <v>8521.1677351153339</v>
      </c>
      <c r="D129" s="35"/>
      <c r="E129" s="53">
        <f t="shared" ca="1" si="7"/>
        <v>415346.51773511525</v>
      </c>
      <c r="F129" s="453"/>
      <c r="G129" s="454">
        <f t="shared" ca="1" si="8"/>
        <v>1.4490921402683012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425895.56000000029</v>
      </c>
      <c r="C130" s="53">
        <f t="shared" ca="1" si="6"/>
        <v>5533.8977351153735</v>
      </c>
      <c r="D130" s="35"/>
      <c r="E130" s="53">
        <f t="shared" ca="1" si="7"/>
        <v>431429.45773511566</v>
      </c>
      <c r="F130" s="453"/>
      <c r="G130" s="454">
        <f t="shared" ca="1" si="8"/>
        <v>1.5427724248884027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304004.92999999982</v>
      </c>
      <c r="C131" s="53">
        <f t="shared" ca="1" si="6"/>
        <v>2915.2877351156203</v>
      </c>
      <c r="D131" s="35"/>
      <c r="E131" s="53">
        <f t="shared" ca="1" si="7"/>
        <v>306920.21773511544</v>
      </c>
      <c r="F131" s="453"/>
      <c r="G131" s="454">
        <f t="shared" ca="1" si="8"/>
        <v>1.7223260194124324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271555.43999999959</v>
      </c>
      <c r="C132" s="53">
        <f t="shared" ca="1" si="6"/>
        <v>1568.5777351156285</v>
      </c>
      <c r="D132" s="35"/>
      <c r="E132" s="53">
        <f t="shared" ca="1" si="7"/>
        <v>273124.01773511525</v>
      </c>
      <c r="F132" s="453"/>
      <c r="G132" s="454">
        <f t="shared" ca="1" si="8"/>
        <v>2.5343689569156815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74416.329999999783</v>
      </c>
      <c r="C133" s="53">
        <f t="shared" ca="1" si="6"/>
        <v>682.68963175249519</v>
      </c>
      <c r="D133" s="35"/>
      <c r="E133" s="53">
        <f t="shared" ca="1" si="7"/>
        <v>75099.019631752279</v>
      </c>
      <c r="F133" s="453"/>
      <c r="G133" s="454">
        <f t="shared" ca="1" si="8"/>
        <v>1.4329134062517015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78881.999999999738</v>
      </c>
      <c r="C134" s="53">
        <f t="shared" ca="1" si="6"/>
        <v>564.33991275102017</v>
      </c>
      <c r="D134" s="35"/>
      <c r="E134" s="53">
        <f t="shared" ca="1" si="7"/>
        <v>79446.339912750758</v>
      </c>
      <c r="F134" s="453"/>
      <c r="G134" s="454">
        <f t="shared" ca="1" si="8"/>
        <v>1.4186204352519993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AAMG - Commercial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-0.12309349040752426</v>
      </c>
      <c r="M217" s="278">
        <f ca="1">Charts!$O$45</f>
        <v>-0.12309349040752426</v>
      </c>
      <c r="N217" s="560"/>
      <c r="O217" s="278">
        <f ca="1">LeastSq!$G$11</f>
        <v>-0.1032626142324693</v>
      </c>
      <c r="P217" s="278">
        <f ca="1">LeastSq!$H$11</f>
        <v>-0.1032626142324693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-3.0559100933952976E-2</v>
      </c>
      <c r="M218" s="279">
        <f ca="1">Charts!$O$46</f>
        <v>-3.0559100933952976E-2</v>
      </c>
      <c r="N218" s="453"/>
      <c r="O218" s="279">
        <f ca="1">LeastSq!$G$12</f>
        <v>-5.1499394256647291E-2</v>
      </c>
      <c r="P218" s="279">
        <f ca="1">LeastSq!$H$12</f>
        <v>-5.1499394256647291E-2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-0.15130118192780007</v>
      </c>
      <c r="M219" s="279">
        <f ca="1">Charts!$O$47</f>
        <v>-0.15130118192780007</v>
      </c>
      <c r="N219" s="453"/>
      <c r="O219" s="279">
        <f ca="1">LeastSq!$G$13</f>
        <v>-0.13046271876633242</v>
      </c>
      <c r="P219" s="279">
        <f ca="1">LeastSq!$H$13</f>
        <v>-0.13046271876633242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0.32767633205650593</v>
      </c>
      <c r="M220" s="279">
        <f ca="1">Charts!$O$48</f>
        <v>0.32767633205650593</v>
      </c>
      <c r="N220" s="453"/>
      <c r="O220" s="279">
        <f ca="1">LeastSq!$G$14</f>
        <v>0.13760782633022606</v>
      </c>
      <c r="P220" s="279">
        <f ca="1">LeastSq!$H$14</f>
        <v>0.13760782633022606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8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AAMG - Commercial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42.919151732377529</v>
      </c>
      <c r="C9" s="245">
        <f ca="1">LeastSq!$AF7</f>
        <v>54.047032999267529</v>
      </c>
      <c r="D9" s="242">
        <f>Transport!I20</f>
        <v>1</v>
      </c>
      <c r="E9" s="241">
        <f t="shared" ref="E9:E44" si="0">B9*D9</f>
        <v>42.919151732377529</v>
      </c>
      <c r="F9" s="245">
        <f ca="1">LeastSq!$AF69</f>
        <v>54.047032999267529</v>
      </c>
      <c r="G9" s="315">
        <f ca="1">IF(E9=0,"NA",+E9/F9)</f>
        <v>0.79410745327979781</v>
      </c>
      <c r="I9" s="252" t="s">
        <v>498</v>
      </c>
      <c r="J9" s="315">
        <f t="shared" ref="J9:J20" ca="1" si="1">AH11</f>
        <v>0.74952507050933026</v>
      </c>
      <c r="K9" s="315">
        <f t="shared" ref="K9:K20" ca="1" si="2">AI11</f>
        <v>0.73906747618272883</v>
      </c>
      <c r="L9" s="315" t="str">
        <f t="shared" ref="L9:L17" si="3">IF(AJ11=0,"--",AJ11)</f>
        <v>--</v>
      </c>
      <c r="M9" s="316">
        <f t="shared" ref="M9:M20" ca="1" si="4">AVERAGE(J9:L9)</f>
        <v>0.74429627334602955</v>
      </c>
      <c r="N9" s="15"/>
      <c r="O9" s="585">
        <f t="shared" ref="O9:O20" ca="1" si="5">(M9*12/M$22)*O$4+(1-O$4)</f>
        <v>0.87120403111415357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0.75</v>
      </c>
      <c r="U9" s="246">
        <f t="shared" ref="U9:U20" ca="1" si="7">IF(K9="NA","",ROUND(K9,2))</f>
        <v>0.74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0.87120403111415357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0.91129194541930936</v>
      </c>
      <c r="BF9" s="315">
        <v>1.1395315960104215</v>
      </c>
      <c r="BG9" s="315">
        <v>1.2221589628653082</v>
      </c>
      <c r="BH9" s="315">
        <v>1.0909941680983464</v>
      </c>
      <c r="BI9" s="15"/>
      <c r="BJ9" s="315">
        <v>1.032135046387527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59.249342218400699</v>
      </c>
      <c r="C10" s="247">
        <f ca="1">LeastSq!$AF8</f>
        <v>53.518691531984537</v>
      </c>
      <c r="D10" s="244">
        <f>Transport!I21</f>
        <v>1</v>
      </c>
      <c r="E10" s="241">
        <f t="shared" si="0"/>
        <v>59.249342218400699</v>
      </c>
      <c r="F10" s="247">
        <f ca="1">LeastSq!$AF70</f>
        <v>53.518691531984537</v>
      </c>
      <c r="G10" s="315">
        <f t="shared" ref="G10:G41" ca="1" si="9">IF(E10=0,"NA",+E10/F10)</f>
        <v>1.1070775559412049</v>
      </c>
      <c r="I10" s="252" t="s">
        <v>499</v>
      </c>
      <c r="J10" s="315">
        <f t="shared" ca="1" si="1"/>
        <v>0.91987391433707821</v>
      </c>
      <c r="K10" s="315">
        <f t="shared" ca="1" si="2"/>
        <v>0.75159772850954831</v>
      </c>
      <c r="L10" s="315" t="str">
        <f t="shared" si="3"/>
        <v>--</v>
      </c>
      <c r="M10" s="316">
        <f t="shared" ca="1" si="4"/>
        <v>0.83573582142331326</v>
      </c>
      <c r="N10" s="15"/>
      <c r="O10" s="15">
        <f t="shared" ca="1" si="5"/>
        <v>0.91680781829550351</v>
      </c>
      <c r="P10" s="15"/>
      <c r="Q10" s="96">
        <f>PMPM!C113</f>
        <v>0.97</v>
      </c>
      <c r="S10" s="252" t="s">
        <v>499</v>
      </c>
      <c r="T10" s="246">
        <f t="shared" ca="1" si="6"/>
        <v>0.92</v>
      </c>
      <c r="U10" s="246">
        <f t="shared" ca="1" si="7"/>
        <v>0.75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0.91680781829550351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0.87473457835355939</v>
      </c>
      <c r="BF10" s="315">
        <v>1.0041572753736452</v>
      </c>
      <c r="BG10" s="315">
        <v>1.2895272149171786</v>
      </c>
      <c r="BH10" s="315">
        <v>1.0561396895481276</v>
      </c>
      <c r="BI10" s="15"/>
      <c r="BJ10" s="315">
        <v>1.0151346901047225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89.537532573289894</v>
      </c>
      <c r="C11" s="247">
        <f ca="1">LeastSq!$AF9</f>
        <v>52.995514912623065</v>
      </c>
      <c r="D11" s="244">
        <f>Transport!I22</f>
        <v>1</v>
      </c>
      <c r="E11" s="241">
        <f t="shared" si="0"/>
        <v>89.537532573289894</v>
      </c>
      <c r="F11" s="247">
        <f ca="1">LeastSq!$AF71</f>
        <v>52.995514912623065</v>
      </c>
      <c r="G11" s="315">
        <f t="shared" ca="1" si="9"/>
        <v>1.6895303823524666</v>
      </c>
      <c r="I11" s="252" t="s">
        <v>500</v>
      </c>
      <c r="J11" s="315">
        <f t="shared" ca="1" si="1"/>
        <v>0.76124941407728441</v>
      </c>
      <c r="K11" s="315">
        <f t="shared" ca="1" si="2"/>
        <v>0.80614086326624501</v>
      </c>
      <c r="L11" s="315" t="str">
        <f t="shared" si="3"/>
        <v>--</v>
      </c>
      <c r="M11" s="316">
        <f t="shared" ca="1" si="4"/>
        <v>0.78369513867176477</v>
      </c>
      <c r="N11" s="15"/>
      <c r="O11" s="15">
        <f t="shared" ca="1" si="5"/>
        <v>0.89085348813009269</v>
      </c>
      <c r="P11" s="15"/>
      <c r="Q11" s="96">
        <f>PMPM!C114</f>
        <v>1.03</v>
      </c>
      <c r="S11" s="252" t="s">
        <v>500</v>
      </c>
      <c r="T11" s="246">
        <f t="shared" ca="1" si="6"/>
        <v>0.76</v>
      </c>
      <c r="U11" s="246">
        <f t="shared" ca="1" si="7"/>
        <v>0.81</v>
      </c>
      <c r="V11" s="246" t="str">
        <f t="shared" si="8"/>
        <v/>
      </c>
      <c r="W11" s="246">
        <f>+PMPM!C114</f>
        <v>1.03</v>
      </c>
      <c r="X11" s="246">
        <f t="shared" ca="1" si="10"/>
        <v>0.89085348813009269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0.79410745327979781</v>
      </c>
      <c r="AE11" s="237">
        <f t="shared" ref="AE11:AE22" ca="1" si="13">+G21</f>
        <v>0.83272883292458222</v>
      </c>
      <c r="AF11" s="237">
        <f t="shared" ref="AF11:AF22" ca="1" si="14">+G33</f>
        <v>0.81412501635497847</v>
      </c>
      <c r="AG11" s="227"/>
      <c r="AH11" s="237">
        <f t="shared" ref="AH11:AH22" ca="1" si="15">VLOOKUP($AA11,$AC$11:$AF$22,2)</f>
        <v>0.74952507050933026</v>
      </c>
      <c r="AI11" s="237">
        <f t="shared" ref="AI11:AI22" ca="1" si="16">VLOOKUP($AA11,$AC$11:$AF$22,3)</f>
        <v>0.73906747618272883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0.74429627334602955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0.74952507050933026</v>
      </c>
      <c r="AQ11" s="237">
        <f t="shared" ref="AQ11:AQ22" ca="1" si="21">AVERAGE(AH11:AJ11)</f>
        <v>0.4961975155640197</v>
      </c>
      <c r="AR11" s="227"/>
      <c r="AS11" s="259"/>
      <c r="AT11" s="261">
        <f t="shared" ref="AT11:AT22" ca="1" si="22">AI11</f>
        <v>0.73906747618272883</v>
      </c>
      <c r="AU11" s="237">
        <f t="shared" ref="AU11:AU22" ca="1" si="23">AVERAGE(AH11:AJ11)</f>
        <v>0.4961975155640197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0.4961975155640197</v>
      </c>
      <c r="AZ11" s="227"/>
      <c r="BA11" s="259"/>
      <c r="BB11" s="246"/>
      <c r="BD11" s="252" t="s">
        <v>500</v>
      </c>
      <c r="BE11" s="315">
        <v>0.92671464866227704</v>
      </c>
      <c r="BF11" s="315">
        <v>1.0784191032582668</v>
      </c>
      <c r="BG11" s="315">
        <v>0.95276123409795876</v>
      </c>
      <c r="BH11" s="315">
        <v>0.98596499533950099</v>
      </c>
      <c r="BI11" s="15"/>
      <c r="BJ11" s="315">
        <v>0.98090681313721539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44.010058873002535</v>
      </c>
      <c r="C12" s="247">
        <f ca="1">LeastSq!$AF10</f>
        <v>52.477452651763478</v>
      </c>
      <c r="D12" s="244">
        <f>Transport!I23</f>
        <v>1</v>
      </c>
      <c r="E12" s="241">
        <f t="shared" si="0"/>
        <v>44.010058873002535</v>
      </c>
      <c r="F12" s="247">
        <f ca="1">LeastSq!$AF72</f>
        <v>52.477452651763478</v>
      </c>
      <c r="G12" s="315">
        <f t="shared" ca="1" si="9"/>
        <v>0.83864701217587778</v>
      </c>
      <c r="I12" s="252" t="s">
        <v>501</v>
      </c>
      <c r="J12" s="315">
        <f t="shared" ca="1" si="1"/>
        <v>0.79410745327979781</v>
      </c>
      <c r="K12" s="315">
        <f t="shared" ca="1" si="2"/>
        <v>0.83272883292458222</v>
      </c>
      <c r="L12" s="315">
        <f t="shared" ca="1" si="3"/>
        <v>0.81412501635497847</v>
      </c>
      <c r="M12" s="316">
        <f t="shared" ca="1" si="4"/>
        <v>0.81365376751978624</v>
      </c>
      <c r="N12" s="15"/>
      <c r="O12" s="15">
        <f t="shared" ca="1" si="5"/>
        <v>0.90579480141256319</v>
      </c>
      <c r="P12" s="15"/>
      <c r="Q12" s="96">
        <f>PMPM!C115</f>
        <v>1.01</v>
      </c>
      <c r="S12" s="252" t="s">
        <v>501</v>
      </c>
      <c r="T12" s="246">
        <f t="shared" ca="1" si="6"/>
        <v>0.79</v>
      </c>
      <c r="U12" s="246">
        <f t="shared" ca="1" si="7"/>
        <v>0.83</v>
      </c>
      <c r="V12" s="246">
        <f t="shared" ca="1" si="8"/>
        <v>0.81</v>
      </c>
      <c r="W12" s="246">
        <f>+PMPM!C115</f>
        <v>1.01</v>
      </c>
      <c r="X12" s="246">
        <f t="shared" ca="1" si="10"/>
        <v>0.90579480141256319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1.1070775559412049</v>
      </c>
      <c r="AE12" s="237">
        <f t="shared" ca="1" si="13"/>
        <v>0.81256322226635469</v>
      </c>
      <c r="AF12" s="237">
        <f t="shared" ca="1" si="14"/>
        <v>1.1288164286337496</v>
      </c>
      <c r="AG12" s="227"/>
      <c r="AH12" s="237">
        <f t="shared" ca="1" si="15"/>
        <v>0.91987391433707821</v>
      </c>
      <c r="AI12" s="237">
        <f t="shared" ca="1" si="16"/>
        <v>0.75159772850954831</v>
      </c>
      <c r="AJ12" s="237">
        <f t="shared" si="17"/>
        <v>0</v>
      </c>
      <c r="AK12" s="227"/>
      <c r="AL12" s="261">
        <f t="shared" ca="1" si="18"/>
        <v>0.83573582142331326</v>
      </c>
      <c r="AM12" s="237">
        <f t="shared" si="19"/>
        <v>0</v>
      </c>
      <c r="AN12" s="232" t="s">
        <v>245</v>
      </c>
      <c r="AO12" s="262">
        <f ca="1">AVERAGE(AL11:AL22)</f>
        <v>1.0224167883659276</v>
      </c>
      <c r="AP12" s="261">
        <f t="shared" ca="1" si="20"/>
        <v>0.91987391433707821</v>
      </c>
      <c r="AQ12" s="237">
        <f t="shared" ca="1" si="21"/>
        <v>0.55715721428220888</v>
      </c>
      <c r="AR12" s="232" t="s">
        <v>245</v>
      </c>
      <c r="AS12" s="262">
        <f ca="1">AVERAGE(AP11:AP22)</f>
        <v>1.0302281791203143</v>
      </c>
      <c r="AT12" s="261">
        <f t="shared" ca="1" si="22"/>
        <v>0.75159772850954831</v>
      </c>
      <c r="AU12" s="237">
        <f t="shared" ca="1" si="23"/>
        <v>0.55715721428220888</v>
      </c>
      <c r="AV12" s="232" t="s">
        <v>245</v>
      </c>
      <c r="AW12" s="262">
        <f ca="1">AVERAGE(AT11:AT22)</f>
        <v>1.0146053976115414</v>
      </c>
      <c r="AX12" s="261">
        <f t="shared" si="24"/>
        <v>0</v>
      </c>
      <c r="AY12" s="237">
        <f t="shared" ca="1" si="25"/>
        <v>0.55715721428220888</v>
      </c>
      <c r="AZ12" s="232" t="s">
        <v>245</v>
      </c>
      <c r="BA12" s="262">
        <f ca="1">AVERAGE(AX11:AX22)</f>
        <v>0.76581923441509048</v>
      </c>
      <c r="BB12" s="246"/>
      <c r="BD12" s="252" t="s">
        <v>501</v>
      </c>
      <c r="BE12" s="315">
        <v>0.96044311078797051</v>
      </c>
      <c r="BF12" s="315">
        <v>1.0420792660884648</v>
      </c>
      <c r="BG12" s="315"/>
      <c r="BH12" s="315">
        <v>1.0012611884382177</v>
      </c>
      <c r="BI12" s="15"/>
      <c r="BJ12" s="315">
        <v>0.98836756834759931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60.316068003487331</v>
      </c>
      <c r="C13" s="247">
        <f ca="1">LeastSq!$AF11</f>
        <v>51.964454753549852</v>
      </c>
      <c r="D13" s="244">
        <f>Transport!I24</f>
        <v>1</v>
      </c>
      <c r="E13" s="241">
        <f t="shared" si="0"/>
        <v>60.316068003487331</v>
      </c>
      <c r="F13" s="247">
        <f ca="1">LeastSq!$AF73</f>
        <v>51.964454753549852</v>
      </c>
      <c r="G13" s="315">
        <f t="shared" ca="1" si="9"/>
        <v>1.1607178077696843</v>
      </c>
      <c r="I13" s="252" t="s">
        <v>502</v>
      </c>
      <c r="J13" s="315">
        <f t="shared" ca="1" si="1"/>
        <v>1.1070775559412049</v>
      </c>
      <c r="K13" s="315">
        <f t="shared" ca="1" si="2"/>
        <v>0.81256322226635469</v>
      </c>
      <c r="L13" s="315">
        <f t="shared" ca="1" si="3"/>
        <v>1.1288164286337496</v>
      </c>
      <c r="M13" s="316">
        <f t="shared" ca="1" si="4"/>
        <v>1.0161524022804365</v>
      </c>
      <c r="N13" s="15"/>
      <c r="O13" s="15">
        <f t="shared" ca="1" si="5"/>
        <v>1.0067872585967734</v>
      </c>
      <c r="P13" s="15"/>
      <c r="Q13" s="96">
        <f>PMPM!C116</f>
        <v>1.02</v>
      </c>
      <c r="S13" s="252" t="s">
        <v>502</v>
      </c>
      <c r="T13" s="246">
        <f t="shared" ca="1" si="6"/>
        <v>1.1100000000000001</v>
      </c>
      <c r="U13" s="246">
        <f t="shared" ca="1" si="7"/>
        <v>0.81</v>
      </c>
      <c r="V13" s="246">
        <f t="shared" ca="1" si="8"/>
        <v>1.1299999999999999</v>
      </c>
      <c r="W13" s="246">
        <f>+PMPM!C116</f>
        <v>1.02</v>
      </c>
      <c r="X13" s="246">
        <f t="shared" ca="1" si="10"/>
        <v>1.0067872585967734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1.6895303823524666</v>
      </c>
      <c r="AE13" s="237">
        <f t="shared" ca="1" si="13"/>
        <v>0.97814572422358914</v>
      </c>
      <c r="AF13" s="237">
        <f t="shared" ca="1" si="14"/>
        <v>0.88533006426268401</v>
      </c>
      <c r="AG13" s="227"/>
      <c r="AH13" s="237">
        <f t="shared" ca="1" si="15"/>
        <v>0.76124941407728441</v>
      </c>
      <c r="AI13" s="237">
        <f t="shared" ca="1" si="16"/>
        <v>0.80614086326624501</v>
      </c>
      <c r="AJ13" s="237">
        <f t="shared" si="17"/>
        <v>0</v>
      </c>
      <c r="AK13" s="227"/>
      <c r="AL13" s="261">
        <f t="shared" ca="1" si="18"/>
        <v>0.78369513867176477</v>
      </c>
      <c r="AM13" s="237">
        <f t="shared" si="19"/>
        <v>0</v>
      </c>
      <c r="AN13" s="232" t="s">
        <v>521</v>
      </c>
      <c r="AO13" s="262">
        <f ca="1">SUMPRODUCT(AL11:AL22,AL11:AL22)/12</f>
        <v>1.0871885098474559</v>
      </c>
      <c r="AP13" s="261">
        <f t="shared" ca="1" si="20"/>
        <v>0.76124941407728441</v>
      </c>
      <c r="AQ13" s="237">
        <f t="shared" ca="1" si="21"/>
        <v>0.52246342578117655</v>
      </c>
      <c r="AR13" s="232" t="s">
        <v>521</v>
      </c>
      <c r="AS13" s="262">
        <f ca="1">SUMPRODUCT(AP11:AP22,AP11:AP22)/12</f>
        <v>1.1277548951550214</v>
      </c>
      <c r="AT13" s="261">
        <f t="shared" ca="1" si="22"/>
        <v>0.80614086326624501</v>
      </c>
      <c r="AU13" s="237">
        <f t="shared" ca="1" si="23"/>
        <v>0.52246342578117655</v>
      </c>
      <c r="AV13" s="232" t="s">
        <v>521</v>
      </c>
      <c r="AW13" s="262">
        <f ca="1">SUMPRODUCT(AT11:AT22,AT11:AT22)/12</f>
        <v>1.1000077044249059</v>
      </c>
      <c r="AX13" s="261">
        <f t="shared" si="24"/>
        <v>0</v>
      </c>
      <c r="AY13" s="237">
        <f t="shared" ca="1" si="25"/>
        <v>0.52246342578117655</v>
      </c>
      <c r="AZ13" s="232" t="s">
        <v>521</v>
      </c>
      <c r="BA13" s="262">
        <f ca="1">SUMPRODUCT(AX11:AX22,AX11:AX22)/12</f>
        <v>0.79847666003906592</v>
      </c>
      <c r="BB13" s="246"/>
      <c r="BD13" s="252" t="s">
        <v>502</v>
      </c>
      <c r="BE13" s="315">
        <v>1.0210580059307279</v>
      </c>
      <c r="BF13" s="315">
        <v>1.0474985796050376</v>
      </c>
      <c r="BG13" s="315"/>
      <c r="BH13" s="315">
        <v>1.0342782927678829</v>
      </c>
      <c r="BI13" s="15"/>
      <c r="BJ13" s="315">
        <v>1.0044717409067183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47.366209964412811</v>
      </c>
      <c r="C14" s="247">
        <f ca="1">LeastSq!$AF12</f>
        <v>51.456471710865095</v>
      </c>
      <c r="D14" s="244">
        <f>Transport!I25</f>
        <v>1</v>
      </c>
      <c r="E14" s="241">
        <f t="shared" si="0"/>
        <v>47.366209964412811</v>
      </c>
      <c r="F14" s="247">
        <f ca="1">LeastSq!$AF74</f>
        <v>51.456471710865095</v>
      </c>
      <c r="G14" s="315">
        <f t="shared" ca="1" si="9"/>
        <v>0.92051025633013583</v>
      </c>
      <c r="I14" s="252" t="s">
        <v>503</v>
      </c>
      <c r="J14" s="315">
        <f t="shared" ca="1" si="1"/>
        <v>1.6895303823524666</v>
      </c>
      <c r="K14" s="315">
        <f t="shared" ca="1" si="2"/>
        <v>0.97814572422358914</v>
      </c>
      <c r="L14" s="315">
        <f t="shared" ca="1" si="3"/>
        <v>0.88533006426268401</v>
      </c>
      <c r="M14" s="316">
        <f t="shared" ca="1" si="4"/>
        <v>1.1843353902795799</v>
      </c>
      <c r="N14" s="15"/>
      <c r="O14" s="15">
        <f t="shared" ca="1" si="5"/>
        <v>1.0906654202184169</v>
      </c>
      <c r="P14" s="15"/>
      <c r="Q14" s="96">
        <f>PMPM!C117</f>
        <v>1.02</v>
      </c>
      <c r="S14" s="252" t="s">
        <v>503</v>
      </c>
      <c r="T14" s="246">
        <f t="shared" ca="1" si="6"/>
        <v>1.69</v>
      </c>
      <c r="U14" s="246">
        <f t="shared" ca="1" si="7"/>
        <v>0.98</v>
      </c>
      <c r="V14" s="246">
        <f t="shared" ca="1" si="8"/>
        <v>0.89</v>
      </c>
      <c r="W14" s="246">
        <f>+PMPM!C117</f>
        <v>1.02</v>
      </c>
      <c r="X14" s="246">
        <f t="shared" ca="1" si="10"/>
        <v>1.0906654202184169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0.83864701217587778</v>
      </c>
      <c r="AE14" s="237">
        <f t="shared" ca="1" si="13"/>
        <v>0.98445388973255588</v>
      </c>
      <c r="AF14" s="237">
        <f t="shared" ca="1" si="14"/>
        <v>1.0366140801601673</v>
      </c>
      <c r="AG14" s="227"/>
      <c r="AH14" s="237">
        <f t="shared" ca="1" si="15"/>
        <v>0.79410745327979781</v>
      </c>
      <c r="AI14" s="237">
        <f t="shared" ca="1" si="16"/>
        <v>0.83272883292458222</v>
      </c>
      <c r="AJ14" s="237">
        <f t="shared" ca="1" si="17"/>
        <v>0.81412501635497847</v>
      </c>
      <c r="AK14" s="227"/>
      <c r="AL14" s="261">
        <f t="shared" ca="1" si="18"/>
        <v>0.81341814310219007</v>
      </c>
      <c r="AM14" s="237">
        <f t="shared" ca="1" si="19"/>
        <v>0.81412501635497847</v>
      </c>
      <c r="AN14" s="232" t="s">
        <v>522</v>
      </c>
      <c r="AO14" s="262">
        <f ca="1">AVERAGE(AM11:AM22)</f>
        <v>0.76581923441509048</v>
      </c>
      <c r="AP14" s="261">
        <f t="shared" ca="1" si="20"/>
        <v>0.79410745327979781</v>
      </c>
      <c r="AQ14" s="237">
        <f t="shared" ca="1" si="21"/>
        <v>0.81365376751978624</v>
      </c>
      <c r="AR14" s="232" t="s">
        <v>522</v>
      </c>
      <c r="AS14" s="262">
        <f ca="1">AVERAGE(AQ11:AQ22)</f>
        <v>0.93688427038231525</v>
      </c>
      <c r="AT14" s="261">
        <f t="shared" ca="1" si="22"/>
        <v>0.83272883292458222</v>
      </c>
      <c r="AU14" s="237">
        <f t="shared" ca="1" si="23"/>
        <v>0.81365376751978624</v>
      </c>
      <c r="AV14" s="232" t="s">
        <v>522</v>
      </c>
      <c r="AW14" s="262">
        <f ca="1">AVERAGE(AU11:AU22)</f>
        <v>0.93688427038231525</v>
      </c>
      <c r="AX14" s="261">
        <f t="shared" ca="1" si="24"/>
        <v>0.81412501635497847</v>
      </c>
      <c r="AY14" s="237">
        <f t="shared" ca="1" si="25"/>
        <v>0.81365376751978624</v>
      </c>
      <c r="AZ14" s="232" t="s">
        <v>522</v>
      </c>
      <c r="BA14" s="262">
        <f ca="1">AVERAGE(AY11:AY22)</f>
        <v>0.93688427038231525</v>
      </c>
      <c r="BB14" s="246"/>
      <c r="BD14" s="252" t="s">
        <v>503</v>
      </c>
      <c r="BE14" s="315">
        <v>0.99823667351113321</v>
      </c>
      <c r="BF14" s="315">
        <v>0.95444465939143919</v>
      </c>
      <c r="BG14" s="315">
        <v>1.0204774600062656</v>
      </c>
      <c r="BH14" s="315">
        <v>0.99105293096961267</v>
      </c>
      <c r="BI14" s="15"/>
      <c r="BJ14" s="315">
        <v>0.98338846605683217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65.219232158988262</v>
      </c>
      <c r="C15" s="247">
        <f ca="1">LeastSq!$AF13</f>
        <v>50.953454500553235</v>
      </c>
      <c r="D15" s="244">
        <f>Transport!I26</f>
        <v>1</v>
      </c>
      <c r="E15" s="241">
        <f t="shared" si="0"/>
        <v>65.219232158988262</v>
      </c>
      <c r="F15" s="247">
        <f ca="1">LeastSq!$AF75</f>
        <v>50.953454500553235</v>
      </c>
      <c r="G15" s="315">
        <f t="shared" ca="1" si="9"/>
        <v>1.2799766531684351</v>
      </c>
      <c r="I15" s="252" t="s">
        <v>504</v>
      </c>
      <c r="J15" s="315">
        <f t="shared" ca="1" si="1"/>
        <v>0.83864701217587778</v>
      </c>
      <c r="K15" s="315">
        <f t="shared" ca="1" si="2"/>
        <v>0.98445388973255588</v>
      </c>
      <c r="L15" s="315">
        <f t="shared" ca="1" si="3"/>
        <v>1.0366140801601673</v>
      </c>
      <c r="M15" s="316">
        <f t="shared" ca="1" si="4"/>
        <v>0.95323832735620029</v>
      </c>
      <c r="N15" s="15"/>
      <c r="O15" s="15">
        <f t="shared" ca="1" si="5"/>
        <v>0.97541002474243044</v>
      </c>
      <c r="P15" s="15"/>
      <c r="Q15" s="96">
        <f>PMPM!C118</f>
        <v>0.98</v>
      </c>
      <c r="S15" s="252" t="s">
        <v>504</v>
      </c>
      <c r="T15" s="246">
        <f t="shared" ca="1" si="6"/>
        <v>0.84</v>
      </c>
      <c r="U15" s="246">
        <f t="shared" ca="1" si="7"/>
        <v>0.98</v>
      </c>
      <c r="V15" s="246">
        <f ca="1">IF(OR(L15="NA",L15="--"),"",ROUND(L15,2))</f>
        <v>1.04</v>
      </c>
      <c r="W15" s="246">
        <f>+PMPM!C118</f>
        <v>0.98</v>
      </c>
      <c r="X15" s="246">
        <f t="shared" ca="1" si="10"/>
        <v>0.97541002474243044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1.1607178077696843</v>
      </c>
      <c r="AE15" s="237">
        <f t="shared" ca="1" si="13"/>
        <v>0.99103934186949727</v>
      </c>
      <c r="AF15" s="237">
        <f t="shared" ca="1" si="14"/>
        <v>1.021707997676027</v>
      </c>
      <c r="AG15" s="227"/>
      <c r="AH15" s="237">
        <f t="shared" ca="1" si="15"/>
        <v>1.1070775559412049</v>
      </c>
      <c r="AI15" s="237">
        <f t="shared" ca="1" si="16"/>
        <v>0.81256322226635469</v>
      </c>
      <c r="AJ15" s="237">
        <f t="shared" ca="1" si="17"/>
        <v>1.1288164286337496</v>
      </c>
      <c r="AK15" s="227"/>
      <c r="AL15" s="261">
        <f t="shared" ca="1" si="18"/>
        <v>0.95982038910377976</v>
      </c>
      <c r="AM15" s="237">
        <f t="shared" ca="1" si="19"/>
        <v>1.1288164286337496</v>
      </c>
      <c r="AN15" s="232" t="s">
        <v>523</v>
      </c>
      <c r="AO15" s="262">
        <f ca="1">SUMPRODUCT(AM11:AM22,AM11:AM22)/12</f>
        <v>0.79847666003906592</v>
      </c>
      <c r="AP15" s="261">
        <f t="shared" ca="1" si="20"/>
        <v>1.1070775559412049</v>
      </c>
      <c r="AQ15" s="237">
        <f t="shared" ca="1" si="21"/>
        <v>1.0161524022804365</v>
      </c>
      <c r="AR15" s="232" t="s">
        <v>523</v>
      </c>
      <c r="AS15" s="262">
        <f ca="1">SUMPRODUCT(AQ11:AQ22,AQ11:AQ22)/12</f>
        <v>0.94706344627351491</v>
      </c>
      <c r="AT15" s="261">
        <f t="shared" ca="1" si="22"/>
        <v>0.81256322226635469</v>
      </c>
      <c r="AU15" s="237">
        <f t="shared" ca="1" si="23"/>
        <v>1.0161524022804365</v>
      </c>
      <c r="AV15" s="232" t="s">
        <v>523</v>
      </c>
      <c r="AW15" s="262">
        <f ca="1">SUMPRODUCT(AU11:AU22,AU11:AU22)/12</f>
        <v>0.94706344627351491</v>
      </c>
      <c r="AX15" s="261">
        <f t="shared" ca="1" si="24"/>
        <v>1.1288164286337496</v>
      </c>
      <c r="AY15" s="237">
        <f t="shared" ca="1" si="25"/>
        <v>1.0161524022804365</v>
      </c>
      <c r="AZ15" s="232" t="s">
        <v>523</v>
      </c>
      <c r="BA15" s="262">
        <f ca="1">SUMPRODUCT(AY11:AY22,AY11:AY22)/12</f>
        <v>0.94706344627351491</v>
      </c>
      <c r="BB15" s="246"/>
      <c r="BD15" s="252" t="s">
        <v>504</v>
      </c>
      <c r="BE15" s="315">
        <v>0.99432640549885887</v>
      </c>
      <c r="BF15" s="315">
        <v>1.0464427132171799</v>
      </c>
      <c r="BG15" s="315">
        <v>0.99667876827530899</v>
      </c>
      <c r="BH15" s="315">
        <v>1.0124826289971158</v>
      </c>
      <c r="BI15" s="15"/>
      <c r="BJ15" s="315">
        <v>0.99384085314320214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56.678354661791616</v>
      </c>
      <c r="C16" s="247">
        <f ca="1">LeastSq!$AF14</f>
        <v>50.45535457868845</v>
      </c>
      <c r="D16" s="244">
        <f>Transport!I27</f>
        <v>1</v>
      </c>
      <c r="E16" s="241">
        <f t="shared" si="0"/>
        <v>56.678354661791616</v>
      </c>
      <c r="F16" s="247">
        <f ca="1">LeastSq!$AF76</f>
        <v>50.45535457868845</v>
      </c>
      <c r="G16" s="315">
        <f t="shared" ca="1" si="9"/>
        <v>1.1233367624718202</v>
      </c>
      <c r="I16" s="252" t="s">
        <v>505</v>
      </c>
      <c r="J16" s="315">
        <f t="shared" ca="1" si="1"/>
        <v>1.1607178077696843</v>
      </c>
      <c r="K16" s="315">
        <f t="shared" ca="1" si="2"/>
        <v>0.99103934186949727</v>
      </c>
      <c r="L16" s="315">
        <f t="shared" ca="1" si="3"/>
        <v>1.021707997676027</v>
      </c>
      <c r="M16" s="316">
        <f t="shared" ca="1" si="4"/>
        <v>1.057821715771736</v>
      </c>
      <c r="N16" s="15"/>
      <c r="O16" s="15">
        <f t="shared" ca="1" si="5"/>
        <v>1.0275690597365175</v>
      </c>
      <c r="P16" s="15"/>
      <c r="Q16" s="96">
        <f>PMPM!C119</f>
        <v>1.02</v>
      </c>
      <c r="S16" s="252" t="s">
        <v>505</v>
      </c>
      <c r="T16" s="246">
        <f t="shared" ca="1" si="6"/>
        <v>1.1599999999999999</v>
      </c>
      <c r="U16" s="246">
        <f t="shared" ca="1" si="7"/>
        <v>0.99</v>
      </c>
      <c r="V16" s="246">
        <f t="shared" ref="V16:V20" ca="1" si="27">IF(OR(L16="NA",L16="--"),"",ROUND(L16,2))</f>
        <v>1.02</v>
      </c>
      <c r="W16" s="246">
        <f>+PMPM!C119</f>
        <v>1.02</v>
      </c>
      <c r="X16" s="246">
        <f t="shared" ca="1" si="10"/>
        <v>1.0275690597365175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0.92051025633013583</v>
      </c>
      <c r="AE16" s="237">
        <f t="shared" ca="1" si="13"/>
        <v>1.4129925862490853</v>
      </c>
      <c r="AF16" s="237">
        <f t="shared" ca="1" si="14"/>
        <v>0.8144549757517493</v>
      </c>
      <c r="AG16" s="227"/>
      <c r="AH16" s="237">
        <f t="shared" ca="1" si="15"/>
        <v>1.6895303823524666</v>
      </c>
      <c r="AI16" s="237">
        <f t="shared" ca="1" si="16"/>
        <v>0.97814572422358914</v>
      </c>
      <c r="AJ16" s="237">
        <f t="shared" ca="1" si="17"/>
        <v>0.88533006426268401</v>
      </c>
      <c r="AK16" s="227"/>
      <c r="AL16" s="261">
        <f t="shared" ca="1" si="18"/>
        <v>1.3338380532880278</v>
      </c>
      <c r="AM16" s="237">
        <f t="shared" ca="1" si="19"/>
        <v>0.88533006426268401</v>
      </c>
      <c r="AN16" s="232" t="s">
        <v>524</v>
      </c>
      <c r="AO16" s="262">
        <f ca="1">SUMPRODUCT(AL11:AL22,AM11:AM22)/12</f>
        <v>0.84408507925818554</v>
      </c>
      <c r="AP16" s="261">
        <f t="shared" ca="1" si="20"/>
        <v>1.6895303823524666</v>
      </c>
      <c r="AQ16" s="237">
        <f t="shared" ca="1" si="21"/>
        <v>1.1843353902795799</v>
      </c>
      <c r="AR16" s="232" t="s">
        <v>524</v>
      </c>
      <c r="AS16" s="262">
        <f ca="1">SUMPRODUCT(AP11:AP22,AQ11:AQ22)/12</f>
        <v>1.0119288319123481</v>
      </c>
      <c r="AT16" s="261">
        <f t="shared" ca="1" si="22"/>
        <v>0.97814572422358914</v>
      </c>
      <c r="AU16" s="237">
        <f t="shared" ca="1" si="23"/>
        <v>1.1843353902795799</v>
      </c>
      <c r="AV16" s="232" t="s">
        <v>524</v>
      </c>
      <c r="AW16" s="262">
        <f ca="1">SUMPRODUCT(AT11:AT22,AU11:AU22)/12</f>
        <v>1.0003792340563837</v>
      </c>
      <c r="AX16" s="261">
        <f t="shared" ca="1" si="24"/>
        <v>0.88533006426268401</v>
      </c>
      <c r="AY16" s="237">
        <f t="shared" ca="1" si="25"/>
        <v>1.1843353902795799</v>
      </c>
      <c r="AZ16" s="232" t="s">
        <v>524</v>
      </c>
      <c r="BA16" s="262">
        <f ca="1">SUMPRODUCT(AX11:AX22,AY11:AY22)/12</f>
        <v>0.82888227285181237</v>
      </c>
      <c r="BB16" s="246"/>
      <c r="BD16" s="252" t="s">
        <v>505</v>
      </c>
      <c r="BE16" s="315">
        <v>1.0605882214149722</v>
      </c>
      <c r="BF16" s="315">
        <v>1.1341731035865521</v>
      </c>
      <c r="BG16" s="315">
        <v>0.88400356006834913</v>
      </c>
      <c r="BH16" s="315">
        <v>1.0262549616899577</v>
      </c>
      <c r="BI16" s="15"/>
      <c r="BJ16" s="315">
        <v>1.0005583417519124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50.870728417266207</v>
      </c>
      <c r="C17" s="247">
        <f ca="1">LeastSq!$AF15</f>
        <v>49.962123875890221</v>
      </c>
      <c r="D17" s="244">
        <f>Transport!I28</f>
        <v>1</v>
      </c>
      <c r="E17" s="241">
        <f t="shared" si="0"/>
        <v>50.870728417266207</v>
      </c>
      <c r="F17" s="247">
        <f ca="1">LeastSq!$AF77</f>
        <v>49.962123875890221</v>
      </c>
      <c r="G17" s="315">
        <f t="shared" ca="1" si="9"/>
        <v>1.0181858670306536</v>
      </c>
      <c r="I17" s="252" t="s">
        <v>506</v>
      </c>
      <c r="J17" s="315">
        <f t="shared" ca="1" si="1"/>
        <v>0.92051025633013583</v>
      </c>
      <c r="K17" s="315">
        <f t="shared" ca="1" si="2"/>
        <v>1.4129925862490853</v>
      </c>
      <c r="L17" s="315">
        <f t="shared" ca="1" si="3"/>
        <v>0.8144549757517493</v>
      </c>
      <c r="M17" s="316">
        <f t="shared" ca="1" si="4"/>
        <v>1.0493192727769902</v>
      </c>
      <c r="N17" s="15"/>
      <c r="O17" s="15">
        <f t="shared" ca="1" si="5"/>
        <v>1.0233286231966712</v>
      </c>
      <c r="P17" s="15"/>
      <c r="Q17" s="96">
        <f>PMPM!C120</f>
        <v>0.99</v>
      </c>
      <c r="S17" s="252" t="s">
        <v>506</v>
      </c>
      <c r="T17" s="246">
        <f t="shared" ca="1" si="6"/>
        <v>0.92</v>
      </c>
      <c r="U17" s="246">
        <f t="shared" ca="1" si="7"/>
        <v>1.41</v>
      </c>
      <c r="V17" s="246">
        <f t="shared" ca="1" si="27"/>
        <v>0.81</v>
      </c>
      <c r="W17" s="246">
        <f>+PMPM!C120</f>
        <v>0.99</v>
      </c>
      <c r="X17" s="246">
        <f t="shared" ca="1" si="10"/>
        <v>1.0233286231966712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1.2799766531684351</v>
      </c>
      <c r="AE17" s="237">
        <f t="shared" ca="1" si="13"/>
        <v>1.2895611970024716</v>
      </c>
      <c r="AF17" s="237">
        <f t="shared" ca="1" si="14"/>
        <v>1.0936226032296208</v>
      </c>
      <c r="AG17" s="227"/>
      <c r="AH17" s="237">
        <f t="shared" ca="1" si="15"/>
        <v>0.83864701217587778</v>
      </c>
      <c r="AI17" s="237">
        <f t="shared" ca="1" si="16"/>
        <v>0.98445388973255588</v>
      </c>
      <c r="AJ17" s="237">
        <f t="shared" ca="1" si="17"/>
        <v>1.0366140801601673</v>
      </c>
      <c r="AK17" s="227"/>
      <c r="AL17" s="261">
        <f t="shared" ca="1" si="18"/>
        <v>0.91155045095421683</v>
      </c>
      <c r="AM17" s="237">
        <f t="shared" ca="1" si="19"/>
        <v>1.0366140801601673</v>
      </c>
      <c r="AN17" s="232" t="s">
        <v>525</v>
      </c>
      <c r="AO17" s="262">
        <f ca="1">(AO16-AO12*AO14)/SQRT((AO13-AO12^2)*(AO15-AO14^2))</f>
        <v>0.64864309669117604</v>
      </c>
      <c r="AP17" s="261">
        <f t="shared" ca="1" si="20"/>
        <v>0.83864701217587778</v>
      </c>
      <c r="AQ17" s="237">
        <f t="shared" ca="1" si="21"/>
        <v>0.95323832735620029</v>
      </c>
      <c r="AR17" s="232" t="s">
        <v>525</v>
      </c>
      <c r="AS17" s="262">
        <f ca="1">(AS16-AS12*AS14)/SQRT((AS13-AS12^2)*(AS15-AS14^2))</f>
        <v>0.68882045321195762</v>
      </c>
      <c r="AT17" s="261">
        <f t="shared" ca="1" si="22"/>
        <v>0.98445388973255588</v>
      </c>
      <c r="AU17" s="237">
        <f t="shared" ca="1" si="23"/>
        <v>0.95323832735620029</v>
      </c>
      <c r="AV17" s="232" t="s">
        <v>525</v>
      </c>
      <c r="AW17" s="262">
        <f ca="1">(AW16-AW12*AW14)/SQRT((AW13-AW12^2)*(AW15-AW14^2))</f>
        <v>0.71215542335034809</v>
      </c>
      <c r="AX17" s="261">
        <f t="shared" ca="1" si="24"/>
        <v>1.0366140801601673</v>
      </c>
      <c r="AY17" s="237">
        <f t="shared" ca="1" si="25"/>
        <v>0.95323832735620029</v>
      </c>
      <c r="AZ17" s="232" t="s">
        <v>525</v>
      </c>
      <c r="BA17" s="262">
        <f ca="1">(BA16-BA12*BA14)/SQRT((BA13-BA12^2)*(BA15-BA14^2))</f>
        <v>0.91899043793663049</v>
      </c>
      <c r="BB17" s="246"/>
      <c r="BD17" s="252" t="s">
        <v>506</v>
      </c>
      <c r="BE17" s="315">
        <v>0.95378577832391775</v>
      </c>
      <c r="BF17" s="315">
        <v>1.0641922348021471</v>
      </c>
      <c r="BG17" s="315">
        <v>0.84148593584184173</v>
      </c>
      <c r="BH17" s="315">
        <v>0.95315464965596897</v>
      </c>
      <c r="BI17" s="15"/>
      <c r="BJ17" s="315">
        <v>0.96490348760823497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37.081789568345329</v>
      </c>
      <c r="C18" s="247">
        <f ca="1">LeastSq!$AF16</f>
        <v>49.473714792684476</v>
      </c>
      <c r="D18" s="244">
        <f>Transport!I29</f>
        <v>1</v>
      </c>
      <c r="E18" s="241">
        <f t="shared" si="0"/>
        <v>37.081789568345329</v>
      </c>
      <c r="F18" s="247">
        <f ca="1">LeastSq!$AF78</f>
        <v>49.473714792684476</v>
      </c>
      <c r="G18" s="315">
        <f t="shared" ca="1" si="9"/>
        <v>0.74952507050933026</v>
      </c>
      <c r="I18" s="252" t="s">
        <v>507</v>
      </c>
      <c r="J18" s="315">
        <f t="shared" ca="1" si="1"/>
        <v>1.2799766531684351</v>
      </c>
      <c r="K18" s="315">
        <f t="shared" ca="1" si="2"/>
        <v>1.2895611970024716</v>
      </c>
      <c r="L18" s="315">
        <f t="shared" ref="L18:L20" ca="1" si="28">IF(AJ20=0,"--",AJ20)</f>
        <v>1.0936226032296208</v>
      </c>
      <c r="M18" s="316">
        <f t="shared" ca="1" si="4"/>
        <v>1.2210534844668424</v>
      </c>
      <c r="N18" s="15"/>
      <c r="O18" s="15">
        <f t="shared" ca="1" si="5"/>
        <v>1.1089778920998992</v>
      </c>
      <c r="P18" s="15"/>
      <c r="Q18" s="96">
        <f>PMPM!C121</f>
        <v>1.01</v>
      </c>
      <c r="S18" s="252" t="s">
        <v>507</v>
      </c>
      <c r="T18" s="246">
        <f t="shared" ca="1" si="6"/>
        <v>1.28</v>
      </c>
      <c r="U18" s="246">
        <f t="shared" ca="1" si="7"/>
        <v>1.29</v>
      </c>
      <c r="V18" s="246">
        <f t="shared" ca="1" si="27"/>
        <v>1.0900000000000001</v>
      </c>
      <c r="W18" s="246">
        <f>+PMPM!C121</f>
        <v>1.01</v>
      </c>
      <c r="X18" s="246">
        <f t="shared" ca="1" si="10"/>
        <v>1.1089778920998992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1.1233367624718202</v>
      </c>
      <c r="AE18" s="237">
        <f t="shared" ca="1" si="13"/>
        <v>0.97430365394534435</v>
      </c>
      <c r="AF18" s="237">
        <f t="shared" ca="1" si="14"/>
        <v>1.2832722074581455</v>
      </c>
      <c r="AG18" s="227"/>
      <c r="AH18" s="237">
        <f t="shared" ca="1" si="15"/>
        <v>1.1607178077696843</v>
      </c>
      <c r="AI18" s="237">
        <f t="shared" ca="1" si="16"/>
        <v>0.99103934186949727</v>
      </c>
      <c r="AJ18" s="237">
        <f t="shared" ca="1" si="17"/>
        <v>1.021707997676027</v>
      </c>
      <c r="AK18" s="227"/>
      <c r="AL18" s="261">
        <f t="shared" ca="1" si="18"/>
        <v>1.0758785748195907</v>
      </c>
      <c r="AM18" s="237">
        <f t="shared" ca="1" si="19"/>
        <v>1.021707997676027</v>
      </c>
      <c r="AN18" s="227"/>
      <c r="AO18" s="263"/>
      <c r="AP18" s="261">
        <f t="shared" ca="1" si="20"/>
        <v>1.1607178077696843</v>
      </c>
      <c r="AQ18" s="237">
        <f t="shared" ca="1" si="21"/>
        <v>1.057821715771736</v>
      </c>
      <c r="AR18" s="227"/>
      <c r="AS18" s="263"/>
      <c r="AT18" s="261">
        <f t="shared" ca="1" si="22"/>
        <v>0.99103934186949727</v>
      </c>
      <c r="AU18" s="237">
        <f t="shared" ca="1" si="23"/>
        <v>1.057821715771736</v>
      </c>
      <c r="AV18" s="227"/>
      <c r="AW18" s="263"/>
      <c r="AX18" s="261">
        <f t="shared" ca="1" si="24"/>
        <v>1.021707997676027</v>
      </c>
      <c r="AY18" s="237">
        <f t="shared" ca="1" si="25"/>
        <v>1.057821715771736</v>
      </c>
      <c r="AZ18" s="227"/>
      <c r="BA18" s="263"/>
      <c r="BB18" s="246"/>
      <c r="BD18" s="252" t="s">
        <v>507</v>
      </c>
      <c r="BE18" s="315">
        <v>1.0172838713754477</v>
      </c>
      <c r="BF18" s="315">
        <v>1.2158507755581363</v>
      </c>
      <c r="BG18" s="315" t="s">
        <v>1067</v>
      </c>
      <c r="BH18" s="315">
        <v>1.1165673234667919</v>
      </c>
      <c r="BI18" s="15"/>
      <c r="BJ18" s="315">
        <v>1.0446084148217354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45.064696832579187</v>
      </c>
      <c r="C19" s="247">
        <f ca="1">LeastSq!$AF17</f>
        <v>48.99008019490995</v>
      </c>
      <c r="D19" s="244">
        <f>Transport!I30</f>
        <v>1</v>
      </c>
      <c r="E19" s="241">
        <f t="shared" si="0"/>
        <v>45.064696832579187</v>
      </c>
      <c r="F19" s="247">
        <f ca="1">LeastSq!$AF79</f>
        <v>48.99008019490995</v>
      </c>
      <c r="G19" s="315">
        <f t="shared" ca="1" si="9"/>
        <v>0.91987391433707821</v>
      </c>
      <c r="I19" s="252" t="s">
        <v>508</v>
      </c>
      <c r="J19" s="315">
        <f t="shared" ca="1" si="1"/>
        <v>1.1233367624718202</v>
      </c>
      <c r="K19" s="315">
        <f t="shared" ca="1" si="2"/>
        <v>0.97430365394534435</v>
      </c>
      <c r="L19" s="315">
        <f t="shared" ca="1" si="28"/>
        <v>1.2832722074581455</v>
      </c>
      <c r="M19" s="316">
        <f t="shared" ca="1" si="4"/>
        <v>1.1269708746251033</v>
      </c>
      <c r="N19" s="15"/>
      <c r="O19" s="15">
        <f t="shared" ca="1" si="5"/>
        <v>1.0620559266384957</v>
      </c>
      <c r="P19" s="15"/>
      <c r="Q19" s="96">
        <f>PMPM!C122</f>
        <v>0.98</v>
      </c>
      <c r="S19" s="252" t="s">
        <v>508</v>
      </c>
      <c r="T19" s="246">
        <f t="shared" ca="1" si="6"/>
        <v>1.1200000000000001</v>
      </c>
      <c r="U19" s="246">
        <f t="shared" ca="1" si="7"/>
        <v>0.97</v>
      </c>
      <c r="V19" s="246">
        <f t="shared" ca="1" si="27"/>
        <v>1.28</v>
      </c>
      <c r="W19" s="246">
        <f>+PMPM!C122</f>
        <v>0.98</v>
      </c>
      <c r="X19" s="246">
        <f t="shared" ca="1" si="10"/>
        <v>1.0620559266384957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1.0181858670306536</v>
      </c>
      <c r="AE19" s="237">
        <f t="shared" ca="1" si="13"/>
        <v>1.6026702551664933</v>
      </c>
      <c r="AF19" s="237">
        <f t="shared" ca="1" si="14"/>
        <v>1.1118874394539642</v>
      </c>
      <c r="AG19" s="227"/>
      <c r="AH19" s="237">
        <f t="shared" ca="1" si="15"/>
        <v>0.92051025633013583</v>
      </c>
      <c r="AI19" s="237">
        <f t="shared" ca="1" si="16"/>
        <v>1.4129925862490853</v>
      </c>
      <c r="AJ19" s="237">
        <f t="shared" ca="1" si="17"/>
        <v>0.8144549757517493</v>
      </c>
      <c r="AK19" s="227"/>
      <c r="AL19" s="261">
        <f t="shared" ca="1" si="18"/>
        <v>1.1667514212896106</v>
      </c>
      <c r="AM19" s="237">
        <f t="shared" ca="1" si="19"/>
        <v>0.8144549757517493</v>
      </c>
      <c r="AN19" s="227"/>
      <c r="AO19" s="263"/>
      <c r="AP19" s="261">
        <f t="shared" ca="1" si="20"/>
        <v>0.92051025633013583</v>
      </c>
      <c r="AQ19" s="237">
        <f t="shared" ca="1" si="21"/>
        <v>1.0493192727769902</v>
      </c>
      <c r="AR19" s="227"/>
      <c r="AS19" s="263"/>
      <c r="AT19" s="261">
        <f t="shared" ca="1" si="22"/>
        <v>1.4129925862490853</v>
      </c>
      <c r="AU19" s="237">
        <f t="shared" ca="1" si="23"/>
        <v>1.0493192727769902</v>
      </c>
      <c r="AV19" s="227"/>
      <c r="AW19" s="263"/>
      <c r="AX19" s="261">
        <f t="shared" ca="1" si="24"/>
        <v>0.8144549757517493</v>
      </c>
      <c r="AY19" s="237">
        <f t="shared" ca="1" si="25"/>
        <v>1.0493192727769902</v>
      </c>
      <c r="AZ19" s="227"/>
      <c r="BA19" s="263"/>
      <c r="BB19" s="246"/>
      <c r="BD19" s="252" t="s">
        <v>508</v>
      </c>
      <c r="BE19" s="315">
        <v>0.94748154569328902</v>
      </c>
      <c r="BF19" s="315">
        <v>1.0599813266818592</v>
      </c>
      <c r="BG19" s="315" t="s">
        <v>1067</v>
      </c>
      <c r="BH19" s="315">
        <v>1.0037314361875742</v>
      </c>
      <c r="BI19" s="15"/>
      <c r="BJ19" s="315">
        <v>0.98957243766691361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36.92910233393178</v>
      </c>
      <c r="C20" s="247">
        <f ca="1">LeastSq!$AF18</f>
        <v>48.511173409169444</v>
      </c>
      <c r="D20" s="244">
        <f>Transport!I31</f>
        <v>1</v>
      </c>
      <c r="E20" s="241">
        <f t="shared" si="0"/>
        <v>36.92910233393178</v>
      </c>
      <c r="F20" s="247">
        <f ca="1">LeastSq!$AF80</f>
        <v>48.511173409169444</v>
      </c>
      <c r="G20" s="315">
        <f t="shared" ca="1" si="9"/>
        <v>0.76124941407728441</v>
      </c>
      <c r="I20" s="252" t="s">
        <v>509</v>
      </c>
      <c r="J20" s="315">
        <f t="shared" ca="1" si="1"/>
        <v>1.0181858670306536</v>
      </c>
      <c r="K20" s="315">
        <f t="shared" ca="1" si="2"/>
        <v>1.6026702551664933</v>
      </c>
      <c r="L20" s="315">
        <f t="shared" ca="1" si="28"/>
        <v>1.1118874394539642</v>
      </c>
      <c r="M20" s="316">
        <f t="shared" ca="1" si="4"/>
        <v>1.2442478538837036</v>
      </c>
      <c r="N20" s="15"/>
      <c r="O20" s="585">
        <f t="shared" ca="1" si="5"/>
        <v>1.1205456558184834</v>
      </c>
      <c r="P20" s="15"/>
      <c r="Q20" s="96">
        <f>PMPM!C123</f>
        <v>0.95</v>
      </c>
      <c r="S20" s="252" t="s">
        <v>509</v>
      </c>
      <c r="T20" s="246">
        <f ca="1">IF(J20="NA","",ROUND(J20,2))</f>
        <v>1.02</v>
      </c>
      <c r="U20" s="246">
        <f t="shared" ca="1" si="7"/>
        <v>1.6</v>
      </c>
      <c r="V20" s="246">
        <f t="shared" ca="1" si="27"/>
        <v>1.1100000000000001</v>
      </c>
      <c r="W20" s="246">
        <f>+PMPM!C123</f>
        <v>0.95</v>
      </c>
      <c r="X20" s="246">
        <f t="shared" ca="1" si="10"/>
        <v>1.1205456558184834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0.74952507050933026</v>
      </c>
      <c r="AE20" s="237">
        <f t="shared" ca="1" si="13"/>
        <v>0.73906747618272883</v>
      </c>
      <c r="AF20" s="237">
        <f t="shared" si="14"/>
        <v>0</v>
      </c>
      <c r="AG20" s="227"/>
      <c r="AH20" s="237">
        <f t="shared" ca="1" si="15"/>
        <v>1.2799766531684351</v>
      </c>
      <c r="AI20" s="237">
        <f t="shared" ca="1" si="16"/>
        <v>1.2895611970024716</v>
      </c>
      <c r="AJ20" s="237">
        <f t="shared" ca="1" si="17"/>
        <v>1.0936226032296208</v>
      </c>
      <c r="AK20" s="227"/>
      <c r="AL20" s="261">
        <f t="shared" ca="1" si="18"/>
        <v>1.2847689250854533</v>
      </c>
      <c r="AM20" s="237">
        <f t="shared" ca="1" si="19"/>
        <v>1.0936226032296208</v>
      </c>
      <c r="AN20" s="227"/>
      <c r="AO20" s="263"/>
      <c r="AP20" s="261">
        <f t="shared" ca="1" si="20"/>
        <v>1.2799766531684351</v>
      </c>
      <c r="AQ20" s="237">
        <f t="shared" ca="1" si="21"/>
        <v>1.2210534844668424</v>
      </c>
      <c r="AR20" s="227"/>
      <c r="AS20" s="263"/>
      <c r="AT20" s="261">
        <f t="shared" ca="1" si="22"/>
        <v>1.2895611970024716</v>
      </c>
      <c r="AU20" s="237">
        <f t="shared" ca="1" si="23"/>
        <v>1.2210534844668424</v>
      </c>
      <c r="AV20" s="227"/>
      <c r="AW20" s="263"/>
      <c r="AX20" s="261">
        <f t="shared" ca="1" si="24"/>
        <v>1.0936226032296208</v>
      </c>
      <c r="AY20" s="237">
        <f t="shared" ca="1" si="25"/>
        <v>1.2210534844668424</v>
      </c>
      <c r="AZ20" s="227"/>
      <c r="BA20" s="263"/>
      <c r="BB20" s="246"/>
      <c r="BD20" s="252" t="s">
        <v>509</v>
      </c>
      <c r="BE20" s="315">
        <v>0.91724129443142888</v>
      </c>
      <c r="BF20" s="315">
        <v>1.1416398871923856</v>
      </c>
      <c r="BG20" s="315" t="s">
        <v>1067</v>
      </c>
      <c r="BH20" s="315">
        <v>1.0294405908119073</v>
      </c>
      <c r="BI20" s="15"/>
      <c r="BJ20" s="315">
        <v>1.0021121400673856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40.001751827104876</v>
      </c>
      <c r="C21" s="247">
        <f ca="1">LeastSq!$AF19</f>
        <v>48.036948218325612</v>
      </c>
      <c r="D21" s="244">
        <f>Transport!I32</f>
        <v>1</v>
      </c>
      <c r="E21" s="241">
        <f t="shared" si="0"/>
        <v>40.001751827104876</v>
      </c>
      <c r="F21" s="247">
        <f ca="1">LeastSq!$AF81</f>
        <v>48.036948218325612</v>
      </c>
      <c r="G21" s="315">
        <f t="shared" ca="1" si="9"/>
        <v>0.83272883292458222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0.91987391433707821</v>
      </c>
      <c r="AE21" s="237">
        <f t="shared" ca="1" si="13"/>
        <v>0.75159772850954831</v>
      </c>
      <c r="AF21" s="237">
        <f t="shared" si="14"/>
        <v>0</v>
      </c>
      <c r="AG21" s="227"/>
      <c r="AH21" s="237">
        <f t="shared" ca="1" si="15"/>
        <v>1.1233367624718202</v>
      </c>
      <c r="AI21" s="237">
        <f t="shared" ca="1" si="16"/>
        <v>0.97430365394534435</v>
      </c>
      <c r="AJ21" s="237">
        <f t="shared" ca="1" si="17"/>
        <v>1.2832722074581455</v>
      </c>
      <c r="AK21" s="227"/>
      <c r="AL21" s="261">
        <f t="shared" ca="1" si="18"/>
        <v>1.0488202082085822</v>
      </c>
      <c r="AM21" s="237">
        <f t="shared" ca="1" si="19"/>
        <v>1.2832722074581455</v>
      </c>
      <c r="AN21" s="227"/>
      <c r="AO21" s="263"/>
      <c r="AP21" s="261">
        <f t="shared" ca="1" si="20"/>
        <v>1.1233367624718202</v>
      </c>
      <c r="AQ21" s="237">
        <f t="shared" ca="1" si="21"/>
        <v>1.1269708746251033</v>
      </c>
      <c r="AR21" s="227"/>
      <c r="AS21" s="263"/>
      <c r="AT21" s="261">
        <f t="shared" ca="1" si="22"/>
        <v>0.97430365394534435</v>
      </c>
      <c r="AU21" s="237">
        <f t="shared" ca="1" si="23"/>
        <v>1.1269708746251033</v>
      </c>
      <c r="AV21" s="227"/>
      <c r="AW21" s="263"/>
      <c r="AX21" s="261">
        <f t="shared" ca="1" si="24"/>
        <v>1.2832722074581455</v>
      </c>
      <c r="AY21" s="237">
        <f t="shared" ca="1" si="25"/>
        <v>1.1269708746251033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38.651486387577066</v>
      </c>
      <c r="C22" s="247">
        <f ca="1">LeastSq!$AF20</f>
        <v>47.567358857040759</v>
      </c>
      <c r="D22" s="244">
        <f>Transport!I33</f>
        <v>1</v>
      </c>
      <c r="E22" s="241">
        <f t="shared" si="0"/>
        <v>38.651486387577066</v>
      </c>
      <c r="F22" s="247">
        <f ca="1">LeastSq!$AF82</f>
        <v>47.567358857040759</v>
      </c>
      <c r="G22" s="315">
        <f t="shared" ca="1" si="9"/>
        <v>0.81256322226635469</v>
      </c>
      <c r="I22" s="252" t="s">
        <v>86</v>
      </c>
      <c r="J22" s="246">
        <f ca="1">SUM(J9:J21)</f>
        <v>12.362738149443771</v>
      </c>
      <c r="K22" s="246">
        <f ca="1">SUM(K9:K21)</f>
        <v>12.175264771338497</v>
      </c>
      <c r="L22" s="246">
        <f ca="1">SUM(L9:L21)</f>
        <v>9.1898308129810857</v>
      </c>
      <c r="M22" s="15">
        <f ca="1">SUM(M9:M21)</f>
        <v>12.030520322401486</v>
      </c>
      <c r="N22" s="15"/>
      <c r="O22" s="15">
        <f ca="1">SUM(O9:O21)</f>
        <v>12.000000000000002</v>
      </c>
      <c r="P22" s="15"/>
      <c r="Q22" s="15">
        <f>SUM(Q9:Q21)</f>
        <v>12</v>
      </c>
      <c r="S22" s="250" t="s">
        <v>548</v>
      </c>
      <c r="V22" s="141">
        <f ca="1">MIN(T9:V20)</f>
        <v>0.74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0.76124941407728441</v>
      </c>
      <c r="AE22" s="237">
        <f t="shared" ca="1" si="13"/>
        <v>0.80614086326624501</v>
      </c>
      <c r="AF22" s="237">
        <f t="shared" si="14"/>
        <v>0</v>
      </c>
      <c r="AG22" s="227"/>
      <c r="AH22" s="237">
        <f t="shared" ca="1" si="15"/>
        <v>1.0181858670306536</v>
      </c>
      <c r="AI22" s="237">
        <f t="shared" ca="1" si="16"/>
        <v>1.6026702551664933</v>
      </c>
      <c r="AJ22" s="237">
        <f t="shared" ca="1" si="17"/>
        <v>1.1118874394539642</v>
      </c>
      <c r="AK22" s="227"/>
      <c r="AL22" s="264">
        <f t="shared" ca="1" si="18"/>
        <v>1.3104280610985735</v>
      </c>
      <c r="AM22" s="265">
        <f t="shared" ca="1" si="19"/>
        <v>1.1118874394539642</v>
      </c>
      <c r="AN22" s="266"/>
      <c r="AO22" s="267"/>
      <c r="AP22" s="264">
        <f t="shared" ca="1" si="20"/>
        <v>1.0181858670306536</v>
      </c>
      <c r="AQ22" s="265">
        <f t="shared" ca="1" si="21"/>
        <v>1.2442478538837036</v>
      </c>
      <c r="AR22" s="266"/>
      <c r="AS22" s="267"/>
      <c r="AT22" s="264">
        <f t="shared" ca="1" si="22"/>
        <v>1.6026702551664933</v>
      </c>
      <c r="AU22" s="265">
        <f t="shared" ca="1" si="23"/>
        <v>1.2442478538837036</v>
      </c>
      <c r="AV22" s="266"/>
      <c r="AW22" s="267"/>
      <c r="AX22" s="264">
        <f t="shared" ca="1" si="24"/>
        <v>1.1118874394539642</v>
      </c>
      <c r="AY22" s="265">
        <f t="shared" ca="1" si="25"/>
        <v>1.2442478538837036</v>
      </c>
      <c r="AZ22" s="266"/>
      <c r="BA22" s="267"/>
      <c r="BD22" s="252" t="s">
        <v>86</v>
      </c>
      <c r="BE22" s="246">
        <v>11.583186079402891</v>
      </c>
      <c r="BF22" s="246">
        <v>12.928410520765535</v>
      </c>
      <c r="BG22" s="246">
        <v>7.2070931360722108</v>
      </c>
      <c r="BH22" s="246">
        <v>12.301322855971007</v>
      </c>
      <c r="BI22" s="15"/>
      <c r="BJ22" s="15">
        <v>11.999999999999998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46.072972042039574</v>
      </c>
      <c r="C23" s="247">
        <f ca="1">LeastSq!$AF21</f>
        <v>47.102360007360211</v>
      </c>
      <c r="D23" s="244">
        <f>Transport!I34</f>
        <v>1</v>
      </c>
      <c r="E23" s="241">
        <f t="shared" si="0"/>
        <v>46.072972042039574</v>
      </c>
      <c r="F23" s="247">
        <f ca="1">LeastSq!$AF83</f>
        <v>47.102360007360211</v>
      </c>
      <c r="G23" s="315">
        <f t="shared" ca="1" si="9"/>
        <v>0.97814572422358914</v>
      </c>
      <c r="J23" s="227"/>
      <c r="L23" s="227"/>
      <c r="M23" s="227"/>
      <c r="N23" s="227"/>
      <c r="S23" t="s">
        <v>549</v>
      </c>
      <c r="V23" s="141">
        <f ca="1">MAX(T9:V20)</f>
        <v>1.69</v>
      </c>
    </row>
    <row r="24" spans="1:64" x14ac:dyDescent="0.2">
      <c r="A24" s="243">
        <f>Transport!A35</f>
        <v>44743</v>
      </c>
      <c r="B24" s="241">
        <f>Transport!$F35</f>
        <v>45.916806568230278</v>
      </c>
      <c r="C24" s="247">
        <f ca="1">LeastSq!$AF22</f>
        <v>46.641906794338922</v>
      </c>
      <c r="D24" s="244">
        <f>Transport!I35</f>
        <v>1</v>
      </c>
      <c r="E24" s="241">
        <f t="shared" si="0"/>
        <v>45.916806568230278</v>
      </c>
      <c r="F24" s="247">
        <f ca="1">LeastSq!$AF84</f>
        <v>46.641906794338922</v>
      </c>
      <c r="G24" s="315">
        <f t="shared" ca="1" si="9"/>
        <v>0.98445388973255588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45.772098230480971</v>
      </c>
      <c r="C25" s="247">
        <f ca="1">LeastSq!$AF23</f>
        <v>46.185954781710741</v>
      </c>
      <c r="D25" s="244">
        <f>Transport!I36</f>
        <v>1</v>
      </c>
      <c r="E25" s="241">
        <f t="shared" si="0"/>
        <v>45.772098230480971</v>
      </c>
      <c r="F25" s="247">
        <f ca="1">LeastSq!$AF85</f>
        <v>46.185954781710741</v>
      </c>
      <c r="G25" s="315">
        <f t="shared" ca="1" si="9"/>
        <v>0.99103934186949727</v>
      </c>
      <c r="K25" s="227"/>
      <c r="S25" s="1" t="s">
        <v>557</v>
      </c>
      <c r="V25" s="152">
        <f ca="1">ABS(1-V22)</f>
        <v>0.26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64.622452870324537</v>
      </c>
      <c r="C26" s="247">
        <f ca="1">LeastSq!$AF24</f>
        <v>45.73445996760011</v>
      </c>
      <c r="D26" s="244">
        <f>Transport!I37</f>
        <v>1</v>
      </c>
      <c r="E26" s="241">
        <f t="shared" si="0"/>
        <v>64.622452870324537</v>
      </c>
      <c r="F26" s="247">
        <f ca="1">LeastSq!$AF86</f>
        <v>45.73445996760011</v>
      </c>
      <c r="G26" s="315">
        <f t="shared" ca="1" si="9"/>
        <v>1.4129925862490853</v>
      </c>
      <c r="K26" s="227"/>
      <c r="S26" s="1" t="s">
        <v>557</v>
      </c>
      <c r="V26" s="152">
        <f ca="1">ABS(1-V23)</f>
        <v>0.69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58.400846388996591</v>
      </c>
      <c r="C27" s="247">
        <f ca="1">LeastSq!$AF25</f>
        <v>45.287378780275645</v>
      </c>
      <c r="D27" s="244">
        <f>Transport!I38</f>
        <v>1</v>
      </c>
      <c r="E27" s="241">
        <f t="shared" si="0"/>
        <v>58.400846388996591</v>
      </c>
      <c r="F27" s="247">
        <f ca="1">LeastSq!$AF87</f>
        <v>45.287378780275645</v>
      </c>
      <c r="G27" s="315">
        <f t="shared" ca="1" si="9"/>
        <v>1.2895611970024716</v>
      </c>
      <c r="S27" t="s">
        <v>558</v>
      </c>
      <c r="V27" s="152">
        <f ca="1">MAX(V25:V26)</f>
        <v>0.69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43.692323964410917</v>
      </c>
      <c r="C28" s="247">
        <f ca="1">LeastSq!$AF26</f>
        <v>44.844668073945179</v>
      </c>
      <c r="D28" s="244">
        <f>Transport!I39</f>
        <v>1</v>
      </c>
      <c r="E28" s="241">
        <f t="shared" si="0"/>
        <v>43.692323964410917</v>
      </c>
      <c r="F28" s="247">
        <f ca="1">LeastSq!$AF88</f>
        <v>44.844668073945179</v>
      </c>
      <c r="G28" s="315">
        <f t="shared" ca="1" si="9"/>
        <v>0.97430365394534435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0.89699999999999991</v>
      </c>
    </row>
    <row r="29" spans="1:64" x14ac:dyDescent="0.2">
      <c r="A29" s="243">
        <f>Transport!A40</f>
        <v>44896</v>
      </c>
      <c r="B29" s="241">
        <f>Transport!$F40</f>
        <v>71.168632311625956</v>
      </c>
      <c r="C29" s="247">
        <f ca="1">LeastSq!$AF27</f>
        <v>44.406285124592024</v>
      </c>
      <c r="D29" s="244">
        <f>Transport!I40</f>
        <v>1</v>
      </c>
      <c r="E29" s="241">
        <f t="shared" si="0"/>
        <v>71.168632311625956</v>
      </c>
      <c r="F29" s="247">
        <f ca="1">LeastSq!$AF89</f>
        <v>44.406285124592024</v>
      </c>
      <c r="G29" s="315">
        <f t="shared" ca="1" si="9"/>
        <v>1.6026702551664933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32.49841373087169</v>
      </c>
      <c r="C30" s="247">
        <f ca="1">LeastSq!$AF28</f>
        <v>43.972187625851774</v>
      </c>
      <c r="D30" s="244">
        <f>Transport!I41</f>
        <v>1</v>
      </c>
      <c r="E30" s="241">
        <f t="shared" si="0"/>
        <v>32.49841373087169</v>
      </c>
      <c r="F30" s="247">
        <f ca="1">LeastSq!$AF90</f>
        <v>43.972187625851774</v>
      </c>
      <c r="G30" s="315">
        <f t="shared" ca="1" si="9"/>
        <v>0.73906747618272883</v>
      </c>
      <c r="J30" s="227"/>
      <c r="K30" s="227"/>
      <c r="L30" s="227"/>
      <c r="M30" s="227"/>
      <c r="S30" t="s">
        <v>559</v>
      </c>
      <c r="V30" s="152">
        <f ca="1">MAX(INT((1-V28)*20)/20,0)</f>
        <v>0.1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32.72631909159788</v>
      </c>
      <c r="C31" s="247">
        <f ca="1">LeastSq!$AF29</f>
        <v>43.542333684929602</v>
      </c>
      <c r="D31" s="244">
        <f>Transport!I42</f>
        <v>1</v>
      </c>
      <c r="E31" s="241">
        <f t="shared" si="0"/>
        <v>32.72631909159788</v>
      </c>
      <c r="F31" s="247">
        <f ca="1">LeastSq!$AF91</f>
        <v>43.542333684929602</v>
      </c>
      <c r="G31" s="315">
        <f t="shared" ca="1" si="9"/>
        <v>0.75159772850954831</v>
      </c>
      <c r="J31" s="227"/>
      <c r="K31" s="227"/>
      <c r="L31" s="227"/>
      <c r="M31" s="227"/>
      <c r="S31" t="s">
        <v>560</v>
      </c>
      <c r="V31" s="270">
        <f ca="1">1+V28</f>
        <v>1.8969999999999998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34.758119102387823</v>
      </c>
      <c r="C32" s="247">
        <f ca="1">LeastSq!$AF30</f>
        <v>43.116681818557339</v>
      </c>
      <c r="D32" s="244">
        <f>Transport!I43</f>
        <v>1</v>
      </c>
      <c r="E32" s="241">
        <f t="shared" si="0"/>
        <v>34.758119102387823</v>
      </c>
      <c r="F32" s="247">
        <f ca="1">LeastSq!$AF92</f>
        <v>43.116681818557339</v>
      </c>
      <c r="G32" s="315">
        <f t="shared" ca="1" si="9"/>
        <v>0.80614086326624501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34.759223029625488</v>
      </c>
      <c r="C33" s="247">
        <f ca="1">LeastSq!$AF31</f>
        <v>42.695190948990096</v>
      </c>
      <c r="D33" s="244">
        <f>Transport!I44</f>
        <v>1</v>
      </c>
      <c r="E33" s="241">
        <f t="shared" ca="1" si="0"/>
        <v>34.759223029625488</v>
      </c>
      <c r="F33" s="247">
        <f ca="1">LeastSq!$AF93</f>
        <v>42.695190948990096</v>
      </c>
      <c r="G33" s="315">
        <f t="shared" ca="1" si="9"/>
        <v>0.81412501635497847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47.723898234394554</v>
      </c>
      <c r="C34" s="247">
        <f ca="1">LeastSq!$AF32</f>
        <v>42.277820400042053</v>
      </c>
      <c r="D34" s="244">
        <f>Transport!I45</f>
        <v>1</v>
      </c>
      <c r="E34" s="241">
        <f t="shared" ca="1" si="0"/>
        <v>47.723898234394554</v>
      </c>
      <c r="F34" s="247">
        <f ca="1">LeastSq!$AF94</f>
        <v>42.277820400042053</v>
      </c>
      <c r="G34" s="315">
        <f t="shared" ca="1" si="9"/>
        <v>1.1288164286337496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37.06392694063927</v>
      </c>
      <c r="C35" s="247">
        <f ca="1">LeastSq!$AF33</f>
        <v>41.864529893160984</v>
      </c>
      <c r="D35" s="244">
        <f>Transport!I46</f>
        <v>1</v>
      </c>
      <c r="E35" s="241">
        <f t="shared" ca="1" si="0"/>
        <v>37.06392694063927</v>
      </c>
      <c r="F35" s="247">
        <f ca="1">LeastSq!$AF95</f>
        <v>41.864529893160984</v>
      </c>
      <c r="G35" s="315">
        <f t="shared" ca="1" si="9"/>
        <v>0.88533006426268401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42.973126471810502</v>
      </c>
      <c r="C36" s="247">
        <f ca="1">LeastSq!$AF34</f>
        <v>41.455279543541138</v>
      </c>
      <c r="D36" s="244">
        <f>Transport!I47</f>
        <v>1</v>
      </c>
      <c r="E36" s="241">
        <f t="shared" ca="1" si="0"/>
        <v>42.973126471810502</v>
      </c>
      <c r="F36" s="247">
        <f ca="1">LeastSq!$AF96</f>
        <v>41.455279543541138</v>
      </c>
      <c r="G36" s="315">
        <f t="shared" ca="1" si="9"/>
        <v>1.0366140801601673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41.941143808995001</v>
      </c>
      <c r="C37" s="247">
        <f ca="1">LeastSq!$AF35</f>
        <v>41.050029856274158</v>
      </c>
      <c r="D37" s="244">
        <f>Transport!I48</f>
        <v>1</v>
      </c>
      <c r="E37" s="241">
        <f t="shared" ca="1" si="0"/>
        <v>41.941143808995001</v>
      </c>
      <c r="F37" s="247">
        <f ca="1">LeastSq!$AF97</f>
        <v>41.050029856274158</v>
      </c>
      <c r="G37" s="315">
        <f t="shared" ca="1" si="9"/>
        <v>1.021707997676027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33.106569953968474</v>
      </c>
      <c r="C38" s="247">
        <f ca="1">LeastSq!$AF36</f>
        <v>40.648741722537594</v>
      </c>
      <c r="D38" s="244">
        <f>Transport!I49</f>
        <v>1</v>
      </c>
      <c r="E38" s="241">
        <f t="shared" ca="1" si="0"/>
        <v>33.106569953968474</v>
      </c>
      <c r="F38" s="247">
        <f ca="1">LeastSq!$AF98</f>
        <v>40.648741722537594</v>
      </c>
      <c r="G38" s="315">
        <f t="shared" ca="1" si="9"/>
        <v>0.8144549757517493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44.019815059445179</v>
      </c>
      <c r="C39" s="247">
        <f ca="1">LeastSq!$AF37</f>
        <v>40.25137641582068</v>
      </c>
      <c r="D39" s="244">
        <f>Transport!I50</f>
        <v>1</v>
      </c>
      <c r="E39" s="241">
        <f t="shared" ca="1" si="0"/>
        <v>44.019815059445179</v>
      </c>
      <c r="F39" s="247">
        <f ca="1">LeastSq!$AF99</f>
        <v>40.25137641582068</v>
      </c>
      <c r="G39" s="315">
        <f t="shared" ca="1" si="9"/>
        <v>1.0936226032296208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51.148529656089053</v>
      </c>
      <c r="C40" s="247">
        <f ca="1">LeastSq!$AF38</f>
        <v>39.857895588187034</v>
      </c>
      <c r="D40" s="244">
        <f>Transport!I51</f>
        <v>1</v>
      </c>
      <c r="E40" s="241">
        <f t="shared" ca="1" si="0"/>
        <v>51.148529656089053</v>
      </c>
      <c r="F40" s="247">
        <f ca="1">LeastSq!$AF100</f>
        <v>39.857895588187034</v>
      </c>
      <c r="G40" s="315">
        <f t="shared" ca="1" si="9"/>
        <v>1.2832722074581455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43.884263959390864</v>
      </c>
      <c r="C41" s="247">
        <f ca="1">LeastSq!$AF39</f>
        <v>39.46826126657384</v>
      </c>
      <c r="D41" s="244">
        <f>Transport!I52</f>
        <v>1</v>
      </c>
      <c r="E41" s="241">
        <f t="shared" ca="1" si="0"/>
        <v>43.884263959390864</v>
      </c>
      <c r="F41" s="247">
        <f ca="1">LeastSq!$AF101</f>
        <v>39.46826126657384</v>
      </c>
      <c r="G41" s="315">
        <f t="shared" ca="1" si="9"/>
        <v>1.1118874394539642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46.809375000000003</v>
      </c>
      <c r="C42" s="247">
        <f ca="1">LeastSq!$AF40</f>
        <v>39.082435849127286</v>
      </c>
      <c r="D42" s="244">
        <f>Transport!I53</f>
        <v>1</v>
      </c>
      <c r="E42" s="241">
        <f t="shared" ca="1" si="0"/>
        <v>46.809375000000003</v>
      </c>
      <c r="F42" s="247">
        <f ca="1">LeastSq!$AF102</f>
        <v>39.082435849127286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34.877551020408163</v>
      </c>
      <c r="C43" s="247">
        <f ca="1">LeastSq!$AF41</f>
        <v>38.700382101573716</v>
      </c>
      <c r="D43" s="244">
        <f>Transport!I54</f>
        <v>1</v>
      </c>
      <c r="E43" s="241">
        <f t="shared" ca="1" si="0"/>
        <v>34.877551020408163</v>
      </c>
      <c r="F43" s="247">
        <f ca="1">LeastSq!$AF103</f>
        <v>38.700382101573716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38.530040733197559</v>
      </c>
      <c r="C44" s="247">
        <f ca="1">LeastSq!$AF42</f>
        <v>38.322063153626395</v>
      </c>
      <c r="D44" s="244">
        <f>Transport!I55</f>
        <v>1</v>
      </c>
      <c r="E44" s="241">
        <f t="shared" ca="1" si="0"/>
        <v>38.530040733197559</v>
      </c>
      <c r="F44" s="247">
        <f ca="1">LeastSq!$AF104</f>
        <v>38.322063153626395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0.68882045321195762</v>
      </c>
      <c r="D48" s="268">
        <f ca="1">+AW17</f>
        <v>0.71215542335034809</v>
      </c>
      <c r="E48" s="269">
        <f ca="1">+BA17</f>
        <v>0.91899043793663049</v>
      </c>
      <c r="F48" s="7"/>
      <c r="G48" s="269">
        <f ca="1">+AO17</f>
        <v>0.64864309669117604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AAMG - Commercial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-0.34938816208230938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0.39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-0.39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0.20237585185062912</v>
      </c>
      <c r="F7" s="314">
        <f t="shared" ca="1" si="1"/>
        <v>-5.1144931571799668E-2</v>
      </c>
      <c r="G7" s="314">
        <f t="shared" ca="1" si="1"/>
        <v>-0.1036381040455655</v>
      </c>
      <c r="W7" s="147">
        <f t="shared" ref="W7:Y19" ca="1" si="2">W120</f>
        <v>0.20237585185062912</v>
      </c>
      <c r="X7" s="147">
        <f t="shared" ca="1" si="2"/>
        <v>-5.1144931571799668E-2</v>
      </c>
      <c r="Y7" s="147">
        <f t="shared" ca="1" si="2"/>
        <v>-0.1036381040455655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-7.9345319647012302E-2</v>
      </c>
      <c r="F8" s="314">
        <f t="shared" ca="1" si="1"/>
        <v>-0.16252531465800624</v>
      </c>
      <c r="G8" s="314">
        <f t="shared" ca="1" si="1"/>
        <v>-0.11391373588174813</v>
      </c>
      <c r="W8" s="147">
        <f t="shared" ca="1" si="2"/>
        <v>-7.9345319647012302E-2</v>
      </c>
      <c r="X8" s="147">
        <f t="shared" ca="1" si="2"/>
        <v>-0.16252531465800624</v>
      </c>
      <c r="Y8" s="147">
        <f t="shared" ca="1" si="2"/>
        <v>-0.11391373588174813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-3.7440451809545583E-2</v>
      </c>
      <c r="F9" s="314">
        <f t="shared" ca="1" si="1"/>
        <v>-0.17474058827658467</v>
      </c>
      <c r="G9" s="314">
        <f t="shared" ca="1" si="1"/>
        <v>-0.13691706319252972</v>
      </c>
      <c r="W9" s="147">
        <f t="shared" ca="1" si="2"/>
        <v>-3.7440451809545583E-2</v>
      </c>
      <c r="X9" s="147">
        <f t="shared" ca="1" si="2"/>
        <v>-0.17474058827658467</v>
      </c>
      <c r="Y9" s="147">
        <f t="shared" ca="1" si="2"/>
        <v>-0.13691706319252972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-0.19744221440570442</v>
      </c>
      <c r="F10" s="314">
        <f t="shared" ca="1" si="1"/>
        <v>-0.21998062994838952</v>
      </c>
      <c r="G10" s="314">
        <f t="shared" ca="1" si="1"/>
        <v>-0.16877543867671763</v>
      </c>
      <c r="W10" s="147">
        <f t="shared" ca="1" si="2"/>
        <v>-0.19744221440570442</v>
      </c>
      <c r="X10" s="147">
        <f t="shared" ca="1" si="2"/>
        <v>-0.21998062994838952</v>
      </c>
      <c r="Y10" s="147">
        <f t="shared" ca="1" si="2"/>
        <v>-0.16877543867671763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-0.23057652192945333</v>
      </c>
      <c r="F11" s="314">
        <f t="shared" ca="1" si="1"/>
        <v>-0.17808996777118713</v>
      </c>
      <c r="G11" s="314">
        <f t="shared" ca="1" si="1"/>
        <v>-8.8937585742874248E-2</v>
      </c>
      <c r="W11" s="147">
        <f t="shared" ca="1" si="2"/>
        <v>-0.23057652192945333</v>
      </c>
      <c r="X11" s="147">
        <f t="shared" ca="1" si="2"/>
        <v>-0.17808996777118713</v>
      </c>
      <c r="Y11" s="147">
        <f t="shared" ca="1" si="2"/>
        <v>-8.8937585742874248E-2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-0.29460441106160962</v>
      </c>
      <c r="F12" s="314">
        <f t="shared" ca="1" si="1"/>
        <v>-0.17569051692381177</v>
      </c>
      <c r="G12" s="314">
        <f t="shared" ca="1" si="1"/>
        <v>-0.12301027241523366</v>
      </c>
      <c r="W12" s="147">
        <f t="shared" ca="1" si="2"/>
        <v>-0.29460441106160962</v>
      </c>
      <c r="X12" s="147">
        <f t="shared" ca="1" si="2"/>
        <v>-0.17569051692381177</v>
      </c>
      <c r="Y12" s="147">
        <f t="shared" ca="1" si="2"/>
        <v>-0.12301027241523366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-0.24496311723768538</v>
      </c>
      <c r="F13" s="314">
        <f t="shared" ca="1" si="1"/>
        <v>-0.15467568911572527</v>
      </c>
      <c r="G13" s="314">
        <f t="shared" ca="1" si="1"/>
        <v>-0.10834514976304799</v>
      </c>
      <c r="W13" s="147">
        <f t="shared" ca="1" si="2"/>
        <v>-0.24496311723768538</v>
      </c>
      <c r="X13" s="147">
        <f t="shared" ca="1" si="2"/>
        <v>-0.15467568911572527</v>
      </c>
      <c r="Y13" s="147">
        <f t="shared" ca="1" si="2"/>
        <v>-0.10834514976304799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-0.11457218775809475</v>
      </c>
      <c r="F14" s="314">
        <f t="shared" ca="1" si="1"/>
        <v>-5.5753314392029463E-2</v>
      </c>
      <c r="G14" s="314">
        <f t="shared" ca="1" si="1"/>
        <v>-2.3931244215048664E-2</v>
      </c>
      <c r="W14" s="147">
        <f t="shared" ca="1" si="2"/>
        <v>-0.11457218775809475</v>
      </c>
      <c r="X14" s="147">
        <f t="shared" ca="1" si="2"/>
        <v>-5.5753314392029463E-2</v>
      </c>
      <c r="Y14" s="147">
        <f t="shared" ca="1" si="2"/>
        <v>-2.3931244215048664E-2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-2.2047500466640946E-2</v>
      </c>
      <c r="F15" s="314">
        <f t="shared" ca="1" si="1"/>
        <v>-8.9583946948460613E-2</v>
      </c>
      <c r="G15" s="314">
        <f t="shared" ca="1" si="1"/>
        <v>-4.2109988492121997E-2</v>
      </c>
      <c r="W15" s="147">
        <f t="shared" ca="1" si="2"/>
        <v>-2.2047500466640946E-2</v>
      </c>
      <c r="X15" s="147">
        <f t="shared" ca="1" si="2"/>
        <v>-8.9583946948460613E-2</v>
      </c>
      <c r="Y15" s="147">
        <f t="shared" ca="1" si="2"/>
        <v>-4.2109988492121997E-2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-4.1524247721485441E-2</v>
      </c>
      <c r="F16" s="314">
        <f t="shared" ca="1" si="1"/>
        <v>-9.9555864486871815E-2</v>
      </c>
      <c r="G16" s="314">
        <f t="shared" ca="1" si="1"/>
        <v>-3.3715742736207699E-2</v>
      </c>
      <c r="W16" s="147">
        <f t="shared" ca="1" si="2"/>
        <v>-4.1524247721485441E-2</v>
      </c>
      <c r="X16" s="147">
        <f t="shared" ca="1" si="2"/>
        <v>-9.9555864486871815E-2</v>
      </c>
      <c r="Y16" s="147">
        <f t="shared" ca="1" si="2"/>
        <v>-3.3715742736207699E-2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1.4352536987226383E-2</v>
      </c>
      <c r="F17" s="314">
        <f t="shared" ca="1" si="1"/>
        <v>2.0253657035990358E-2</v>
      </c>
      <c r="G17" s="314">
        <f t="shared" ca="1" si="1"/>
        <v>-8.7645150565449859E-2</v>
      </c>
      <c r="W17" s="147">
        <f t="shared" ca="1" si="2"/>
        <v>1.4352536987226383E-2</v>
      </c>
      <c r="X17" s="147">
        <f t="shared" ca="1" si="2"/>
        <v>2.0253657035990358E-2</v>
      </c>
      <c r="Y17" s="147">
        <f t="shared" ca="1" si="2"/>
        <v>-8.7645150565449859E-2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-0.16190664011213229</v>
      </c>
      <c r="F18" s="314">
        <f t="shared" ca="1" si="1"/>
        <v>-6.384735682994136E-2</v>
      </c>
      <c r="G18" s="314">
        <f t="shared" ca="1" si="1"/>
        <v>-0.1317126338120953</v>
      </c>
      <c r="W18" s="147">
        <f t="shared" ca="1" si="2"/>
        <v>-0.16190664011213229</v>
      </c>
      <c r="X18" s="147">
        <f t="shared" ca="1" si="2"/>
        <v>-6.384735682994136E-2</v>
      </c>
      <c r="Y18" s="147">
        <f t="shared" ca="1" si="2"/>
        <v>-0.1317126338120953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-0.16034131775331695</v>
      </c>
      <c r="F19" s="314">
        <f t="shared" si="1"/>
        <v>-6.3730128091825544E-2</v>
      </c>
      <c r="G19" s="314">
        <f t="shared" si="1"/>
        <v>-0.12744750937544902</v>
      </c>
      <c r="W19" s="147">
        <f t="shared" si="2"/>
        <v>-0.16034131775331695</v>
      </c>
      <c r="X19" s="147">
        <f t="shared" si="2"/>
        <v>-6.3730128091825544E-2</v>
      </c>
      <c r="Y19" s="147">
        <f t="shared" si="2"/>
        <v>-0.12744750937544902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2.5381303619379958E-2</v>
      </c>
      <c r="F20" s="314">
        <f t="shared" si="3"/>
        <v>2.7390961478273024E-3</v>
      </c>
      <c r="G20" s="314"/>
      <c r="W20" s="147">
        <f t="shared" ref="W20:X25" si="4">W133</f>
        <v>2.5381303619379958E-2</v>
      </c>
      <c r="X20" s="147">
        <f t="shared" si="4"/>
        <v>2.7390961478273024E-3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1.8865248543146418E-2</v>
      </c>
      <c r="F21" s="314">
        <f t="shared" si="3"/>
        <v>-4.3385032592414552E-3</v>
      </c>
      <c r="G21" s="314"/>
      <c r="W21" s="147">
        <f t="shared" si="4"/>
        <v>1.8865248543146418E-2</v>
      </c>
      <c r="X21" s="147">
        <f t="shared" si="4"/>
        <v>-4.3385032592414552E-3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2.8563537608585765E-3</v>
      </c>
      <c r="F22" s="314">
        <f t="shared" si="3"/>
        <v>1.5756943784593469E-2</v>
      </c>
      <c r="G22" s="314"/>
      <c r="W22" s="147">
        <f t="shared" si="4"/>
        <v>2.8563537608585765E-3</v>
      </c>
      <c r="X22" s="147">
        <f t="shared" si="4"/>
        <v>1.5756943784593469E-2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-1.5054451157647364E-2</v>
      </c>
      <c r="F23" s="314">
        <f t="shared" si="3"/>
        <v>-0.16151341674516151</v>
      </c>
      <c r="G23" s="314"/>
      <c r="W23" s="147">
        <f t="shared" si="4"/>
        <v>-1.5054451157647364E-2</v>
      </c>
      <c r="X23" s="147">
        <f t="shared" si="4"/>
        <v>-0.16151341674516151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-2.3748275154294118E-2</v>
      </c>
      <c r="F24" s="314">
        <f t="shared" si="3"/>
        <v>-0.18119240710167306</v>
      </c>
      <c r="G24" s="314"/>
      <c r="W24" s="147">
        <f t="shared" si="4"/>
        <v>-2.3748275154294118E-2</v>
      </c>
      <c r="X24" s="147">
        <f t="shared" si="4"/>
        <v>-0.18119240710167306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3.0449928614242339E-2</v>
      </c>
      <c r="F25" s="314">
        <f t="shared" si="3"/>
        <v>-0.18159898849877509</v>
      </c>
      <c r="G25" s="314"/>
      <c r="W25" s="147">
        <f t="shared" si="4"/>
        <v>3.0449928614242339E-2</v>
      </c>
      <c r="X25" s="147">
        <f t="shared" si="4"/>
        <v>-0.18159898849877509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-0.28938782424852572</v>
      </c>
      <c r="F26" s="314"/>
      <c r="G26" s="314"/>
      <c r="W26" s="147">
        <f>W139</f>
        <v>-0.28938782424852572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-0.32238930093642248</v>
      </c>
      <c r="F27" s="314"/>
      <c r="G27" s="314"/>
      <c r="W27" s="147">
        <f>W140</f>
        <v>-0.32238930093642248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-0.34938816208230938</v>
      </c>
      <c r="F28" s="314"/>
      <c r="G28" s="314"/>
      <c r="W28" s="147">
        <f>W141</f>
        <v>-0.34938816208230938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-0.10411139636847259</v>
      </c>
      <c r="F30" s="147">
        <f ca="1">AVERAGE(F7:F28)</f>
        <v>-0.10416904566584595</v>
      </c>
      <c r="G30" s="147">
        <f ca="1">AVERAGE(G7:G28)</f>
        <v>-9.9238432224160719E-2</v>
      </c>
      <c r="R30" s="1"/>
      <c r="W30" s="147">
        <f ca="1">AVERAGE(W7:W28)</f>
        <v>-0.10411139636847259</v>
      </c>
      <c r="X30" s="147">
        <f ca="1">AVERAGE(X7:X28)</f>
        <v>-0.10416904566584595</v>
      </c>
      <c r="Y30" s="147">
        <f ca="1">AVERAGE(Y7:Y28)</f>
        <v>-9.9238432224160719E-2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-0.10064118527595904</v>
      </c>
      <c r="F31" s="147">
        <f ca="1">AVERAGE(F7:F18)</f>
        <v>-0.11711120532390146</v>
      </c>
      <c r="G31" s="147">
        <f ca="1">AVERAGE(G7:G18)</f>
        <v>-9.6887675794886705E-2</v>
      </c>
      <c r="R31" s="1"/>
      <c r="W31" s="147">
        <f ca="1">AVERAGE(W7:W18)</f>
        <v>-0.10064118527595904</v>
      </c>
      <c r="X31" s="147">
        <f ca="1">AVERAGE(X7:X18)</f>
        <v>-0.11711120532390146</v>
      </c>
      <c r="Y31" s="147">
        <f ca="1">AVERAGE(Y7:Y18)</f>
        <v>-9.6887675794886705E-2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-0.1032626142324693</v>
      </c>
      <c r="F36" s="278">
        <f ca="1">LeastSq!$DS$52</f>
        <v>0.10698834167810307</v>
      </c>
      <c r="G36" s="297">
        <f ca="1">LeastSq!$DS$54</f>
        <v>12.094464788155548</v>
      </c>
      <c r="V36" s="7"/>
      <c r="W36" s="278">
        <f ca="1">Charts!AK46</f>
        <v>-5.1499394256647291E-2</v>
      </c>
      <c r="X36" s="278">
        <f ca="1">LeastSq!$DS$114</f>
        <v>0.10698834167810307</v>
      </c>
      <c r="Y36" s="297">
        <f ca="1">LeastSq!$DS$116</f>
        <v>12.094464788155548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-5.1499394256647291E-2</v>
      </c>
      <c r="F37" s="278">
        <f ca="1">LeastSq!$DZ$52</f>
        <v>0.23289905646753167</v>
      </c>
      <c r="G37" s="297">
        <f ca="1">LeastSq!$DZ$54</f>
        <v>9.6044300644255909</v>
      </c>
      <c r="V37" s="10"/>
      <c r="W37" s="279">
        <f ca="1">Charts!AK47</f>
        <v>-0.13046271876633242</v>
      </c>
      <c r="X37" s="278">
        <f ca="1">LeastSq!$DZ$114</f>
        <v>0.23289905646753167</v>
      </c>
      <c r="Y37" s="297">
        <f ca="1">LeastSq!$DZ$116</f>
        <v>9.6044300644255909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-0.13046271876633242</v>
      </c>
      <c r="F38" s="278">
        <f ca="1">LeastSq!$EE$52</f>
        <v>0.25758363712413374</v>
      </c>
      <c r="G38" s="297">
        <f ca="1">LeastSq!$EE$54</f>
        <v>9.7387994584139133</v>
      </c>
      <c r="V38" s="10"/>
      <c r="W38" s="279">
        <f ca="1">Charts!AK48</f>
        <v>0.13760782633022606</v>
      </c>
      <c r="X38" s="278">
        <f ca="1">LeastSq!$EE$114</f>
        <v>0.25758363712413374</v>
      </c>
      <c r="Y38" s="297">
        <f ca="1">LeastSq!$EE$116</f>
        <v>9.7387994584139133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0.13760782633022606</v>
      </c>
      <c r="F39" s="278">
        <f ca="1">LeastSq!$EJ$52</f>
        <v>6.9361046143616018E-2</v>
      </c>
      <c r="G39" s="297">
        <f ca="1">LeastSq!$EJ$54</f>
        <v>5.4965954561792296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-0.34938816208230938</v>
      </c>
      <c r="F62" s="147"/>
      <c r="G62" s="147"/>
      <c r="H62" s="147">
        <f ca="1">+E36</f>
        <v>-0.1032626142324693</v>
      </c>
      <c r="I62" s="147"/>
      <c r="J62" s="147"/>
      <c r="K62" s="300">
        <f t="shared" ref="K62:K83" si="7">+D62</f>
        <v>44713</v>
      </c>
      <c r="L62" s="147">
        <f t="shared" ref="L62:L83" si="8">+M253</f>
        <v>-0.34938816208230938</v>
      </c>
      <c r="M62" s="147"/>
      <c r="N62" s="147"/>
      <c r="O62" s="147">
        <f ca="1">+W36</f>
        <v>-5.1499394256647291E-2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-0.32238930093642248</v>
      </c>
      <c r="F63" s="147"/>
      <c r="G63" s="147"/>
      <c r="H63" s="147">
        <f t="shared" ref="H63:H72" ca="1" si="9">+H62</f>
        <v>-0.1032626142324693</v>
      </c>
      <c r="I63" s="147"/>
      <c r="J63" s="147"/>
      <c r="K63" s="300">
        <f t="shared" si="7"/>
        <v>44743</v>
      </c>
      <c r="L63" s="147">
        <f t="shared" si="8"/>
        <v>-0.32238930093642248</v>
      </c>
      <c r="M63" s="147"/>
      <c r="N63" s="147"/>
      <c r="O63" s="147">
        <f t="shared" ref="O63:O83" ca="1" si="10">+O62</f>
        <v>-5.1499394256647291E-2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-0.28938782424852572</v>
      </c>
      <c r="F64" s="147"/>
      <c r="G64" s="147"/>
      <c r="H64" s="147">
        <f t="shared" ca="1" si="9"/>
        <v>-0.1032626142324693</v>
      </c>
      <c r="I64" s="147"/>
      <c r="J64" s="147"/>
      <c r="K64" s="300">
        <f t="shared" si="7"/>
        <v>44774</v>
      </c>
      <c r="L64" s="147">
        <f t="shared" si="8"/>
        <v>-0.28938782424852572</v>
      </c>
      <c r="M64" s="147"/>
      <c r="N64" s="147"/>
      <c r="O64" s="147">
        <f t="shared" ca="1" si="10"/>
        <v>-5.1499394256647291E-2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3.0449928614242339E-2</v>
      </c>
      <c r="F65" s="147">
        <f t="shared" ref="F65:F83" si="11">+R256</f>
        <v>-0.18159898849877509</v>
      </c>
      <c r="G65" s="147"/>
      <c r="H65" s="147">
        <f t="shared" ca="1" si="9"/>
        <v>-0.1032626142324693</v>
      </c>
      <c r="I65" s="147"/>
      <c r="J65" s="147"/>
      <c r="K65" s="300">
        <f t="shared" si="7"/>
        <v>44805</v>
      </c>
      <c r="L65" s="147">
        <f t="shared" si="8"/>
        <v>3.0449928614242339E-2</v>
      </c>
      <c r="M65" s="147">
        <f t="shared" ref="M65:M83" si="12">+S256</f>
        <v>-0.18159898849877509</v>
      </c>
      <c r="N65" s="147"/>
      <c r="O65" s="147">
        <f t="shared" ca="1" si="10"/>
        <v>-5.1499394256647291E-2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-2.3748275154294118E-2</v>
      </c>
      <c r="F66" s="147">
        <f t="shared" si="11"/>
        <v>-0.18119240710167306</v>
      </c>
      <c r="G66" s="147"/>
      <c r="H66" s="147">
        <f t="shared" ca="1" si="9"/>
        <v>-0.1032626142324693</v>
      </c>
      <c r="I66" s="147"/>
      <c r="J66" s="147"/>
      <c r="K66" s="300">
        <f t="shared" si="7"/>
        <v>44835</v>
      </c>
      <c r="L66" s="147">
        <f t="shared" si="8"/>
        <v>-2.3748275154294118E-2</v>
      </c>
      <c r="M66" s="147">
        <f t="shared" si="12"/>
        <v>-0.18119240710167306</v>
      </c>
      <c r="N66" s="147"/>
      <c r="O66" s="147">
        <f t="shared" ca="1" si="10"/>
        <v>-5.1499394256647291E-2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-1.5054451157647364E-2</v>
      </c>
      <c r="F67" s="147">
        <f t="shared" si="11"/>
        <v>-0.16151341674516151</v>
      </c>
      <c r="G67" s="147"/>
      <c r="H67" s="147">
        <f t="shared" ca="1" si="9"/>
        <v>-0.1032626142324693</v>
      </c>
      <c r="I67" s="147"/>
      <c r="J67" s="147"/>
      <c r="K67" s="300">
        <f t="shared" si="7"/>
        <v>44866</v>
      </c>
      <c r="L67" s="147">
        <f t="shared" si="8"/>
        <v>-1.5054451157647364E-2</v>
      </c>
      <c r="M67" s="147">
        <f t="shared" si="12"/>
        <v>-0.16151341674516151</v>
      </c>
      <c r="N67" s="147"/>
      <c r="O67" s="147">
        <f t="shared" ca="1" si="10"/>
        <v>-5.1499394256647291E-2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2.8563537608585765E-3</v>
      </c>
      <c r="F68" s="147">
        <f t="shared" si="11"/>
        <v>1.5756943784593469E-2</v>
      </c>
      <c r="G68" s="147"/>
      <c r="H68" s="147">
        <f t="shared" ca="1" si="9"/>
        <v>-0.1032626142324693</v>
      </c>
      <c r="I68" s="147"/>
      <c r="J68" s="147"/>
      <c r="K68" s="300">
        <f t="shared" si="7"/>
        <v>44896</v>
      </c>
      <c r="L68" s="147">
        <f t="shared" si="8"/>
        <v>2.8563537608585765E-3</v>
      </c>
      <c r="M68" s="147">
        <f t="shared" si="12"/>
        <v>1.5756943784593469E-2</v>
      </c>
      <c r="N68" s="147"/>
      <c r="O68" s="147">
        <f t="shared" ca="1" si="10"/>
        <v>-5.1499394256647291E-2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1.8865248543146418E-2</v>
      </c>
      <c r="F69" s="147">
        <f t="shared" si="11"/>
        <v>-4.3385032592414552E-3</v>
      </c>
      <c r="G69" s="147"/>
      <c r="H69" s="147">
        <f t="shared" ca="1" si="9"/>
        <v>-0.1032626142324693</v>
      </c>
      <c r="I69" s="147"/>
      <c r="J69" s="147"/>
      <c r="K69" s="300">
        <f t="shared" si="7"/>
        <v>44927</v>
      </c>
      <c r="L69" s="147">
        <f t="shared" si="8"/>
        <v>1.8865248543146418E-2</v>
      </c>
      <c r="M69" s="147">
        <f t="shared" si="12"/>
        <v>-4.3385032592414552E-3</v>
      </c>
      <c r="N69" s="147"/>
      <c r="O69" s="147">
        <f t="shared" ca="1" si="10"/>
        <v>-5.1499394256647291E-2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2.5381303619379958E-2</v>
      </c>
      <c r="F70" s="147">
        <f t="shared" si="11"/>
        <v>2.7390961478273024E-3</v>
      </c>
      <c r="G70" s="147"/>
      <c r="H70" s="147">
        <f t="shared" ca="1" si="9"/>
        <v>-0.1032626142324693</v>
      </c>
      <c r="I70" s="147"/>
      <c r="J70" s="147"/>
      <c r="K70" s="300">
        <f t="shared" si="7"/>
        <v>44958</v>
      </c>
      <c r="L70" s="147">
        <f t="shared" si="8"/>
        <v>2.5381303619379958E-2</v>
      </c>
      <c r="M70" s="147">
        <f t="shared" si="12"/>
        <v>2.7390961478273024E-3</v>
      </c>
      <c r="N70" s="147"/>
      <c r="O70" s="147">
        <f t="shared" ca="1" si="10"/>
        <v>-5.1499394256647291E-2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-0.16034131775331695</v>
      </c>
      <c r="F71" s="147">
        <f t="shared" si="11"/>
        <v>-6.3730128091825544E-2</v>
      </c>
      <c r="G71" s="147">
        <f t="shared" ref="G71:G83" si="13">+X262</f>
        <v>-0.12744750937544902</v>
      </c>
      <c r="H71" s="147">
        <f t="shared" ca="1" si="9"/>
        <v>-0.1032626142324693</v>
      </c>
      <c r="I71" s="147"/>
      <c r="J71" s="147"/>
      <c r="K71" s="300">
        <f t="shared" si="7"/>
        <v>44986</v>
      </c>
      <c r="L71" s="147">
        <f t="shared" si="8"/>
        <v>-0.16034131775331695</v>
      </c>
      <c r="M71" s="147">
        <f t="shared" si="12"/>
        <v>-6.3730128091825544E-2</v>
      </c>
      <c r="N71" s="147">
        <f t="shared" ref="N71:N83" si="14">+Y262</f>
        <v>-0.12744750937544902</v>
      </c>
      <c r="O71" s="147">
        <f t="shared" ca="1" si="10"/>
        <v>-5.1499394256647291E-2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-0.16190664011213229</v>
      </c>
      <c r="F72" s="147">
        <f t="shared" ca="1" si="11"/>
        <v>-6.384735682994136E-2</v>
      </c>
      <c r="G72" s="147">
        <f t="shared" ca="1" si="13"/>
        <v>-0.1317126338120953</v>
      </c>
      <c r="H72" s="147">
        <f t="shared" ca="1" si="9"/>
        <v>-0.1032626142324693</v>
      </c>
      <c r="I72" s="147"/>
      <c r="J72" s="147"/>
      <c r="K72" s="300">
        <f t="shared" si="7"/>
        <v>45017</v>
      </c>
      <c r="L72" s="147">
        <f t="shared" ca="1" si="8"/>
        <v>-0.16190664011213229</v>
      </c>
      <c r="M72" s="147">
        <f t="shared" ca="1" si="12"/>
        <v>-6.384735682994136E-2</v>
      </c>
      <c r="N72" s="147">
        <f t="shared" ca="1" si="14"/>
        <v>-0.1317126338120953</v>
      </c>
      <c r="O72" s="147">
        <f t="shared" ca="1" si="10"/>
        <v>-5.1499394256647291E-2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1.4352536987226383E-2</v>
      </c>
      <c r="F73" s="147">
        <f t="shared" ca="1" si="11"/>
        <v>2.0253657035990358E-2</v>
      </c>
      <c r="G73" s="147">
        <f t="shared" ca="1" si="13"/>
        <v>-8.7645150565449859E-2</v>
      </c>
      <c r="H73" s="147">
        <f t="shared" ref="H73:H83" ca="1" si="15">+H72</f>
        <v>-0.1032626142324693</v>
      </c>
      <c r="I73" s="147"/>
      <c r="J73" s="147"/>
      <c r="K73" s="300">
        <f t="shared" si="7"/>
        <v>45047</v>
      </c>
      <c r="L73" s="147">
        <f t="shared" ca="1" si="8"/>
        <v>1.4352536987226383E-2</v>
      </c>
      <c r="M73" s="147">
        <f t="shared" ca="1" si="12"/>
        <v>2.0253657035990358E-2</v>
      </c>
      <c r="N73" s="147">
        <f t="shared" ca="1" si="14"/>
        <v>-8.7645150565449859E-2</v>
      </c>
      <c r="O73" s="147">
        <f t="shared" ca="1" si="10"/>
        <v>-5.1499394256647291E-2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-4.1524247721485441E-2</v>
      </c>
      <c r="F74" s="147">
        <f t="shared" ca="1" si="11"/>
        <v>-9.9555864486871815E-2</v>
      </c>
      <c r="G74" s="147">
        <f t="shared" ca="1" si="13"/>
        <v>-3.3715742736207699E-2</v>
      </c>
      <c r="H74" s="147">
        <f t="shared" ca="1" si="15"/>
        <v>-0.1032626142324693</v>
      </c>
      <c r="I74" s="147"/>
      <c r="J74" s="147"/>
      <c r="K74" s="300">
        <f t="shared" si="7"/>
        <v>45078</v>
      </c>
      <c r="L74" s="147">
        <f t="shared" ca="1" si="8"/>
        <v>-4.1524247721485441E-2</v>
      </c>
      <c r="M74" s="147">
        <f t="shared" ca="1" si="12"/>
        <v>-9.9555864486871815E-2</v>
      </c>
      <c r="N74" s="147">
        <f t="shared" ca="1" si="14"/>
        <v>-3.3715742736207699E-2</v>
      </c>
      <c r="O74" s="147">
        <f t="shared" ca="1" si="10"/>
        <v>-5.1499394256647291E-2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-2.2047500466640946E-2</v>
      </c>
      <c r="F75" s="147">
        <f t="shared" ca="1" si="11"/>
        <v>-8.9583946948460613E-2</v>
      </c>
      <c r="G75" s="147">
        <f t="shared" ca="1" si="13"/>
        <v>-4.2109988492121997E-2</v>
      </c>
      <c r="H75" s="147">
        <f t="shared" ca="1" si="15"/>
        <v>-0.1032626142324693</v>
      </c>
      <c r="I75" s="147"/>
      <c r="J75" s="147"/>
      <c r="K75" s="300">
        <f t="shared" si="7"/>
        <v>45108</v>
      </c>
      <c r="L75" s="147">
        <f t="shared" ca="1" si="8"/>
        <v>-2.2047500466640946E-2</v>
      </c>
      <c r="M75" s="147">
        <f t="shared" ca="1" si="12"/>
        <v>-8.9583946948460613E-2</v>
      </c>
      <c r="N75" s="147">
        <f t="shared" ca="1" si="14"/>
        <v>-4.2109988492121997E-2</v>
      </c>
      <c r="O75" s="147">
        <f t="shared" ca="1" si="10"/>
        <v>-5.1499394256647291E-2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-0.11457218775809475</v>
      </c>
      <c r="F76" s="147">
        <f t="shared" ca="1" si="11"/>
        <v>-5.5753314392029463E-2</v>
      </c>
      <c r="G76" s="147">
        <f t="shared" ca="1" si="13"/>
        <v>-2.3931244215048664E-2</v>
      </c>
      <c r="H76" s="147">
        <f t="shared" ca="1" si="15"/>
        <v>-0.1032626142324693</v>
      </c>
      <c r="I76" s="147"/>
      <c r="J76" s="147"/>
      <c r="K76" s="300">
        <f t="shared" si="7"/>
        <v>45139</v>
      </c>
      <c r="L76" s="147">
        <f t="shared" ca="1" si="8"/>
        <v>-0.11457218775809475</v>
      </c>
      <c r="M76" s="147">
        <f t="shared" ca="1" si="12"/>
        <v>-5.5753314392029463E-2</v>
      </c>
      <c r="N76" s="147">
        <f t="shared" ca="1" si="14"/>
        <v>-2.3931244215048664E-2</v>
      </c>
      <c r="O76" s="147">
        <f t="shared" ca="1" si="10"/>
        <v>-5.1499394256647291E-2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-0.24496311723768538</v>
      </c>
      <c r="F77" s="147">
        <f t="shared" ca="1" si="11"/>
        <v>-0.15467568911572527</v>
      </c>
      <c r="G77" s="147">
        <f t="shared" ca="1" si="13"/>
        <v>-0.10834514976304799</v>
      </c>
      <c r="H77" s="147">
        <f t="shared" ca="1" si="15"/>
        <v>-0.1032626142324693</v>
      </c>
      <c r="I77" s="147"/>
      <c r="J77" s="147"/>
      <c r="K77" s="300">
        <f t="shared" si="7"/>
        <v>45170</v>
      </c>
      <c r="L77" s="147">
        <f t="shared" ca="1" si="8"/>
        <v>-0.24496311723768538</v>
      </c>
      <c r="M77" s="147">
        <f t="shared" ca="1" si="12"/>
        <v>-0.15467568911572527</v>
      </c>
      <c r="N77" s="147">
        <f t="shared" ca="1" si="14"/>
        <v>-0.10834514976304799</v>
      </c>
      <c r="O77" s="147">
        <f t="shared" ca="1" si="10"/>
        <v>-5.1499394256647291E-2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-0.29460441106160962</v>
      </c>
      <c r="F78" s="147">
        <f t="shared" ca="1" si="11"/>
        <v>-0.17569051692381177</v>
      </c>
      <c r="G78" s="147">
        <f t="shared" ca="1" si="13"/>
        <v>-0.12301027241523366</v>
      </c>
      <c r="H78" s="147">
        <f t="shared" ca="1" si="15"/>
        <v>-0.1032626142324693</v>
      </c>
      <c r="I78" s="147"/>
      <c r="J78" s="147"/>
      <c r="K78" s="300">
        <f t="shared" si="7"/>
        <v>45200</v>
      </c>
      <c r="L78" s="147">
        <f t="shared" ca="1" si="8"/>
        <v>-0.29460441106160962</v>
      </c>
      <c r="M78" s="147">
        <f t="shared" ca="1" si="12"/>
        <v>-0.17569051692381177</v>
      </c>
      <c r="N78" s="147">
        <f t="shared" ca="1" si="14"/>
        <v>-0.12301027241523366</v>
      </c>
      <c r="O78" s="147">
        <f t="shared" ca="1" si="10"/>
        <v>-5.1499394256647291E-2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-0.23057652192945333</v>
      </c>
      <c r="F79" s="147">
        <f t="shared" ca="1" si="11"/>
        <v>-0.17808996777118713</v>
      </c>
      <c r="G79" s="147">
        <f t="shared" ca="1" si="13"/>
        <v>-8.8937585742874248E-2</v>
      </c>
      <c r="H79" s="147">
        <f t="shared" ca="1" si="15"/>
        <v>-0.1032626142324693</v>
      </c>
      <c r="I79" s="147"/>
      <c r="J79" s="147"/>
      <c r="K79" s="300">
        <f t="shared" si="7"/>
        <v>45231</v>
      </c>
      <c r="L79" s="147">
        <f t="shared" ca="1" si="8"/>
        <v>-0.23057652192945333</v>
      </c>
      <c r="M79" s="147">
        <f t="shared" ca="1" si="12"/>
        <v>-0.17808996777118713</v>
      </c>
      <c r="N79" s="147">
        <f t="shared" ca="1" si="14"/>
        <v>-8.8937585742874248E-2</v>
      </c>
      <c r="O79" s="147">
        <f t="shared" ca="1" si="10"/>
        <v>-5.1499394256647291E-2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-0.19744221440570442</v>
      </c>
      <c r="F80" s="147">
        <f t="shared" ca="1" si="11"/>
        <v>-0.21998062994838952</v>
      </c>
      <c r="G80" s="147">
        <f t="shared" ca="1" si="13"/>
        <v>-0.16877543867671763</v>
      </c>
      <c r="H80" s="147">
        <f t="shared" ca="1" si="15"/>
        <v>-0.1032626142324693</v>
      </c>
      <c r="I80" s="147"/>
      <c r="J80" s="147"/>
      <c r="K80" s="300">
        <f t="shared" si="7"/>
        <v>45261</v>
      </c>
      <c r="L80" s="147">
        <f t="shared" ca="1" si="8"/>
        <v>-0.19744221440570442</v>
      </c>
      <c r="M80" s="147">
        <f t="shared" ca="1" si="12"/>
        <v>-0.21998062994838952</v>
      </c>
      <c r="N80" s="147">
        <f t="shared" ca="1" si="14"/>
        <v>-0.16877543867671763</v>
      </c>
      <c r="O80" s="147">
        <f t="shared" ca="1" si="10"/>
        <v>-5.1499394256647291E-2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-3.7440451809545583E-2</v>
      </c>
      <c r="F81" s="147">
        <f t="shared" ca="1" si="11"/>
        <v>-0.17474058827658467</v>
      </c>
      <c r="G81" s="147">
        <f t="shared" ca="1" si="13"/>
        <v>-0.13691706319252972</v>
      </c>
      <c r="H81" s="147">
        <f t="shared" ca="1" si="15"/>
        <v>-0.1032626142324693</v>
      </c>
      <c r="I81" s="147"/>
      <c r="J81" s="147"/>
      <c r="K81" s="300">
        <f t="shared" si="7"/>
        <v>45292</v>
      </c>
      <c r="L81" s="147">
        <f t="shared" ca="1" si="8"/>
        <v>-3.7440451809545583E-2</v>
      </c>
      <c r="M81" s="147">
        <f t="shared" ca="1" si="12"/>
        <v>-0.17474058827658467</v>
      </c>
      <c r="N81" s="147">
        <f t="shared" ca="1" si="14"/>
        <v>-0.13691706319252972</v>
      </c>
      <c r="O81" s="147">
        <f t="shared" ca="1" si="10"/>
        <v>-5.1499394256647291E-2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-7.9345319647012302E-2</v>
      </c>
      <c r="F82" s="147">
        <f t="shared" ca="1" si="11"/>
        <v>-0.16252531465800624</v>
      </c>
      <c r="G82" s="147">
        <f t="shared" ca="1" si="13"/>
        <v>-0.11391373588174813</v>
      </c>
      <c r="H82" s="147">
        <f t="shared" ca="1" si="15"/>
        <v>-0.1032626142324693</v>
      </c>
      <c r="I82" s="147"/>
      <c r="J82" s="147"/>
      <c r="K82" s="300">
        <f t="shared" si="7"/>
        <v>45323</v>
      </c>
      <c r="L82" s="147">
        <f t="shared" ca="1" si="8"/>
        <v>-7.9345319647012302E-2</v>
      </c>
      <c r="M82" s="147">
        <f t="shared" ca="1" si="12"/>
        <v>-0.16252531465800624</v>
      </c>
      <c r="N82" s="147">
        <f t="shared" ca="1" si="14"/>
        <v>-0.11391373588174813</v>
      </c>
      <c r="O82" s="147">
        <f t="shared" ca="1" si="10"/>
        <v>-5.1499394256647291E-2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0.20237585185062912</v>
      </c>
      <c r="F83" s="147">
        <f t="shared" ca="1" si="11"/>
        <v>-5.1144931571799668E-2</v>
      </c>
      <c r="G83" s="147">
        <f t="shared" ca="1" si="13"/>
        <v>-0.1036381040455655</v>
      </c>
      <c r="H83" s="147">
        <f t="shared" ca="1" si="15"/>
        <v>-0.1032626142324693</v>
      </c>
      <c r="I83" s="147"/>
      <c r="J83" s="147"/>
      <c r="K83" s="300">
        <f t="shared" si="7"/>
        <v>45352</v>
      </c>
      <c r="L83" s="147">
        <f t="shared" ca="1" si="8"/>
        <v>0.20237585185062912</v>
      </c>
      <c r="M83" s="147">
        <f t="shared" ca="1" si="12"/>
        <v>-5.1144931571799668E-2</v>
      </c>
      <c r="N83" s="147">
        <f t="shared" ca="1" si="14"/>
        <v>-0.1036381040455655</v>
      </c>
      <c r="O83" s="147">
        <f t="shared" ca="1" si="10"/>
        <v>-5.1499394256647291E-2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1.2023758518506291</v>
      </c>
      <c r="G90" s="287">
        <f ca="1">+R234</f>
        <v>0.94885506842820033</v>
      </c>
      <c r="H90" s="287">
        <f ca="1">+X234</f>
        <v>0.8963618959544345</v>
      </c>
      <c r="I90" s="7"/>
      <c r="J90" s="7"/>
      <c r="K90" s="7"/>
      <c r="L90" s="287">
        <f ca="1">+M234</f>
        <v>1.2023758518506291</v>
      </c>
      <c r="M90" s="287">
        <f ca="1">+S234</f>
        <v>0.94885506842820033</v>
      </c>
      <c r="N90" s="287">
        <f ca="1">+Y234</f>
        <v>0.8963618959544345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0.9206546803529877</v>
      </c>
      <c r="G91" s="287">
        <f ca="1">+R233</f>
        <v>0.83747468534199376</v>
      </c>
      <c r="H91" s="287">
        <f ca="1">+X233</f>
        <v>0.88608626411825187</v>
      </c>
      <c r="I91" s="7"/>
      <c r="J91" s="7"/>
      <c r="K91" s="7"/>
      <c r="L91" s="287">
        <f ca="1">+M233</f>
        <v>0.9206546803529877</v>
      </c>
      <c r="M91" s="287">
        <f ca="1">+S233</f>
        <v>0.83747468534199376</v>
      </c>
      <c r="N91" s="287">
        <f ca="1">+Y233</f>
        <v>0.88608626411825187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0.96255954819045442</v>
      </c>
      <c r="G92" s="287">
        <f ca="1">+R232</f>
        <v>0.82525941172341533</v>
      </c>
      <c r="H92" s="287">
        <f ca="1">+X232</f>
        <v>0.86308293680747028</v>
      </c>
      <c r="I92" s="7"/>
      <c r="J92" s="7"/>
      <c r="K92" s="7"/>
      <c r="L92" s="287">
        <f ca="1">+M232</f>
        <v>0.96255954819045442</v>
      </c>
      <c r="M92" s="287">
        <f ca="1">+S232</f>
        <v>0.82525941172341533</v>
      </c>
      <c r="N92" s="287">
        <f ca="1">+Y232</f>
        <v>0.86308293680747028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0.80255778559429558</v>
      </c>
      <c r="G93" s="287">
        <f ca="1">+R231</f>
        <v>0.78001937005161048</v>
      </c>
      <c r="H93" s="287">
        <f ca="1">+X231</f>
        <v>0.83122456132328237</v>
      </c>
      <c r="I93" s="7"/>
      <c r="J93" s="7"/>
      <c r="K93" s="7"/>
      <c r="L93" s="287">
        <f ca="1">+M231</f>
        <v>0.80255778559429558</v>
      </c>
      <c r="M93" s="287">
        <f ca="1">+S231</f>
        <v>0.78001937005161048</v>
      </c>
      <c r="N93" s="287">
        <f ca="1">+Y231</f>
        <v>0.83122456132328237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0.76942347807054667</v>
      </c>
      <c r="G94" s="287">
        <f ca="1">+R230</f>
        <v>0.82191003222881287</v>
      </c>
      <c r="H94" s="287">
        <f ca="1">+X230</f>
        <v>0.91106241425712575</v>
      </c>
      <c r="I94" s="7"/>
      <c r="J94" s="7"/>
      <c r="K94" s="7"/>
      <c r="L94" s="287">
        <f ca="1">+M230</f>
        <v>0.76942347807054667</v>
      </c>
      <c r="M94" s="287">
        <f ca="1">+S230</f>
        <v>0.82191003222881287</v>
      </c>
      <c r="N94" s="287">
        <f ca="1">+Y230</f>
        <v>0.91106241425712575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0.70539558893839038</v>
      </c>
      <c r="G95" s="287">
        <f ca="1">+R229</f>
        <v>0.82430948307618823</v>
      </c>
      <c r="H95" s="287">
        <f ca="1">+X229</f>
        <v>0.87698972758476634</v>
      </c>
      <c r="I95" s="7"/>
      <c r="J95" s="7"/>
      <c r="K95" s="7"/>
      <c r="L95" s="287">
        <f ca="1">+M229</f>
        <v>0.70539558893839038</v>
      </c>
      <c r="M95" s="287">
        <f ca="1">+S229</f>
        <v>0.82430948307618823</v>
      </c>
      <c r="N95" s="287">
        <f ca="1">+Y229</f>
        <v>0.87698972758476634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0.75503688276231462</v>
      </c>
      <c r="G96" s="287">
        <f ca="1">+R228</f>
        <v>0.84532431088427473</v>
      </c>
      <c r="H96" s="287">
        <f ca="1">+X228</f>
        <v>0.89165485023695201</v>
      </c>
      <c r="I96" s="7"/>
      <c r="J96" s="7"/>
      <c r="K96" s="7"/>
      <c r="L96" s="287">
        <f ca="1">+M228</f>
        <v>0.75503688276231462</v>
      </c>
      <c r="M96" s="287">
        <f ca="1">+S228</f>
        <v>0.84532431088427473</v>
      </c>
      <c r="N96" s="287">
        <f ca="1">+Y228</f>
        <v>0.89165485023695201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0.88542781224190525</v>
      </c>
      <c r="G97" s="287">
        <f ca="1">+R227</f>
        <v>0.94424668560797054</v>
      </c>
      <c r="H97" s="287">
        <f ca="1">+X227</f>
        <v>0.97606875578495134</v>
      </c>
      <c r="I97" s="7"/>
      <c r="J97" s="7"/>
      <c r="K97" s="7"/>
      <c r="L97" s="287">
        <f ca="1">+M227</f>
        <v>0.88542781224190525</v>
      </c>
      <c r="M97" s="287">
        <f ca="1">+S227</f>
        <v>0.94424668560797054</v>
      </c>
      <c r="N97" s="287">
        <f ca="1">+Y227</f>
        <v>0.97606875578495134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0.97795249953335905</v>
      </c>
      <c r="G98" s="287">
        <f ca="1">+R226</f>
        <v>0.91041605305153939</v>
      </c>
      <c r="H98" s="287">
        <f ca="1">+X226</f>
        <v>0.957890011507878</v>
      </c>
      <c r="I98" s="7"/>
      <c r="J98" s="7"/>
      <c r="K98" s="7"/>
      <c r="L98" s="287">
        <f ca="1">+M226</f>
        <v>0.97795249953335905</v>
      </c>
      <c r="M98" s="287">
        <f ca="1">+S226</f>
        <v>0.91041605305153939</v>
      </c>
      <c r="N98" s="287">
        <f ca="1">+Y226</f>
        <v>0.957890011507878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0.95847575227851456</v>
      </c>
      <c r="G99" s="287">
        <f ca="1">+R225</f>
        <v>0.90044413551312819</v>
      </c>
      <c r="H99" s="287">
        <f ca="1">+X225</f>
        <v>0.9662842572637923</v>
      </c>
      <c r="I99" s="7"/>
      <c r="J99" s="7"/>
      <c r="K99" s="7"/>
      <c r="L99" s="287">
        <f ca="1">+M225</f>
        <v>0.95847575227851456</v>
      </c>
      <c r="M99" s="287">
        <f ca="1">+S225</f>
        <v>0.90044413551312819</v>
      </c>
      <c r="N99" s="287">
        <f ca="1">+Y225</f>
        <v>0.9662842572637923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1.0143525369872264</v>
      </c>
      <c r="G100" s="287">
        <f ca="1">+R224</f>
        <v>1.0202536570359904</v>
      </c>
      <c r="H100" s="287">
        <f ca="1">+X224</f>
        <v>0.91235484943455014</v>
      </c>
      <c r="I100" s="7"/>
      <c r="J100" s="7"/>
      <c r="K100" s="7"/>
      <c r="L100" s="287">
        <f ca="1">+M224</f>
        <v>1.0143525369872264</v>
      </c>
      <c r="M100" s="287">
        <f ca="1">+S224</f>
        <v>1.0202536570359904</v>
      </c>
      <c r="N100" s="287">
        <f ca="1">+Y224</f>
        <v>0.91235484943455014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0.83809335988786771</v>
      </c>
      <c r="G101" s="287">
        <f ca="1">+R223</f>
        <v>0.93615264317005864</v>
      </c>
      <c r="H101" s="287">
        <f ca="1">+X223</f>
        <v>0.8682873661879047</v>
      </c>
      <c r="I101" s="7"/>
      <c r="J101" s="7"/>
      <c r="K101" s="7"/>
      <c r="L101" s="287">
        <f ca="1">+M223</f>
        <v>0.83809335988786771</v>
      </c>
      <c r="M101" s="287">
        <f ca="1">+S223</f>
        <v>0.93615264317005864</v>
      </c>
      <c r="N101" s="287">
        <f ca="1">+Y223</f>
        <v>0.8682873661879047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0.83965868224668305</v>
      </c>
      <c r="G102" s="287">
        <f>+R222</f>
        <v>0.93626987190817446</v>
      </c>
      <c r="H102" s="287">
        <f>+X222</f>
        <v>0.87255249062455098</v>
      </c>
      <c r="I102" s="7"/>
      <c r="J102" s="7"/>
      <c r="K102" s="7"/>
      <c r="L102" s="287">
        <f>+M222</f>
        <v>0.83965868224668305</v>
      </c>
      <c r="M102" s="287">
        <f>+S222</f>
        <v>0.93626987190817446</v>
      </c>
      <c r="N102" s="287">
        <f>+Y222</f>
        <v>0.87255249062455098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1.02538130361938</v>
      </c>
      <c r="G103" s="287">
        <f>+R221</f>
        <v>1.0027390961478273</v>
      </c>
      <c r="H103" s="287"/>
      <c r="I103" s="7"/>
      <c r="J103" s="7"/>
      <c r="K103" s="7"/>
      <c r="L103" s="287">
        <f>+M221</f>
        <v>1.02538130361938</v>
      </c>
      <c r="M103" s="287">
        <f>+S221</f>
        <v>1.0027390961478273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1.0188652485431464</v>
      </c>
      <c r="G104" s="287">
        <f>+R220</f>
        <v>0.99566149674075854</v>
      </c>
      <c r="H104" s="287"/>
      <c r="I104" s="7"/>
      <c r="J104" s="7"/>
      <c r="K104" s="7"/>
      <c r="L104" s="287">
        <f>+M220</f>
        <v>1.0188652485431464</v>
      </c>
      <c r="M104" s="287">
        <f>+S220</f>
        <v>0.99566149674075854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1.0028563537608586</v>
      </c>
      <c r="G105" s="287">
        <f>+R219</f>
        <v>1.0157569437845935</v>
      </c>
      <c r="H105" s="287"/>
      <c r="I105" s="7"/>
      <c r="J105" s="7"/>
      <c r="K105" s="7"/>
      <c r="L105" s="287">
        <f>+M219</f>
        <v>1.0028563537608586</v>
      </c>
      <c r="M105" s="287">
        <f>+S219</f>
        <v>1.0157569437845935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0.98494554884235264</v>
      </c>
      <c r="G106" s="287">
        <f>+R218</f>
        <v>0.83848658325483849</v>
      </c>
      <c r="H106" s="287"/>
      <c r="I106" s="7"/>
      <c r="J106" s="7"/>
      <c r="K106" s="7"/>
      <c r="L106" s="287">
        <f>+M218</f>
        <v>0.98494554884235264</v>
      </c>
      <c r="M106" s="287">
        <f>+S218</f>
        <v>0.83848658325483849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0.97625172484570588</v>
      </c>
      <c r="G107" s="287">
        <f>+R217</f>
        <v>0.81880759289832694</v>
      </c>
      <c r="H107" s="287"/>
      <c r="I107" s="7"/>
      <c r="J107" s="7"/>
      <c r="K107" s="7"/>
      <c r="L107" s="287">
        <f>+M217</f>
        <v>0.97625172484570588</v>
      </c>
      <c r="M107" s="287">
        <f>+S217</f>
        <v>0.81880759289832694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1.0304499286142423</v>
      </c>
      <c r="G108" s="287">
        <f>+R216</f>
        <v>0.81840101150122491</v>
      </c>
      <c r="H108" s="287"/>
      <c r="I108" s="7"/>
      <c r="J108" s="7"/>
      <c r="K108" s="7"/>
      <c r="L108" s="287">
        <f>+M216</f>
        <v>1.0304499286142423</v>
      </c>
      <c r="M108" s="287">
        <f>+S216</f>
        <v>0.81840101150122491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0.71061217575147428</v>
      </c>
      <c r="G109" s="287"/>
      <c r="H109" s="287"/>
      <c r="I109" s="7"/>
      <c r="J109" s="7"/>
      <c r="K109" s="7"/>
      <c r="L109" s="287">
        <f>+M215</f>
        <v>0.71061217575147428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0.67761069906357752</v>
      </c>
      <c r="G110" s="287"/>
      <c r="H110" s="287"/>
      <c r="I110" s="7"/>
      <c r="J110" s="7"/>
      <c r="K110" s="7"/>
      <c r="L110" s="287">
        <f>+M214</f>
        <v>0.67761069906357752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0.65061183791769062</v>
      </c>
      <c r="G111" s="287"/>
      <c r="H111" s="287"/>
      <c r="I111" s="7"/>
      <c r="J111" s="7"/>
      <c r="K111" s="7"/>
      <c r="L111" s="287">
        <f>+M213</f>
        <v>0.65061183791769062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0.20237585185062912</v>
      </c>
      <c r="G120" s="147">
        <f t="shared" ca="1" si="17"/>
        <v>-5.1144931571799668E-2</v>
      </c>
      <c r="H120" s="147">
        <f t="shared" ca="1" si="17"/>
        <v>-0.1036381040455655</v>
      </c>
      <c r="V120" s="7"/>
      <c r="W120" s="147">
        <f ca="1">IF(L90="NA","NA",+L90-1)</f>
        <v>0.20237585185062912</v>
      </c>
      <c r="X120" s="147">
        <f t="shared" ref="X120:Y135" ca="1" si="18">IF(M90="NA","NA",+M90-1)</f>
        <v>-5.1144931571799668E-2</v>
      </c>
      <c r="Y120" s="147">
        <f t="shared" ca="1" si="18"/>
        <v>-0.1036381040455655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-7.9345319647012302E-2</v>
      </c>
      <c r="G121" s="147">
        <f t="shared" ca="1" si="17"/>
        <v>-0.16252531465800624</v>
      </c>
      <c r="H121" s="147">
        <f t="shared" ca="1" si="17"/>
        <v>-0.11391373588174813</v>
      </c>
      <c r="V121" s="7"/>
      <c r="W121" s="147">
        <f t="shared" ref="W121:X141" ca="1" si="19">IF(L91="NA","NA",+L91-1)</f>
        <v>-7.9345319647012302E-2</v>
      </c>
      <c r="X121" s="147">
        <f t="shared" ca="1" si="18"/>
        <v>-0.16252531465800624</v>
      </c>
      <c r="Y121" s="147">
        <f t="shared" ca="1" si="18"/>
        <v>-0.11391373588174813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-3.7440451809545583E-2</v>
      </c>
      <c r="G122" s="147">
        <f t="shared" ca="1" si="17"/>
        <v>-0.17474058827658467</v>
      </c>
      <c r="H122" s="147">
        <f t="shared" ca="1" si="17"/>
        <v>-0.13691706319252972</v>
      </c>
      <c r="V122" s="7"/>
      <c r="W122" s="147">
        <f t="shared" ca="1" si="19"/>
        <v>-3.7440451809545583E-2</v>
      </c>
      <c r="X122" s="147">
        <f t="shared" ca="1" si="18"/>
        <v>-0.17474058827658467</v>
      </c>
      <c r="Y122" s="147">
        <f t="shared" ca="1" si="18"/>
        <v>-0.13691706319252972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-0.19744221440570442</v>
      </c>
      <c r="G123" s="147">
        <f t="shared" ca="1" si="17"/>
        <v>-0.21998062994838952</v>
      </c>
      <c r="H123" s="147">
        <f t="shared" ca="1" si="17"/>
        <v>-0.16877543867671763</v>
      </c>
      <c r="V123" s="7"/>
      <c r="W123" s="147">
        <f t="shared" ca="1" si="19"/>
        <v>-0.19744221440570442</v>
      </c>
      <c r="X123" s="147">
        <f t="shared" ca="1" si="18"/>
        <v>-0.21998062994838952</v>
      </c>
      <c r="Y123" s="147">
        <f t="shared" ca="1" si="18"/>
        <v>-0.16877543867671763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-0.23057652192945333</v>
      </c>
      <c r="G124" s="147">
        <f t="shared" ca="1" si="17"/>
        <v>-0.17808996777118713</v>
      </c>
      <c r="H124" s="147">
        <f t="shared" ca="1" si="17"/>
        <v>-8.8937585742874248E-2</v>
      </c>
      <c r="V124" s="7"/>
      <c r="W124" s="147">
        <f t="shared" ca="1" si="19"/>
        <v>-0.23057652192945333</v>
      </c>
      <c r="X124" s="147">
        <f t="shared" ca="1" si="18"/>
        <v>-0.17808996777118713</v>
      </c>
      <c r="Y124" s="147">
        <f t="shared" ca="1" si="18"/>
        <v>-8.8937585742874248E-2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-0.29460441106160962</v>
      </c>
      <c r="G125" s="147">
        <f t="shared" ca="1" si="17"/>
        <v>-0.17569051692381177</v>
      </c>
      <c r="H125" s="147">
        <f t="shared" ca="1" si="17"/>
        <v>-0.12301027241523366</v>
      </c>
      <c r="V125" s="7"/>
      <c r="W125" s="147">
        <f t="shared" ca="1" si="19"/>
        <v>-0.29460441106160962</v>
      </c>
      <c r="X125" s="147">
        <f t="shared" ca="1" si="18"/>
        <v>-0.17569051692381177</v>
      </c>
      <c r="Y125" s="147">
        <f t="shared" ca="1" si="18"/>
        <v>-0.12301027241523366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-0.24496311723768538</v>
      </c>
      <c r="G126" s="147">
        <f t="shared" ca="1" si="17"/>
        <v>-0.15467568911572527</v>
      </c>
      <c r="H126" s="147">
        <f t="shared" ca="1" si="17"/>
        <v>-0.10834514976304799</v>
      </c>
      <c r="V126" s="7"/>
      <c r="W126" s="147">
        <f t="shared" ca="1" si="19"/>
        <v>-0.24496311723768538</v>
      </c>
      <c r="X126" s="147">
        <f t="shared" ca="1" si="18"/>
        <v>-0.15467568911572527</v>
      </c>
      <c r="Y126" s="147">
        <f t="shared" ca="1" si="18"/>
        <v>-0.10834514976304799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-0.11457218775809475</v>
      </c>
      <c r="G127" s="147">
        <f t="shared" ca="1" si="17"/>
        <v>-5.5753314392029463E-2</v>
      </c>
      <c r="H127" s="147">
        <f t="shared" ca="1" si="17"/>
        <v>-2.3931244215048664E-2</v>
      </c>
      <c r="V127" s="7"/>
      <c r="W127" s="147">
        <f t="shared" ca="1" si="19"/>
        <v>-0.11457218775809475</v>
      </c>
      <c r="X127" s="147">
        <f t="shared" ca="1" si="18"/>
        <v>-5.5753314392029463E-2</v>
      </c>
      <c r="Y127" s="147">
        <f t="shared" ca="1" si="18"/>
        <v>-2.3931244215048664E-2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-2.2047500466640946E-2</v>
      </c>
      <c r="G128" s="147">
        <f t="shared" ca="1" si="17"/>
        <v>-8.9583946948460613E-2</v>
      </c>
      <c r="H128" s="147">
        <f t="shared" ca="1" si="17"/>
        <v>-4.2109988492121997E-2</v>
      </c>
      <c r="V128" s="7"/>
      <c r="W128" s="147">
        <f t="shared" ca="1" si="19"/>
        <v>-2.2047500466640946E-2</v>
      </c>
      <c r="X128" s="147">
        <f t="shared" ca="1" si="18"/>
        <v>-8.9583946948460613E-2</v>
      </c>
      <c r="Y128" s="147">
        <f t="shared" ca="1" si="18"/>
        <v>-4.2109988492121997E-2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-4.1524247721485441E-2</v>
      </c>
      <c r="G129" s="147">
        <f t="shared" ca="1" si="17"/>
        <v>-9.9555864486871815E-2</v>
      </c>
      <c r="H129" s="147">
        <f t="shared" ca="1" si="17"/>
        <v>-3.3715742736207699E-2</v>
      </c>
      <c r="V129" s="7"/>
      <c r="W129" s="147">
        <f t="shared" ca="1" si="19"/>
        <v>-4.1524247721485441E-2</v>
      </c>
      <c r="X129" s="147">
        <f t="shared" ca="1" si="18"/>
        <v>-9.9555864486871815E-2</v>
      </c>
      <c r="Y129" s="147">
        <f t="shared" ca="1" si="18"/>
        <v>-3.3715742736207699E-2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1.4352536987226383E-2</v>
      </c>
      <c r="G130" s="147">
        <f t="shared" ca="1" si="17"/>
        <v>2.0253657035990358E-2</v>
      </c>
      <c r="H130" s="147">
        <f t="shared" ca="1" si="17"/>
        <v>-8.7645150565449859E-2</v>
      </c>
      <c r="V130" s="7"/>
      <c r="W130" s="147">
        <f t="shared" ca="1" si="19"/>
        <v>1.4352536987226383E-2</v>
      </c>
      <c r="X130" s="147">
        <f t="shared" ca="1" si="18"/>
        <v>2.0253657035990358E-2</v>
      </c>
      <c r="Y130" s="147">
        <f t="shared" ca="1" si="18"/>
        <v>-8.7645150565449859E-2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-0.16190664011213229</v>
      </c>
      <c r="G131" s="147">
        <f t="shared" ca="1" si="17"/>
        <v>-6.384735682994136E-2</v>
      </c>
      <c r="H131" s="147">
        <f t="shared" ca="1" si="17"/>
        <v>-0.1317126338120953</v>
      </c>
      <c r="V131" s="7"/>
      <c r="W131" s="147">
        <f t="shared" ca="1" si="19"/>
        <v>-0.16190664011213229</v>
      </c>
      <c r="X131" s="147">
        <f t="shared" ca="1" si="18"/>
        <v>-6.384735682994136E-2</v>
      </c>
      <c r="Y131" s="147">
        <f t="shared" ca="1" si="18"/>
        <v>-0.1317126338120953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-0.16034131775331695</v>
      </c>
      <c r="G132" s="147">
        <f t="shared" si="17"/>
        <v>-6.3730128091825544E-2</v>
      </c>
      <c r="H132" s="147">
        <f t="shared" si="17"/>
        <v>-0.12744750937544902</v>
      </c>
      <c r="V132" s="7"/>
      <c r="W132" s="147">
        <f t="shared" si="19"/>
        <v>-0.16034131775331695</v>
      </c>
      <c r="X132" s="147">
        <f t="shared" si="18"/>
        <v>-6.3730128091825544E-2</v>
      </c>
      <c r="Y132" s="147">
        <f t="shared" si="18"/>
        <v>-0.12744750937544902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2.5381303619379958E-2</v>
      </c>
      <c r="G133" s="147">
        <f t="shared" si="20"/>
        <v>2.7390961478273024E-3</v>
      </c>
      <c r="H133" s="287"/>
      <c r="V133" s="7"/>
      <c r="W133" s="147">
        <f t="shared" si="19"/>
        <v>2.5381303619379958E-2</v>
      </c>
      <c r="X133" s="147">
        <f t="shared" si="18"/>
        <v>2.7390961478273024E-3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1.8865248543146418E-2</v>
      </c>
      <c r="G134" s="147">
        <f t="shared" si="20"/>
        <v>-4.3385032592414552E-3</v>
      </c>
      <c r="H134" s="287"/>
      <c r="V134" s="7"/>
      <c r="W134" s="147">
        <f t="shared" si="19"/>
        <v>1.8865248543146418E-2</v>
      </c>
      <c r="X134" s="147">
        <f t="shared" si="18"/>
        <v>-4.3385032592414552E-3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2.8563537608585765E-3</v>
      </c>
      <c r="G135" s="147">
        <f t="shared" si="20"/>
        <v>1.5756943784593469E-2</v>
      </c>
      <c r="H135" s="287"/>
      <c r="V135" s="7"/>
      <c r="W135" s="147">
        <f t="shared" si="19"/>
        <v>2.8563537608585765E-3</v>
      </c>
      <c r="X135" s="147">
        <f t="shared" si="18"/>
        <v>1.5756943784593469E-2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-1.5054451157647364E-2</v>
      </c>
      <c r="G136" s="147">
        <f t="shared" si="20"/>
        <v>-0.16151341674516151</v>
      </c>
      <c r="H136" s="287"/>
      <c r="V136" s="7"/>
      <c r="W136" s="147">
        <f t="shared" si="19"/>
        <v>-1.5054451157647364E-2</v>
      </c>
      <c r="X136" s="147">
        <f t="shared" si="19"/>
        <v>-0.16151341674516151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-2.3748275154294118E-2</v>
      </c>
      <c r="G137" s="147">
        <f t="shared" si="20"/>
        <v>-0.18119240710167306</v>
      </c>
      <c r="H137" s="287"/>
      <c r="V137" s="7"/>
      <c r="W137" s="147">
        <f t="shared" si="19"/>
        <v>-2.3748275154294118E-2</v>
      </c>
      <c r="X137" s="147">
        <f t="shared" si="19"/>
        <v>-0.18119240710167306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3.0449928614242339E-2</v>
      </c>
      <c r="G138" s="147">
        <f t="shared" si="20"/>
        <v>-0.18159898849877509</v>
      </c>
      <c r="H138" s="287"/>
      <c r="V138" s="7"/>
      <c r="W138" s="147">
        <f t="shared" si="19"/>
        <v>3.0449928614242339E-2</v>
      </c>
      <c r="X138" s="147">
        <f t="shared" si="19"/>
        <v>-0.18159898849877509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-0.28938782424852572</v>
      </c>
      <c r="G139" s="287"/>
      <c r="H139" s="287"/>
      <c r="V139" s="7"/>
      <c r="W139" s="147">
        <f t="shared" si="19"/>
        <v>-0.28938782424852572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-0.32238930093642248</v>
      </c>
      <c r="G140" s="287"/>
      <c r="H140" s="287"/>
      <c r="V140" s="7"/>
      <c r="W140" s="147">
        <f t="shared" si="19"/>
        <v>-0.32238930093642248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-0.34938816208230938</v>
      </c>
      <c r="G141" s="287"/>
      <c r="H141" s="287"/>
      <c r="V141" s="7"/>
      <c r="W141" s="147">
        <f t="shared" si="19"/>
        <v>-0.34938816208230938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42.919151732377529</v>
      </c>
      <c r="D148" s="73">
        <f t="shared" ref="D148:D183" si="21">+C148*B148</f>
        <v>42.919151732377529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59.249342218400699</v>
      </c>
      <c r="D149" s="281">
        <f t="shared" si="21"/>
        <v>59.249342218400699</v>
      </c>
      <c r="E149" s="281"/>
      <c r="F149" s="10"/>
      <c r="G149" s="10"/>
      <c r="H149" s="10"/>
      <c r="I149" s="281">
        <f t="shared" ref="I149:I182" si="22">AVERAGE(C148:C150)</f>
        <v>63.902008841356043</v>
      </c>
      <c r="J149" s="281">
        <f t="shared" ref="J149:J182" si="23">AVERAGE(D148:D150)</f>
        <v>63.902008841356043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89.537532573289894</v>
      </c>
      <c r="D150" s="281">
        <f t="shared" si="21"/>
        <v>89.537532573289894</v>
      </c>
      <c r="E150" s="281"/>
      <c r="F150" s="10"/>
      <c r="G150" s="10"/>
      <c r="H150" s="10"/>
      <c r="I150" s="281">
        <f t="shared" si="22"/>
        <v>64.265644554897719</v>
      </c>
      <c r="J150" s="281">
        <f t="shared" si="23"/>
        <v>64.265644554897719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44.010058873002535</v>
      </c>
      <c r="D151" s="281">
        <f t="shared" si="21"/>
        <v>44.010058873002535</v>
      </c>
      <c r="E151" s="281"/>
      <c r="F151" s="10"/>
      <c r="G151" s="10"/>
      <c r="H151" s="10"/>
      <c r="I151" s="281">
        <f t="shared" si="22"/>
        <v>64.621219816593239</v>
      </c>
      <c r="J151" s="281">
        <f t="shared" si="23"/>
        <v>64.621219816593239</v>
      </c>
      <c r="K151" s="10"/>
      <c r="L151" s="10"/>
      <c r="M151" s="10"/>
      <c r="N151" s="10"/>
      <c r="O151" s="281">
        <f t="shared" ref="O151:O181" si="24">AVERAGE(C148:C153)</f>
        <v>57.23306056082847</v>
      </c>
      <c r="P151" s="281">
        <f t="shared" ref="P151:P181" si="25">AVERAGE(D148:D153)</f>
        <v>57.23306056082847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60.316068003487331</v>
      </c>
      <c r="D152" s="281">
        <f t="shared" si="21"/>
        <v>60.316068003487331</v>
      </c>
      <c r="E152" s="281"/>
      <c r="F152" s="10"/>
      <c r="G152" s="10"/>
      <c r="H152" s="10"/>
      <c r="I152" s="281">
        <f t="shared" si="22"/>
        <v>50.56411228030089</v>
      </c>
      <c r="J152" s="281">
        <f t="shared" si="23"/>
        <v>50.56411228030089</v>
      </c>
      <c r="K152" s="10"/>
      <c r="L152" s="10"/>
      <c r="M152" s="10"/>
      <c r="N152" s="10"/>
      <c r="O152" s="281">
        <f t="shared" si="24"/>
        <v>60.949740631930261</v>
      </c>
      <c r="P152" s="281">
        <f t="shared" si="25"/>
        <v>60.949740631930261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47.366209964412811</v>
      </c>
      <c r="D153" s="281">
        <f t="shared" si="21"/>
        <v>47.366209964412811</v>
      </c>
      <c r="E153" s="281"/>
      <c r="F153" s="10"/>
      <c r="G153" s="10"/>
      <c r="H153" s="10"/>
      <c r="I153" s="281">
        <f t="shared" si="22"/>
        <v>57.633836708962804</v>
      </c>
      <c r="J153" s="281">
        <f t="shared" si="23"/>
        <v>57.633836708962804</v>
      </c>
      <c r="K153" s="10"/>
      <c r="L153" s="10"/>
      <c r="M153" s="10"/>
      <c r="N153" s="10"/>
      <c r="O153" s="281">
        <f t="shared" si="24"/>
        <v>60.521242705828733</v>
      </c>
      <c r="P153" s="281">
        <f t="shared" si="25"/>
        <v>60.521242705828733</v>
      </c>
      <c r="Q153" s="10"/>
      <c r="R153" s="10"/>
      <c r="S153" s="10"/>
      <c r="U153" s="281">
        <f t="shared" ref="U153:U177" si="26">AVERAGE(C148:C159)</f>
        <v>52.936855611489442</v>
      </c>
      <c r="V153" s="281">
        <f t="shared" ref="V153:V177" si="27">AVERAGE(D148:D159)</f>
        <v>52.936855611489442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65.219232158988262</v>
      </c>
      <c r="D154" s="281">
        <f t="shared" si="21"/>
        <v>65.219232158988262</v>
      </c>
      <c r="E154" s="281"/>
      <c r="F154" s="10"/>
      <c r="G154" s="10"/>
      <c r="H154" s="10"/>
      <c r="I154" s="281">
        <f t="shared" si="22"/>
        <v>56.421265595064227</v>
      </c>
      <c r="J154" s="281">
        <f t="shared" si="23"/>
        <v>56.421265595064227</v>
      </c>
      <c r="K154" s="10"/>
      <c r="L154" s="10"/>
      <c r="M154" s="10"/>
      <c r="N154" s="10"/>
      <c r="O154" s="281">
        <f t="shared" si="24"/>
        <v>54.076775346491452</v>
      </c>
      <c r="P154" s="281">
        <f t="shared" si="25"/>
        <v>54.076775346491452</v>
      </c>
      <c r="Q154" s="10"/>
      <c r="R154" s="10"/>
      <c r="S154" s="10"/>
      <c r="U154" s="281">
        <f t="shared" si="26"/>
        <v>52.693738952716721</v>
      </c>
      <c r="V154" s="281">
        <f t="shared" si="27"/>
        <v>52.693738952716721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56.678354661791616</v>
      </c>
      <c r="D155" s="281">
        <f t="shared" si="21"/>
        <v>56.678354661791616</v>
      </c>
      <c r="E155" s="281"/>
      <c r="F155" s="10"/>
      <c r="G155" s="10"/>
      <c r="H155" s="10"/>
      <c r="I155" s="281">
        <f t="shared" si="22"/>
        <v>57.589438412682028</v>
      </c>
      <c r="J155" s="281">
        <f t="shared" si="23"/>
        <v>57.589438412682028</v>
      </c>
      <c r="K155" s="10"/>
      <c r="L155" s="10"/>
      <c r="M155" s="10"/>
      <c r="N155" s="10"/>
      <c r="O155" s="281">
        <f t="shared" si="24"/>
        <v>52.922063795715268</v>
      </c>
      <c r="P155" s="281">
        <f t="shared" si="25"/>
        <v>52.922063795715268</v>
      </c>
      <c r="Q155" s="10"/>
      <c r="R155" s="10"/>
      <c r="S155" s="10"/>
      <c r="U155" s="281">
        <f t="shared" si="26"/>
        <v>50.977250966814729</v>
      </c>
      <c r="V155" s="281">
        <f t="shared" si="27"/>
        <v>50.977250966814729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50.870728417266207</v>
      </c>
      <c r="D156" s="281">
        <f t="shared" si="21"/>
        <v>50.870728417266207</v>
      </c>
      <c r="E156" s="281"/>
      <c r="F156" s="10"/>
      <c r="G156" s="10"/>
      <c r="H156" s="10"/>
      <c r="I156" s="281">
        <f t="shared" si="22"/>
        <v>48.210290882467717</v>
      </c>
      <c r="J156" s="281">
        <f t="shared" si="23"/>
        <v>48.210290882467717</v>
      </c>
      <c r="K156" s="10"/>
      <c r="L156" s="10"/>
      <c r="M156" s="10"/>
      <c r="N156" s="10"/>
      <c r="O156" s="281">
        <f t="shared" si="24"/>
        <v>50.380168600563898</v>
      </c>
      <c r="P156" s="281">
        <f t="shared" si="25"/>
        <v>50.380168600563898</v>
      </c>
      <c r="Q156" s="10"/>
      <c r="R156" s="10"/>
      <c r="S156" s="10"/>
      <c r="U156" s="281">
        <f t="shared" si="26"/>
        <v>47.355204255877219</v>
      </c>
      <c r="V156" s="281">
        <f t="shared" si="27"/>
        <v>47.355204255877219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37.081789568345329</v>
      </c>
      <c r="D157" s="281">
        <f t="shared" si="21"/>
        <v>37.081789568345329</v>
      </c>
      <c r="E157" s="281"/>
      <c r="F157" s="10"/>
      <c r="G157" s="10"/>
      <c r="H157" s="10"/>
      <c r="I157" s="281">
        <f t="shared" si="22"/>
        <v>44.339071606063577</v>
      </c>
      <c r="J157" s="281">
        <f t="shared" si="23"/>
        <v>44.339071606063577</v>
      </c>
      <c r="K157" s="10"/>
      <c r="L157" s="10"/>
      <c r="M157" s="10"/>
      <c r="N157" s="10"/>
      <c r="O157" s="281">
        <f t="shared" si="24"/>
        <v>48.640650662150392</v>
      </c>
      <c r="P157" s="281">
        <f t="shared" si="25"/>
        <v>48.640650662150392</v>
      </c>
      <c r="Q157" s="10"/>
      <c r="R157" s="10"/>
      <c r="S157" s="10"/>
      <c r="U157" s="281">
        <f t="shared" si="26"/>
        <v>47.514099897146203</v>
      </c>
      <c r="V157" s="281">
        <f t="shared" si="27"/>
        <v>47.514099897146203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45.064696832579187</v>
      </c>
      <c r="D158" s="281">
        <f t="shared" si="21"/>
        <v>45.064696832579187</v>
      </c>
      <c r="E158" s="281"/>
      <c r="F158" s="10"/>
      <c r="G158" s="10"/>
      <c r="H158" s="10"/>
      <c r="I158" s="281">
        <f t="shared" si="22"/>
        <v>39.691862911618763</v>
      </c>
      <c r="J158" s="281">
        <f t="shared" si="23"/>
        <v>39.691862911618763</v>
      </c>
      <c r="K158" s="10"/>
      <c r="L158" s="10"/>
      <c r="M158" s="10"/>
      <c r="N158" s="10"/>
      <c r="O158" s="281">
        <f t="shared" si="24"/>
        <v>44.437737273503167</v>
      </c>
      <c r="P158" s="281">
        <f t="shared" si="25"/>
        <v>44.437737273503167</v>
      </c>
      <c r="Q158" s="10"/>
      <c r="R158" s="10"/>
      <c r="S158" s="10"/>
      <c r="U158" s="281">
        <f t="shared" si="26"/>
        <v>46.302102416062326</v>
      </c>
      <c r="V158" s="281">
        <f t="shared" si="27"/>
        <v>46.302102416062326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36.92910233393178</v>
      </c>
      <c r="D159" s="281">
        <f t="shared" si="21"/>
        <v>36.92910233393178</v>
      </c>
      <c r="E159" s="281"/>
      <c r="F159" s="10"/>
      <c r="G159" s="10"/>
      <c r="H159" s="10"/>
      <c r="I159" s="281">
        <f t="shared" si="22"/>
        <v>40.66518366453861</v>
      </c>
      <c r="J159" s="281">
        <f t="shared" si="23"/>
        <v>40.66518366453861</v>
      </c>
      <c r="K159" s="10"/>
      <c r="L159" s="10"/>
      <c r="M159" s="10"/>
      <c r="N159" s="10"/>
      <c r="O159" s="281">
        <f t="shared" si="24"/>
        <v>41.43325922780074</v>
      </c>
      <c r="P159" s="281">
        <f t="shared" si="25"/>
        <v>41.43325922780074</v>
      </c>
      <c r="Q159" s="10"/>
      <c r="R159" s="10"/>
      <c r="S159" s="10"/>
      <c r="U159" s="281">
        <f t="shared" si="26"/>
        <v>47.740122658221644</v>
      </c>
      <c r="V159" s="281">
        <f t="shared" si="27"/>
        <v>47.740122658221644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40.001751827104876</v>
      </c>
      <c r="D160" s="281">
        <f t="shared" si="21"/>
        <v>40.001751827104876</v>
      </c>
      <c r="E160" s="281"/>
      <c r="F160" s="283">
        <f t="shared" ref="F160:F183" si="28">+C160/C148</f>
        <v>0.93202568579490785</v>
      </c>
      <c r="G160" s="283">
        <f t="shared" ref="G160:G183" si="29">+D160/D148</f>
        <v>0.93202568579490785</v>
      </c>
      <c r="H160" s="10"/>
      <c r="I160" s="281">
        <f t="shared" si="22"/>
        <v>38.527446849537903</v>
      </c>
      <c r="J160" s="281">
        <f t="shared" si="23"/>
        <v>38.527446849537903</v>
      </c>
      <c r="K160" s="10"/>
      <c r="L160" s="283"/>
      <c r="M160" s="283"/>
      <c r="N160" s="10"/>
      <c r="O160" s="281">
        <f t="shared" si="24"/>
        <v>40.633633165262971</v>
      </c>
      <c r="P160" s="281">
        <f t="shared" si="25"/>
        <v>40.633633165262971</v>
      </c>
      <c r="Q160" s="10"/>
      <c r="R160" s="283"/>
      <c r="S160" s="283"/>
      <c r="U160" s="281">
        <f t="shared" si="26"/>
        <v>47.171923844055669</v>
      </c>
      <c r="V160" s="281">
        <f t="shared" si="27"/>
        <v>47.171923844055669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38.651486387577066</v>
      </c>
      <c r="D161" s="281">
        <f t="shared" si="21"/>
        <v>38.651486387577066</v>
      </c>
      <c r="E161" s="281"/>
      <c r="F161" s="283">
        <f t="shared" si="28"/>
        <v>0.6523530041076695</v>
      </c>
      <c r="G161" s="283">
        <f t="shared" si="29"/>
        <v>0.6523530041076695</v>
      </c>
      <c r="H161" s="10"/>
      <c r="I161" s="281">
        <f t="shared" si="22"/>
        <v>41.575403418907172</v>
      </c>
      <c r="J161" s="281">
        <f t="shared" si="23"/>
        <v>41.575403418907172</v>
      </c>
      <c r="K161" s="10"/>
      <c r="L161" s="283">
        <f t="shared" ref="L161:M182" si="30">+I161/I149</f>
        <v>0.65061183791769062</v>
      </c>
      <c r="M161" s="283">
        <f t="shared" si="30"/>
        <v>0.65061183791769062</v>
      </c>
      <c r="N161" s="10"/>
      <c r="O161" s="281">
        <f t="shared" si="24"/>
        <v>42.106135998577123</v>
      </c>
      <c r="P161" s="281">
        <f t="shared" si="25"/>
        <v>42.106135998577123</v>
      </c>
      <c r="Q161" s="10"/>
      <c r="R161" s="283"/>
      <c r="S161" s="283"/>
      <c r="U161" s="281">
        <f t="shared" si="26"/>
        <v>46.089754619273947</v>
      </c>
      <c r="V161" s="281">
        <f t="shared" si="27"/>
        <v>46.089754619273947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46.072972042039574</v>
      </c>
      <c r="D162" s="281">
        <f t="shared" si="21"/>
        <v>46.072972042039574</v>
      </c>
      <c r="E162" s="281"/>
      <c r="F162" s="283">
        <f t="shared" si="28"/>
        <v>0.51456602296167908</v>
      </c>
      <c r="G162" s="283">
        <f t="shared" si="29"/>
        <v>0.51456602296167908</v>
      </c>
      <c r="H162" s="10"/>
      <c r="I162" s="281">
        <f t="shared" si="22"/>
        <v>43.547088332615637</v>
      </c>
      <c r="J162" s="281">
        <f t="shared" si="23"/>
        <v>43.547088332615637</v>
      </c>
      <c r="K162" s="10"/>
      <c r="L162" s="283">
        <f t="shared" si="30"/>
        <v>0.67761069906357752</v>
      </c>
      <c r="M162" s="283">
        <f t="shared" si="30"/>
        <v>0.67761069906357752</v>
      </c>
      <c r="N162" s="10"/>
      <c r="O162" s="281">
        <f t="shared" si="24"/>
        <v>42.224036231560753</v>
      </c>
      <c r="P162" s="281">
        <f t="shared" si="25"/>
        <v>42.224036231560753</v>
      </c>
      <c r="Q162" s="10"/>
      <c r="R162" s="283"/>
      <c r="S162" s="283"/>
      <c r="U162" s="281">
        <f t="shared" si="26"/>
        <v>47.781246610470589</v>
      </c>
      <c r="V162" s="281">
        <f t="shared" si="27"/>
        <v>47.781246610470589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45.916806568230278</v>
      </c>
      <c r="D163" s="281">
        <f t="shared" si="21"/>
        <v>45.916806568230278</v>
      </c>
      <c r="E163" s="281"/>
      <c r="F163" s="283">
        <f t="shared" si="28"/>
        <v>1.043325270269007</v>
      </c>
      <c r="G163" s="283">
        <f t="shared" si="29"/>
        <v>1.043325270269007</v>
      </c>
      <c r="H163" s="10"/>
      <c r="I163" s="281">
        <f t="shared" si="22"/>
        <v>45.92062561358361</v>
      </c>
      <c r="J163" s="281">
        <f t="shared" si="23"/>
        <v>45.92062561358361</v>
      </c>
      <c r="K163" s="10"/>
      <c r="L163" s="283">
        <f t="shared" si="30"/>
        <v>0.71061217575147428</v>
      </c>
      <c r="M163" s="283">
        <f t="shared" si="30"/>
        <v>0.71061217575147428</v>
      </c>
      <c r="N163" s="10"/>
      <c r="O163" s="281">
        <f t="shared" si="24"/>
        <v>46.839594654292881</v>
      </c>
      <c r="P163" s="281">
        <f t="shared" si="25"/>
        <v>46.839594654292881</v>
      </c>
      <c r="Q163" s="10"/>
      <c r="R163" s="283">
        <f t="shared" ref="R163:R181" si="31">+O163/O151</f>
        <v>0.81840101150122491</v>
      </c>
      <c r="S163" s="283">
        <f t="shared" ref="S163:S181" si="32">+P163/P151</f>
        <v>0.81840101150122491</v>
      </c>
      <c r="U163" s="281">
        <f t="shared" si="26"/>
        <v>47.399298624014449</v>
      </c>
      <c r="V163" s="281">
        <f t="shared" si="27"/>
        <v>47.399298624014449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45.772098230480971</v>
      </c>
      <c r="D164" s="281">
        <f t="shared" si="21"/>
        <v>45.772098230480971</v>
      </c>
      <c r="E164" s="281"/>
      <c r="F164" s="283">
        <f t="shared" si="28"/>
        <v>0.75887072459422489</v>
      </c>
      <c r="G164" s="283">
        <f t="shared" si="29"/>
        <v>0.75887072459422489</v>
      </c>
      <c r="H164" s="10"/>
      <c r="I164" s="281">
        <f t="shared" si="22"/>
        <v>52.103785889678591</v>
      </c>
      <c r="J164" s="281">
        <f t="shared" si="23"/>
        <v>52.103785889678591</v>
      </c>
      <c r="K164" s="10"/>
      <c r="L164" s="283">
        <f t="shared" si="30"/>
        <v>1.0304499286142423</v>
      </c>
      <c r="M164" s="283">
        <f t="shared" si="30"/>
        <v>1.0304499286142423</v>
      </c>
      <c r="N164" s="10"/>
      <c r="O164" s="281">
        <f t="shared" si="24"/>
        <v>49.906110414608172</v>
      </c>
      <c r="P164" s="281">
        <f t="shared" si="25"/>
        <v>49.906110414608172</v>
      </c>
      <c r="Q164" s="10"/>
      <c r="R164" s="283">
        <f t="shared" si="31"/>
        <v>0.81880759289832694</v>
      </c>
      <c r="S164" s="283">
        <f t="shared" si="32"/>
        <v>0.81880759289832694</v>
      </c>
      <c r="U164" s="281">
        <f t="shared" si="26"/>
        <v>46.371100478932675</v>
      </c>
      <c r="V164" s="281">
        <f t="shared" si="27"/>
        <v>46.371100478932675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64.622452870324537</v>
      </c>
      <c r="D165" s="281">
        <f t="shared" si="21"/>
        <v>64.622452870324537</v>
      </c>
      <c r="E165" s="281"/>
      <c r="F165" s="283">
        <f t="shared" si="28"/>
        <v>1.3643154670571425</v>
      </c>
      <c r="G165" s="283">
        <f t="shared" si="29"/>
        <v>1.3643154670571425</v>
      </c>
      <c r="H165" s="10"/>
      <c r="I165" s="281">
        <f t="shared" si="22"/>
        <v>56.2651324966007</v>
      </c>
      <c r="J165" s="281">
        <f t="shared" si="23"/>
        <v>56.2651324966007</v>
      </c>
      <c r="K165" s="10"/>
      <c r="L165" s="283">
        <f t="shared" si="30"/>
        <v>0.97625172484570588</v>
      </c>
      <c r="M165" s="283">
        <f t="shared" si="30"/>
        <v>0.97625172484570588</v>
      </c>
      <c r="N165" s="10"/>
      <c r="O165" s="281">
        <f t="shared" si="24"/>
        <v>50.746250010747154</v>
      </c>
      <c r="P165" s="281">
        <f t="shared" si="25"/>
        <v>50.746250010747154</v>
      </c>
      <c r="Q165" s="10"/>
      <c r="R165" s="283">
        <f t="shared" si="31"/>
        <v>0.83848658325483849</v>
      </c>
      <c r="S165" s="283">
        <f t="shared" si="32"/>
        <v>0.83848658325483849</v>
      </c>
      <c r="U165" s="281">
        <f t="shared" si="26"/>
        <v>46.190185209637349</v>
      </c>
      <c r="V165" s="281">
        <f t="shared" si="27"/>
        <v>46.190185209637349</v>
      </c>
      <c r="W165" s="10"/>
      <c r="X165" s="283">
        <f t="shared" ref="X165:X177" si="33">+U165/U153</f>
        <v>0.87255249062455098</v>
      </c>
      <c r="Y165" s="283">
        <f t="shared" ref="Y165:Y177" si="34">+V165/V153</f>
        <v>0.87255249062455098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58.400846388996591</v>
      </c>
      <c r="D166" s="281">
        <f t="shared" si="21"/>
        <v>58.400846388996591</v>
      </c>
      <c r="E166" s="281"/>
      <c r="F166" s="283">
        <f t="shared" si="28"/>
        <v>0.89545436914420973</v>
      </c>
      <c r="G166" s="283">
        <f t="shared" si="29"/>
        <v>0.89545436914420973</v>
      </c>
      <c r="H166" s="10"/>
      <c r="I166" s="281">
        <f t="shared" si="22"/>
        <v>55.571874407910684</v>
      </c>
      <c r="J166" s="281">
        <f t="shared" si="23"/>
        <v>55.571874407910684</v>
      </c>
      <c r="K166" s="10"/>
      <c r="L166" s="283">
        <f t="shared" si="30"/>
        <v>0.98494554884235264</v>
      </c>
      <c r="M166" s="283">
        <f t="shared" si="30"/>
        <v>0.98494554884235264</v>
      </c>
      <c r="N166" s="10"/>
      <c r="O166" s="281">
        <f t="shared" si="24"/>
        <v>54.928860055678207</v>
      </c>
      <c r="P166" s="281">
        <f t="shared" si="25"/>
        <v>54.928860055678207</v>
      </c>
      <c r="Q166" s="10"/>
      <c r="R166" s="283">
        <f t="shared" si="31"/>
        <v>1.0157569437845935</v>
      </c>
      <c r="S166" s="283">
        <f t="shared" si="32"/>
        <v>1.0157569437845935</v>
      </c>
      <c r="U166" s="281">
        <f t="shared" ca="1" si="26"/>
        <v>45.753307809847399</v>
      </c>
      <c r="V166" s="281">
        <f t="shared" ca="1" si="27"/>
        <v>45.753307809847399</v>
      </c>
      <c r="W166" s="10"/>
      <c r="X166" s="283">
        <f t="shared" ca="1" si="33"/>
        <v>0.8682873661879047</v>
      </c>
      <c r="Y166" s="283">
        <f t="shared" ca="1" si="34"/>
        <v>0.8682873661879047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43.692323964410917</v>
      </c>
      <c r="D167" s="281">
        <f t="shared" si="21"/>
        <v>43.692323964410917</v>
      </c>
      <c r="E167" s="281"/>
      <c r="F167" s="283">
        <f t="shared" si="28"/>
        <v>0.77088200998652268</v>
      </c>
      <c r="G167" s="283">
        <f t="shared" si="29"/>
        <v>0.77088200998652268</v>
      </c>
      <c r="H167" s="10"/>
      <c r="I167" s="281">
        <f t="shared" si="22"/>
        <v>57.753934221677831</v>
      </c>
      <c r="J167" s="281">
        <f t="shared" si="23"/>
        <v>57.753934221677831</v>
      </c>
      <c r="K167" s="10"/>
      <c r="L167" s="283">
        <f t="shared" si="30"/>
        <v>1.0028563537608586</v>
      </c>
      <c r="M167" s="283">
        <f t="shared" si="30"/>
        <v>1.0028563537608586</v>
      </c>
      <c r="N167" s="10"/>
      <c r="O167" s="281">
        <f t="shared" si="24"/>
        <v>52.692461249451775</v>
      </c>
      <c r="P167" s="281">
        <f t="shared" si="25"/>
        <v>52.692461249451775</v>
      </c>
      <c r="Q167" s="10"/>
      <c r="R167" s="283">
        <f t="shared" si="31"/>
        <v>0.99566149674075854</v>
      </c>
      <c r="S167" s="283">
        <f t="shared" si="32"/>
        <v>0.99566149674075854</v>
      </c>
      <c r="U167" s="281">
        <f t="shared" ca="1" si="26"/>
        <v>46.509342130415526</v>
      </c>
      <c r="V167" s="281">
        <f t="shared" ca="1" si="27"/>
        <v>46.509342130415526</v>
      </c>
      <c r="W167" s="10"/>
      <c r="X167" s="283">
        <f t="shared" ca="1" si="33"/>
        <v>0.91235484943455014</v>
      </c>
      <c r="Y167" s="283">
        <f t="shared" ca="1" si="34"/>
        <v>0.91235484943455014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71.168632311625956</v>
      </c>
      <c r="D168" s="281">
        <f t="shared" si="21"/>
        <v>71.168632311625956</v>
      </c>
      <c r="E168" s="281"/>
      <c r="F168" s="283">
        <f t="shared" si="28"/>
        <v>1.3990094996845055</v>
      </c>
      <c r="G168" s="283">
        <f t="shared" si="29"/>
        <v>1.3990094996845055</v>
      </c>
      <c r="H168" s="10"/>
      <c r="I168" s="281">
        <f t="shared" si="22"/>
        <v>49.119790002302857</v>
      </c>
      <c r="J168" s="281">
        <f t="shared" si="23"/>
        <v>49.119790002302857</v>
      </c>
      <c r="K168" s="10"/>
      <c r="L168" s="283">
        <f t="shared" si="30"/>
        <v>1.0188652485431464</v>
      </c>
      <c r="M168" s="283">
        <f t="shared" si="30"/>
        <v>1.0188652485431464</v>
      </c>
      <c r="N168" s="10"/>
      <c r="O168" s="281">
        <f t="shared" si="24"/>
        <v>50.518164726304597</v>
      </c>
      <c r="P168" s="281">
        <f t="shared" si="25"/>
        <v>50.518164726304597</v>
      </c>
      <c r="Q168" s="10"/>
      <c r="R168" s="283">
        <f t="shared" si="31"/>
        <v>1.0027390961478273</v>
      </c>
      <c r="S168" s="283">
        <f t="shared" si="32"/>
        <v>1.0027390961478273</v>
      </c>
      <c r="U168" s="281">
        <f t="shared" ca="1" si="26"/>
        <v>45.758588371965494</v>
      </c>
      <c r="V168" s="281">
        <f t="shared" ca="1" si="27"/>
        <v>45.758588371965494</v>
      </c>
      <c r="W168" s="10"/>
      <c r="X168" s="283">
        <f t="shared" ca="1" si="33"/>
        <v>0.9662842572637923</v>
      </c>
      <c r="Y168" s="283">
        <f t="shared" ca="1" si="34"/>
        <v>0.9662842572637923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32.49841373087169</v>
      </c>
      <c r="D169" s="281">
        <f t="shared" si="21"/>
        <v>32.49841373087169</v>
      </c>
      <c r="E169" s="281"/>
      <c r="F169" s="283">
        <f t="shared" si="28"/>
        <v>0.87639820270739544</v>
      </c>
      <c r="G169" s="283">
        <f t="shared" si="29"/>
        <v>0.87639820270739544</v>
      </c>
      <c r="H169" s="10"/>
      <c r="I169" s="281">
        <f t="shared" si="22"/>
        <v>45.464455044698504</v>
      </c>
      <c r="J169" s="281">
        <f t="shared" si="23"/>
        <v>45.464455044698504</v>
      </c>
      <c r="K169" s="10"/>
      <c r="L169" s="283">
        <f t="shared" si="30"/>
        <v>1.02538130361938</v>
      </c>
      <c r="M169" s="283">
        <f t="shared" si="30"/>
        <v>1.02538130361938</v>
      </c>
      <c r="N169" s="10"/>
      <c r="O169" s="281">
        <f t="shared" si="24"/>
        <v>45.540775764981809</v>
      </c>
      <c r="P169" s="281">
        <f t="shared" si="25"/>
        <v>45.540775764981809</v>
      </c>
      <c r="Q169" s="10"/>
      <c r="R169" s="283">
        <f t="shared" si="31"/>
        <v>0.93626987190817446</v>
      </c>
      <c r="S169" s="283">
        <f t="shared" si="32"/>
        <v>0.93626987190817446</v>
      </c>
      <c r="U169" s="281">
        <f t="shared" ca="1" si="26"/>
        <v>45.513281697263842</v>
      </c>
      <c r="V169" s="281">
        <f t="shared" ca="1" si="27"/>
        <v>45.513281697263842</v>
      </c>
      <c r="W169" s="10"/>
      <c r="X169" s="283">
        <f t="shared" ca="1" si="33"/>
        <v>0.957890011507878</v>
      </c>
      <c r="Y169" s="283">
        <f t="shared" ca="1" si="34"/>
        <v>0.957890011507878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32.72631909159788</v>
      </c>
      <c r="D170" s="281">
        <f t="shared" si="21"/>
        <v>32.72631909159788</v>
      </c>
      <c r="E170" s="281"/>
      <c r="F170" s="283">
        <f t="shared" si="28"/>
        <v>0.72620746153424987</v>
      </c>
      <c r="G170" s="283">
        <f t="shared" si="29"/>
        <v>0.72620746153424987</v>
      </c>
      <c r="H170" s="10"/>
      <c r="I170" s="281">
        <f t="shared" si="22"/>
        <v>33.327617308285802</v>
      </c>
      <c r="J170" s="281">
        <f t="shared" si="23"/>
        <v>33.327617308285802</v>
      </c>
      <c r="K170" s="10"/>
      <c r="L170" s="283">
        <f t="shared" si="30"/>
        <v>0.83965868224668305</v>
      </c>
      <c r="M170" s="283">
        <f t="shared" si="30"/>
        <v>0.83965868224668305</v>
      </c>
      <c r="N170" s="10"/>
      <c r="O170" s="281">
        <f t="shared" ca="1" si="24"/>
        <v>41.600505205086627</v>
      </c>
      <c r="P170" s="281">
        <f t="shared" ca="1" si="25"/>
        <v>41.600505205086627</v>
      </c>
      <c r="Q170" s="10"/>
      <c r="R170" s="283">
        <f t="shared" ca="1" si="31"/>
        <v>0.93615264317005864</v>
      </c>
      <c r="S170" s="283">
        <f t="shared" ca="1" si="32"/>
        <v>0.93615264317005864</v>
      </c>
      <c r="U170" s="281">
        <f t="shared" ca="1" si="26"/>
        <v>45.194035495473344</v>
      </c>
      <c r="V170" s="281">
        <f t="shared" ca="1" si="27"/>
        <v>45.194035495473344</v>
      </c>
      <c r="W170" s="10"/>
      <c r="X170" s="283">
        <f t="shared" ca="1" si="33"/>
        <v>0.97606875578495134</v>
      </c>
      <c r="Y170" s="283">
        <f t="shared" ca="1" si="34"/>
        <v>0.97606875578495134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34.758119102387823</v>
      </c>
      <c r="D171" s="281">
        <f t="shared" si="21"/>
        <v>34.758119102387823</v>
      </c>
      <c r="E171" s="281"/>
      <c r="F171" s="283">
        <f t="shared" si="28"/>
        <v>0.94121213096617351</v>
      </c>
      <c r="G171" s="283">
        <f t="shared" si="29"/>
        <v>0.94121213096617351</v>
      </c>
      <c r="H171" s="10"/>
      <c r="I171" s="281">
        <f t="shared" ca="1" si="22"/>
        <v>34.081220407870397</v>
      </c>
      <c r="J171" s="281">
        <f t="shared" ca="1" si="23"/>
        <v>34.081220407870397</v>
      </c>
      <c r="K171" s="10"/>
      <c r="L171" s="283">
        <f t="shared" ca="1" si="30"/>
        <v>0.83809335988786771</v>
      </c>
      <c r="M171" s="283">
        <f t="shared" ca="1" si="30"/>
        <v>0.83809335988786771</v>
      </c>
      <c r="N171" s="10"/>
      <c r="O171" s="281">
        <f t="shared" ca="1" si="24"/>
        <v>42.272434250083897</v>
      </c>
      <c r="P171" s="281">
        <f t="shared" ca="1" si="25"/>
        <v>42.272434250083897</v>
      </c>
      <c r="Q171" s="10"/>
      <c r="R171" s="283">
        <f t="shared" ca="1" si="31"/>
        <v>1.0202536570359904</v>
      </c>
      <c r="S171" s="283">
        <f t="shared" ca="1" si="32"/>
        <v>1.0202536570359904</v>
      </c>
      <c r="U171" s="281">
        <f t="shared" ca="1" si="26"/>
        <v>42.567711919110337</v>
      </c>
      <c r="V171" s="281">
        <f t="shared" ca="1" si="27"/>
        <v>42.567711919110337</v>
      </c>
      <c r="W171" s="10"/>
      <c r="X171" s="283">
        <f t="shared" ca="1" si="33"/>
        <v>0.89165485023695201</v>
      </c>
      <c r="Y171" s="283">
        <f t="shared" ca="1" si="34"/>
        <v>0.89165485023695201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34.759223029625488</v>
      </c>
      <c r="D172" s="281">
        <f t="shared" ca="1" si="21"/>
        <v>34.759223029625488</v>
      </c>
      <c r="E172" s="281"/>
      <c r="F172" s="283">
        <f t="shared" ca="1" si="28"/>
        <v>0.86894251981416748</v>
      </c>
      <c r="G172" s="283">
        <f t="shared" ca="1" si="29"/>
        <v>0.86894251981416748</v>
      </c>
      <c r="H172" s="10"/>
      <c r="I172" s="281">
        <f t="shared" ca="1" si="22"/>
        <v>39.080413455469291</v>
      </c>
      <c r="J172" s="281">
        <f t="shared" ca="1" si="23"/>
        <v>39.080413455469291</v>
      </c>
      <c r="K172" s="10"/>
      <c r="L172" s="283">
        <f t="shared" ca="1" si="30"/>
        <v>1.0143525369872264</v>
      </c>
      <c r="M172" s="283">
        <f t="shared" ca="1" si="30"/>
        <v>1.0143525369872264</v>
      </c>
      <c r="N172" s="10"/>
      <c r="O172" s="281">
        <f t="shared" ca="1" si="24"/>
        <v>36.588316688252789</v>
      </c>
      <c r="P172" s="281">
        <f t="shared" ca="1" si="25"/>
        <v>36.588316688252789</v>
      </c>
      <c r="Q172" s="10"/>
      <c r="R172" s="283">
        <f t="shared" ca="1" si="31"/>
        <v>0.90044413551312819</v>
      </c>
      <c r="S172" s="283">
        <f t="shared" ca="1" si="32"/>
        <v>0.90044413551312819</v>
      </c>
      <c r="U172" s="281">
        <f t="shared" ca="1" si="26"/>
        <v>41.369292641647725</v>
      </c>
      <c r="V172" s="281">
        <f t="shared" ca="1" si="27"/>
        <v>41.369292641647725</v>
      </c>
      <c r="W172" s="10"/>
      <c r="X172" s="283">
        <f t="shared" ca="1" si="33"/>
        <v>0.87698972758476634</v>
      </c>
      <c r="Y172" s="283">
        <f t="shared" ca="1" si="34"/>
        <v>0.87698972758476634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47.723898234394554</v>
      </c>
      <c r="D173" s="281">
        <f t="shared" ca="1" si="21"/>
        <v>47.723898234394554</v>
      </c>
      <c r="E173" s="281"/>
      <c r="F173" s="283">
        <f t="shared" ca="1" si="28"/>
        <v>1.2347234917654666</v>
      </c>
      <c r="G173" s="283">
        <f t="shared" ca="1" si="29"/>
        <v>1.2347234917654666</v>
      </c>
      <c r="H173" s="10"/>
      <c r="I173" s="281">
        <f t="shared" ca="1" si="22"/>
        <v>39.849016068219775</v>
      </c>
      <c r="J173" s="281">
        <f t="shared" ca="1" si="23"/>
        <v>39.849016068219775</v>
      </c>
      <c r="K173" s="10"/>
      <c r="L173" s="283">
        <f t="shared" ca="1" si="30"/>
        <v>0.95847575227851456</v>
      </c>
      <c r="M173" s="283">
        <f t="shared" ca="1" si="30"/>
        <v>0.95847575227851456</v>
      </c>
      <c r="N173" s="10"/>
      <c r="O173" s="281">
        <f t="shared" ca="1" si="24"/>
        <v>38.334102145075924</v>
      </c>
      <c r="P173" s="281">
        <f t="shared" ca="1" si="25"/>
        <v>38.334102145075924</v>
      </c>
      <c r="Q173" s="10"/>
      <c r="R173" s="283">
        <f t="shared" ca="1" si="31"/>
        <v>0.91041605305153939</v>
      </c>
      <c r="S173" s="283">
        <f t="shared" ca="1" si="32"/>
        <v>0.91041605305153939</v>
      </c>
      <c r="U173" s="281">
        <f t="shared" ca="1" si="26"/>
        <v>41.990643115954235</v>
      </c>
      <c r="V173" s="281">
        <f t="shared" ca="1" si="27"/>
        <v>41.990643115954235</v>
      </c>
      <c r="W173" s="10"/>
      <c r="X173" s="283">
        <f t="shared" ca="1" si="33"/>
        <v>0.91106241425712575</v>
      </c>
      <c r="Y173" s="283">
        <f t="shared" ca="1" si="34"/>
        <v>0.91106241425712575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37.06392694063927</v>
      </c>
      <c r="D174" s="281">
        <f t="shared" ca="1" si="21"/>
        <v>37.06392694063927</v>
      </c>
      <c r="E174" s="281"/>
      <c r="F174" s="283">
        <f t="shared" ca="1" si="28"/>
        <v>0.80446138588194516</v>
      </c>
      <c r="G174" s="283">
        <f t="shared" ca="1" si="29"/>
        <v>0.80446138588194516</v>
      </c>
      <c r="H174" s="10"/>
      <c r="I174" s="281">
        <f t="shared" ca="1" si="22"/>
        <v>42.586983882281437</v>
      </c>
      <c r="J174" s="281">
        <f t="shared" ca="1" si="23"/>
        <v>42.586983882281437</v>
      </c>
      <c r="K174" s="10"/>
      <c r="L174" s="283">
        <f t="shared" ca="1" si="30"/>
        <v>0.97795249953335905</v>
      </c>
      <c r="M174" s="283">
        <f t="shared" ca="1" si="30"/>
        <v>0.97795249953335905</v>
      </c>
      <c r="N174" s="10"/>
      <c r="O174" s="281">
        <f t="shared" ca="1" si="24"/>
        <v>39.869906264642104</v>
      </c>
      <c r="P174" s="281">
        <f t="shared" ca="1" si="25"/>
        <v>39.869906264642104</v>
      </c>
      <c r="Q174" s="10"/>
      <c r="R174" s="283">
        <f t="shared" ca="1" si="31"/>
        <v>0.94424668560797054</v>
      </c>
      <c r="S174" s="283">
        <f t="shared" ca="1" si="32"/>
        <v>0.94424668560797054</v>
      </c>
      <c r="U174" s="281">
        <f t="shared" ca="1" si="26"/>
        <v>39.716945753267986</v>
      </c>
      <c r="V174" s="281">
        <f t="shared" ca="1" si="27"/>
        <v>39.716945753267986</v>
      </c>
      <c r="W174" s="10"/>
      <c r="X174" s="283">
        <f t="shared" ca="1" si="33"/>
        <v>0.83122456132328237</v>
      </c>
      <c r="Y174" s="283">
        <f t="shared" ca="1" si="34"/>
        <v>0.83122456132328237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42.973126471810502</v>
      </c>
      <c r="D175" s="281">
        <f t="shared" ca="1" si="21"/>
        <v>42.973126471810502</v>
      </c>
      <c r="E175" s="281"/>
      <c r="F175" s="283">
        <f t="shared" ca="1" si="28"/>
        <v>0.93589100992801832</v>
      </c>
      <c r="G175" s="283">
        <f t="shared" ca="1" si="29"/>
        <v>0.93589100992801832</v>
      </c>
      <c r="H175" s="10"/>
      <c r="I175" s="281">
        <f t="shared" ca="1" si="22"/>
        <v>40.659399073814932</v>
      </c>
      <c r="J175" s="281">
        <f t="shared" ca="1" si="23"/>
        <v>40.659399073814932</v>
      </c>
      <c r="K175" s="10"/>
      <c r="L175" s="283">
        <f t="shared" ca="1" si="30"/>
        <v>0.88542781224190525</v>
      </c>
      <c r="M175" s="283">
        <f t="shared" ca="1" si="30"/>
        <v>0.88542781224190525</v>
      </c>
      <c r="N175" s="10"/>
      <c r="O175" s="281">
        <f t="shared" ca="1" si="24"/>
        <v>39.594648073238886</v>
      </c>
      <c r="P175" s="281">
        <f t="shared" ca="1" si="25"/>
        <v>39.594648073238886</v>
      </c>
      <c r="Q175" s="10"/>
      <c r="R175" s="283">
        <f t="shared" ca="1" si="31"/>
        <v>0.84532431088427473</v>
      </c>
      <c r="S175" s="283">
        <f t="shared" ca="1" si="32"/>
        <v>0.84532431088427473</v>
      </c>
      <c r="U175" s="281">
        <f t="shared" ca="1" si="26"/>
        <v>40.909525859028676</v>
      </c>
      <c r="V175" s="281">
        <f t="shared" ca="1" si="27"/>
        <v>40.909525859028676</v>
      </c>
      <c r="W175" s="10"/>
      <c r="X175" s="283">
        <f t="shared" ca="1" si="33"/>
        <v>0.86308293680747028</v>
      </c>
      <c r="Y175" s="283">
        <f t="shared" ca="1" si="34"/>
        <v>0.86308293680747028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41.941143808995001</v>
      </c>
      <c r="D176" s="281">
        <f t="shared" ca="1" si="21"/>
        <v>41.941143808995001</v>
      </c>
      <c r="E176" s="281"/>
      <c r="F176" s="283">
        <f t="shared" ca="1" si="28"/>
        <v>0.91630371843135594</v>
      </c>
      <c r="G176" s="283">
        <f t="shared" ca="1" si="29"/>
        <v>0.91630371843135594</v>
      </c>
      <c r="H176" s="10"/>
      <c r="I176" s="281">
        <f t="shared" ca="1" si="22"/>
        <v>39.340280078257997</v>
      </c>
      <c r="J176" s="281">
        <f t="shared" ca="1" si="23"/>
        <v>39.340280078257997</v>
      </c>
      <c r="K176" s="10"/>
      <c r="L176" s="283">
        <f t="shared" ca="1" si="30"/>
        <v>0.75503688276231462</v>
      </c>
      <c r="M176" s="283">
        <f t="shared" ca="1" si="30"/>
        <v>0.75503688276231462</v>
      </c>
      <c r="N176" s="10"/>
      <c r="O176" s="281">
        <f t="shared" ca="1" si="24"/>
        <v>41.138080078208837</v>
      </c>
      <c r="P176" s="281">
        <f t="shared" ca="1" si="25"/>
        <v>41.138080078208837</v>
      </c>
      <c r="Q176" s="10"/>
      <c r="R176" s="283">
        <f t="shared" ca="1" si="31"/>
        <v>0.82430948307618823</v>
      </c>
      <c r="S176" s="283">
        <f t="shared" ca="1" si="32"/>
        <v>0.82430948307618823</v>
      </c>
      <c r="U176" s="281">
        <f t="shared" ca="1" si="26"/>
        <v>41.088795186429536</v>
      </c>
      <c r="V176" s="281">
        <f t="shared" ca="1" si="27"/>
        <v>41.088795186429536</v>
      </c>
      <c r="W176" s="10"/>
      <c r="X176" s="283">
        <f t="shared" ca="1" si="33"/>
        <v>0.88608626411825187</v>
      </c>
      <c r="Y176" s="283">
        <f t="shared" ca="1" si="34"/>
        <v>0.88608626411825187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33.106569953968474</v>
      </c>
      <c r="D177" s="281">
        <f t="shared" ca="1" si="21"/>
        <v>33.106569953968474</v>
      </c>
      <c r="E177" s="281"/>
      <c r="F177" s="283">
        <f t="shared" ca="1" si="28"/>
        <v>0.51230754147327384</v>
      </c>
      <c r="G177" s="283">
        <f t="shared" ca="1" si="29"/>
        <v>0.51230754147327384</v>
      </c>
      <c r="H177" s="10"/>
      <c r="I177" s="281">
        <f t="shared" ca="1" si="22"/>
        <v>39.689176274136216</v>
      </c>
      <c r="J177" s="281">
        <f t="shared" ca="1" si="23"/>
        <v>39.689176274136216</v>
      </c>
      <c r="K177" s="10"/>
      <c r="L177" s="283">
        <f t="shared" ca="1" si="30"/>
        <v>0.70539558893839038</v>
      </c>
      <c r="M177" s="283">
        <f t="shared" ca="1" si="30"/>
        <v>0.70539558893839038</v>
      </c>
      <c r="N177" s="10"/>
      <c r="O177" s="281">
        <f t="shared" ca="1" si="24"/>
        <v>41.708851981824587</v>
      </c>
      <c r="P177" s="281">
        <f t="shared" ca="1" si="25"/>
        <v>41.708851981824587</v>
      </c>
      <c r="Q177" s="10"/>
      <c r="R177" s="283">
        <f t="shared" ca="1" si="31"/>
        <v>0.82191003222881287</v>
      </c>
      <c r="S177" s="283">
        <f t="shared" ca="1" si="32"/>
        <v>0.82191003222881287</v>
      </c>
      <c r="U177" s="281">
        <f t="shared" ca="1" si="26"/>
        <v>41.403121988997015</v>
      </c>
      <c r="V177" s="281">
        <f t="shared" ca="1" si="27"/>
        <v>41.403121988997015</v>
      </c>
      <c r="W177" s="10"/>
      <c r="X177" s="283">
        <f t="shared" ca="1" si="33"/>
        <v>0.8963618959544345</v>
      </c>
      <c r="Y177" s="283">
        <f t="shared" ca="1" si="34"/>
        <v>0.8963618959544345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44.019815059445179</v>
      </c>
      <c r="D178" s="281">
        <f t="shared" ca="1" si="21"/>
        <v>44.019815059445179</v>
      </c>
      <c r="E178" s="281"/>
      <c r="F178" s="283">
        <f t="shared" ca="1" si="28"/>
        <v>0.75375303238308944</v>
      </c>
      <c r="G178" s="283">
        <f t="shared" ca="1" si="29"/>
        <v>0.75375303238308944</v>
      </c>
      <c r="H178" s="10"/>
      <c r="I178" s="281">
        <f t="shared" ca="1" si="22"/>
        <v>42.758304889834243</v>
      </c>
      <c r="J178" s="281">
        <f t="shared" ca="1" si="23"/>
        <v>42.758304889834243</v>
      </c>
      <c r="K178" s="10"/>
      <c r="L178" s="283">
        <f t="shared" ca="1" si="30"/>
        <v>0.76942347807054667</v>
      </c>
      <c r="M178" s="283">
        <f t="shared" ca="1" si="30"/>
        <v>0.76942347807054667</v>
      </c>
      <c r="N178" s="10"/>
      <c r="O178" s="281">
        <f t="shared" ca="1" si="24"/>
        <v>42.845574818283183</v>
      </c>
      <c r="P178" s="281">
        <f t="shared" ca="1" si="25"/>
        <v>42.845574818283183</v>
      </c>
      <c r="Q178" s="10"/>
      <c r="R178" s="283">
        <f t="shared" ca="1" si="31"/>
        <v>0.78001937005161048</v>
      </c>
      <c r="S178" s="283">
        <f t="shared" ca="1" si="32"/>
        <v>0.78001937005161048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51.148529656089053</v>
      </c>
      <c r="D179" s="281">
        <f t="shared" ca="1" si="21"/>
        <v>51.148529656089053</v>
      </c>
      <c r="E179" s="281"/>
      <c r="F179" s="283">
        <f t="shared" ca="1" si="28"/>
        <v>1.1706525315007621</v>
      </c>
      <c r="G179" s="283">
        <f t="shared" ca="1" si="29"/>
        <v>1.1706525315007621</v>
      </c>
      <c r="H179" s="10"/>
      <c r="I179" s="281">
        <f t="shared" ca="1" si="22"/>
        <v>46.350869558308368</v>
      </c>
      <c r="J179" s="281">
        <f t="shared" ca="1" si="23"/>
        <v>46.350869558308368</v>
      </c>
      <c r="K179" s="10"/>
      <c r="L179" s="283">
        <f t="shared" ca="1" si="30"/>
        <v>0.80255778559429558</v>
      </c>
      <c r="M179" s="283">
        <f t="shared" ca="1" si="30"/>
        <v>0.80255778559429558</v>
      </c>
      <c r="N179" s="10"/>
      <c r="O179" s="281">
        <f t="shared" ca="1" si="24"/>
        <v>43.484949572981428</v>
      </c>
      <c r="P179" s="281">
        <f t="shared" ca="1" si="25"/>
        <v>43.484949572981428</v>
      </c>
      <c r="Q179" s="10"/>
      <c r="R179" s="283">
        <f t="shared" ca="1" si="31"/>
        <v>0.82525941172341533</v>
      </c>
      <c r="S179" s="283">
        <f t="shared" ca="1" si="32"/>
        <v>0.82525941172341533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43.884263959390864</v>
      </c>
      <c r="D180" s="281">
        <f t="shared" ca="1" si="21"/>
        <v>43.884263959390864</v>
      </c>
      <c r="E180" s="281"/>
      <c r="F180" s="283">
        <f t="shared" ca="1" si="28"/>
        <v>0.61662368003975288</v>
      </c>
      <c r="G180" s="283">
        <f t="shared" ca="1" si="29"/>
        <v>0.61662368003975288</v>
      </c>
      <c r="H180" s="10"/>
      <c r="I180" s="281">
        <f t="shared" ca="1" si="22"/>
        <v>47.28072287182664</v>
      </c>
      <c r="J180" s="281">
        <f t="shared" ca="1" si="23"/>
        <v>47.28072287182664</v>
      </c>
      <c r="K180" s="10"/>
      <c r="L180" s="283">
        <f t="shared" ca="1" si="30"/>
        <v>0.96255954819045442</v>
      </c>
      <c r="M180" s="283">
        <f t="shared" ca="1" si="30"/>
        <v>0.96255954819045442</v>
      </c>
      <c r="N180" s="10"/>
      <c r="O180" s="281">
        <f t="shared" ca="1" si="24"/>
        <v>42.307684108216954</v>
      </c>
      <c r="P180" s="281">
        <f t="shared" ca="1" si="25"/>
        <v>42.307684108216954</v>
      </c>
      <c r="Q180" s="10"/>
      <c r="R180" s="283">
        <f t="shared" ca="1" si="31"/>
        <v>0.83747468534199376</v>
      </c>
      <c r="S180" s="283">
        <f t="shared" ca="1" si="32"/>
        <v>0.83747468534199376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46.809375000000003</v>
      </c>
      <c r="D181" s="281">
        <f t="shared" ca="1" si="21"/>
        <v>46.809375000000003</v>
      </c>
      <c r="E181" s="281"/>
      <c r="F181" s="283">
        <f t="shared" ca="1" si="28"/>
        <v>1.4403587629735199</v>
      </c>
      <c r="G181" s="283">
        <f t="shared" ca="1" si="29"/>
        <v>1.4403587629735199</v>
      </c>
      <c r="H181" s="10"/>
      <c r="I181" s="281">
        <f t="shared" ca="1" si="22"/>
        <v>41.857063326599679</v>
      </c>
      <c r="J181" s="281">
        <f t="shared" ca="1" si="23"/>
        <v>41.857063326599679</v>
      </c>
      <c r="K181" s="10"/>
      <c r="L181" s="283">
        <f t="shared" ca="1" si="30"/>
        <v>0.9206546803529877</v>
      </c>
      <c r="M181" s="283">
        <f t="shared" ca="1" si="30"/>
        <v>0.9206546803529877</v>
      </c>
      <c r="N181" s="10"/>
      <c r="O181" s="281">
        <f t="shared" ca="1" si="24"/>
        <v>43.211595904755143</v>
      </c>
      <c r="P181" s="281">
        <f t="shared" ca="1" si="25"/>
        <v>43.211595904755143</v>
      </c>
      <c r="Q181" s="10"/>
      <c r="R181" s="283">
        <f t="shared" ca="1" si="31"/>
        <v>0.94885506842820033</v>
      </c>
      <c r="S181" s="283">
        <f t="shared" ca="1" si="32"/>
        <v>0.94885506842820033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34.877551020408163</v>
      </c>
      <c r="D182" s="281">
        <f t="shared" ca="1" si="21"/>
        <v>34.877551020408163</v>
      </c>
      <c r="E182" s="281"/>
      <c r="F182" s="283">
        <f t="shared" ca="1" si="28"/>
        <v>1.0657340021280484</v>
      </c>
      <c r="G182" s="283">
        <f t="shared" ca="1" si="29"/>
        <v>1.0657340021280484</v>
      </c>
      <c r="H182" s="10"/>
      <c r="I182" s="281">
        <f t="shared" ca="1" si="22"/>
        <v>40.072322251201911</v>
      </c>
      <c r="J182" s="281">
        <f t="shared" ca="1" si="23"/>
        <v>40.072322251201911</v>
      </c>
      <c r="K182" s="10"/>
      <c r="L182" s="283">
        <f t="shared" ca="1" si="30"/>
        <v>1.2023758518506291</v>
      </c>
      <c r="M182" s="283">
        <f t="shared" ca="1" si="30"/>
        <v>1.2023758518506291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38.530040733197559</v>
      </c>
      <c r="D183" s="281">
        <f t="shared" ca="1" si="21"/>
        <v>38.530040733197559</v>
      </c>
      <c r="E183" s="281"/>
      <c r="F183" s="283">
        <f t="shared" ca="1" si="28"/>
        <v>1.1085191525956481</v>
      </c>
      <c r="G183" s="283">
        <f t="shared" ca="1" si="29"/>
        <v>1.1085191525956481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0.92928711157178068</v>
      </c>
      <c r="G185" s="15">
        <f ca="1">AVERAGE(G160:G183)</f>
        <v>0.92928711157178068</v>
      </c>
      <c r="H185" s="15"/>
      <c r="I185" s="15"/>
      <c r="J185" s="15"/>
      <c r="K185" s="15"/>
      <c r="L185" s="15">
        <f ca="1">AVERAGE(L161:L182)</f>
        <v>0.89588860363152745</v>
      </c>
      <c r="M185" s="15">
        <f ca="1">AVERAGE(M161:M182)</f>
        <v>0.89588860363152745</v>
      </c>
      <c r="N185" s="15"/>
      <c r="O185" s="15"/>
      <c r="P185" s="15"/>
      <c r="Q185" s="15"/>
      <c r="R185" s="287">
        <f ca="1">AVERAGE(R163:R181)</f>
        <v>0.89583095433415416</v>
      </c>
      <c r="S185" s="15">
        <f ca="1">AVERAGE(S163:S181)</f>
        <v>0.89583095433415416</v>
      </c>
      <c r="U185" s="15"/>
      <c r="V185" s="15"/>
      <c r="W185" s="15"/>
      <c r="X185" s="287">
        <f ca="1">AVERAGE(X165:X177)</f>
        <v>0.90076156777583927</v>
      </c>
      <c r="Y185" s="287">
        <f ca="1">AVERAGE(Y165:Y177)</f>
        <v>0.90076156777583927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0.94652413905211696</v>
      </c>
      <c r="G186" s="287">
        <f ca="1">AVERAGE(G166:G183)</f>
        <v>0.94652413905211696</v>
      </c>
      <c r="H186" s="7"/>
      <c r="I186" s="287"/>
      <c r="J186" s="287"/>
      <c r="K186" s="7"/>
      <c r="L186" s="287">
        <f ca="1">AVERAGE(L165:L182)</f>
        <v>0.92445914658592321</v>
      </c>
      <c r="M186" s="287">
        <f ca="1">AVERAGE(M165:M182)</f>
        <v>0.92445914658592321</v>
      </c>
      <c r="N186" s="7"/>
      <c r="O186" s="7"/>
      <c r="P186" s="7"/>
      <c r="Q186" s="7"/>
      <c r="R186" s="283">
        <f ca="1">AVERAGE(R164:R181)</f>
        <v>0.90013261782487219</v>
      </c>
      <c r="S186" s="287">
        <f ca="1">AVERAGE(S164:S181)</f>
        <v>0.90013261782487219</v>
      </c>
      <c r="U186" s="7"/>
      <c r="V186" s="7"/>
      <c r="W186" s="7"/>
      <c r="X186" s="283">
        <f ca="1">+X185</f>
        <v>0.90076156777583927</v>
      </c>
      <c r="Y186" s="283">
        <f ca="1">+Y185</f>
        <v>0.90076156777583927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0.95235590240958734</v>
      </c>
      <c r="G187" s="283">
        <f ca="1">AVERAGE(G172:G183)</f>
        <v>0.95235590240958734</v>
      </c>
      <c r="H187" s="10"/>
      <c r="I187" s="283"/>
      <c r="J187" s="283"/>
      <c r="K187" s="10"/>
      <c r="L187" s="283">
        <f ca="1">AVERAGE(L171:L182)</f>
        <v>0.89935881472404089</v>
      </c>
      <c r="M187" s="283">
        <f ca="1">AVERAGE(M171:M182)</f>
        <v>0.89935881472404089</v>
      </c>
      <c r="N187" s="10"/>
      <c r="O187" s="10"/>
      <c r="P187" s="10"/>
      <c r="Q187" s="10"/>
      <c r="R187" s="283">
        <f ca="1">AVERAGE(R170:R181)</f>
        <v>0.88288879467609849</v>
      </c>
      <c r="S187" s="283">
        <f ca="1">AVERAGE(S170:S181)</f>
        <v>0.88288879467609849</v>
      </c>
      <c r="U187" s="10"/>
      <c r="V187" s="10"/>
      <c r="W187" s="10"/>
      <c r="X187" s="283">
        <f ca="1">AVERAGE(X166:X177)</f>
        <v>0.90311232420511345</v>
      </c>
      <c r="Y187" s="283">
        <f ca="1">AVERAGE(Y166:Y177)</f>
        <v>0.90311232420511345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1.0259401936034702</v>
      </c>
      <c r="G188" s="283">
        <f ca="1">AVERAGE(G178:G183)</f>
        <v>1.0259401936034702</v>
      </c>
      <c r="H188" s="10"/>
      <c r="I188" s="10"/>
      <c r="J188" s="10"/>
      <c r="K188" s="10"/>
      <c r="L188" s="283">
        <f ca="1">AVERAGE(L177:L182)</f>
        <v>0.89382782216621737</v>
      </c>
      <c r="M188" s="283">
        <f ca="1">AVERAGE(M177:M182)</f>
        <v>0.89382782216621737</v>
      </c>
      <c r="N188" s="10"/>
      <c r="O188" s="10"/>
      <c r="P188" s="10"/>
      <c r="Q188" s="10"/>
      <c r="R188" s="283">
        <f ca="1">AVERAGE(R176:R181)</f>
        <v>0.83963800847503689</v>
      </c>
      <c r="S188" s="283">
        <f ca="1">AVERAGE(S176:S181)</f>
        <v>0.83963800847503689</v>
      </c>
      <c r="U188" s="10"/>
      <c r="V188" s="10"/>
      <c r="W188" s="10"/>
      <c r="X188" s="283">
        <f ca="1">AVERAGE(X172:X177)</f>
        <v>0.87746796667422178</v>
      </c>
      <c r="Y188" s="283">
        <f ca="1">AVERAGE(Y172:Y177)</f>
        <v>0.87746796667422178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-7.0712888428219323E-2</v>
      </c>
      <c r="G190" s="147">
        <f t="shared" ca="1" si="35"/>
        <v>-7.0712888428219323E-2</v>
      </c>
      <c r="H190" s="7"/>
      <c r="I190" s="7"/>
      <c r="J190" s="7"/>
      <c r="K190" s="7"/>
      <c r="L190" s="147">
        <f t="shared" ref="L190:M193" ca="1" si="36">+L185-1</f>
        <v>-0.10411139636847255</v>
      </c>
      <c r="M190" s="147">
        <f t="shared" ca="1" si="36"/>
        <v>-0.10411139636847255</v>
      </c>
      <c r="N190" s="7"/>
      <c r="O190" s="147"/>
      <c r="P190" s="147"/>
      <c r="Q190" s="7"/>
      <c r="R190" s="147">
        <f t="shared" ref="R190:S193" ca="1" si="37">+R185-1</f>
        <v>-0.10416904566584584</v>
      </c>
      <c r="S190" s="147">
        <f t="shared" ca="1" si="37"/>
        <v>-0.10416904566584584</v>
      </c>
      <c r="U190" s="147"/>
      <c r="V190" s="147"/>
      <c r="W190" s="7"/>
      <c r="X190" s="147">
        <f t="shared" ref="X190:Y193" ca="1" si="38">+X185-1</f>
        <v>-9.9238432224160733E-2</v>
      </c>
      <c r="Y190" s="147">
        <f t="shared" ca="1" si="38"/>
        <v>-9.9238432224160733E-2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-5.3475860947883036E-2</v>
      </c>
      <c r="G191" s="148">
        <f t="shared" ca="1" si="35"/>
        <v>-5.3475860947883036E-2</v>
      </c>
      <c r="H191" s="10"/>
      <c r="I191" s="10"/>
      <c r="J191" s="10"/>
      <c r="K191" s="10"/>
      <c r="L191" s="148">
        <f t="shared" ca="1" si="36"/>
        <v>-7.5540853414076792E-2</v>
      </c>
      <c r="M191" s="148">
        <f t="shared" ca="1" si="36"/>
        <v>-7.5540853414076792E-2</v>
      </c>
      <c r="N191" s="10"/>
      <c r="O191" s="10"/>
      <c r="P191" s="10"/>
      <c r="Q191" s="10"/>
      <c r="R191" s="148">
        <f t="shared" ca="1" si="37"/>
        <v>-9.9867382175127806E-2</v>
      </c>
      <c r="S191" s="148">
        <f t="shared" ca="1" si="37"/>
        <v>-9.9867382175127806E-2</v>
      </c>
      <c r="U191" s="10"/>
      <c r="V191" s="10"/>
      <c r="W191" s="10"/>
      <c r="X191" s="148">
        <f t="shared" ca="1" si="38"/>
        <v>-9.9238432224160733E-2</v>
      </c>
      <c r="Y191" s="148">
        <f t="shared" ca="1" si="38"/>
        <v>-9.9238432224160733E-2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-4.764409759041266E-2</v>
      </c>
      <c r="G192" s="148">
        <f t="shared" ca="1" si="35"/>
        <v>-4.764409759041266E-2</v>
      </c>
      <c r="H192" s="10"/>
      <c r="I192" s="10"/>
      <c r="J192" s="10"/>
      <c r="K192" s="10"/>
      <c r="L192" s="148">
        <f t="shared" ca="1" si="36"/>
        <v>-0.10064118527595911</v>
      </c>
      <c r="M192" s="148">
        <f t="shared" ca="1" si="36"/>
        <v>-0.10064118527595911</v>
      </c>
      <c r="N192" s="10"/>
      <c r="O192" s="10"/>
      <c r="P192" s="10"/>
      <c r="Q192" s="10"/>
      <c r="R192" s="148">
        <f t="shared" ca="1" si="37"/>
        <v>-0.11711120532390151</v>
      </c>
      <c r="S192" s="148">
        <f t="shared" ca="1" si="37"/>
        <v>-0.11711120532390151</v>
      </c>
      <c r="U192" s="10"/>
      <c r="V192" s="10"/>
      <c r="W192" s="10"/>
      <c r="X192" s="148">
        <f t="shared" ca="1" si="38"/>
        <v>-9.6887675794886552E-2</v>
      </c>
      <c r="Y192" s="148">
        <f t="shared" ca="1" si="38"/>
        <v>-9.6887675794886552E-2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2.5940193603470219E-2</v>
      </c>
      <c r="G193" s="148">
        <f t="shared" ca="1" si="35"/>
        <v>2.5940193603470219E-2</v>
      </c>
      <c r="H193" s="10"/>
      <c r="I193" s="10"/>
      <c r="J193" s="10"/>
      <c r="K193" s="10"/>
      <c r="L193" s="148">
        <f t="shared" ca="1" si="36"/>
        <v>-0.10617217783378263</v>
      </c>
      <c r="M193" s="148">
        <f t="shared" ca="1" si="36"/>
        <v>-0.10617217783378263</v>
      </c>
      <c r="N193" s="10"/>
      <c r="O193" s="10"/>
      <c r="P193" s="10"/>
      <c r="Q193" s="10"/>
      <c r="R193" s="148">
        <f t="shared" ca="1" si="37"/>
        <v>-0.16036199152496311</v>
      </c>
      <c r="S193" s="148">
        <f t="shared" ca="1" si="37"/>
        <v>-0.16036199152496311</v>
      </c>
      <c r="U193" s="10"/>
      <c r="V193" s="10"/>
      <c r="W193" s="10"/>
      <c r="X193" s="148">
        <f t="shared" ca="1" si="38"/>
        <v>-0.12253203332577822</v>
      </c>
      <c r="Y193" s="148">
        <f t="shared" ca="1" si="38"/>
        <v>-0.12253203332577822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42.919151732377529</v>
      </c>
      <c r="C199" s="15">
        <f t="shared" ref="C199:C234" si="41">+B148</f>
        <v>1</v>
      </c>
      <c r="D199" s="73">
        <f>+B199*C199</f>
        <v>42.919151732377529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59.249342218400699</v>
      </c>
      <c r="C200" s="15">
        <f t="shared" si="41"/>
        <v>1</v>
      </c>
      <c r="D200" s="73">
        <f t="shared" ref="D200:D234" si="42">+B200*C200</f>
        <v>59.249342218400699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89.537532573289894</v>
      </c>
      <c r="C201" s="15">
        <f t="shared" si="41"/>
        <v>1</v>
      </c>
      <c r="D201" s="73">
        <f t="shared" si="42"/>
        <v>89.537532573289894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63.902008841356043</v>
      </c>
      <c r="J201" s="73">
        <f>IF(SUM($E199:$E201)=3,AVERAGE(D199:D201),"NA")</f>
        <v>63.902008841356043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44.010058873002535</v>
      </c>
      <c r="C202" s="282">
        <f t="shared" si="41"/>
        <v>1</v>
      </c>
      <c r="D202" s="281">
        <f t="shared" si="42"/>
        <v>44.010058873002535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64.265644554897719</v>
      </c>
      <c r="J202" s="281">
        <f>IF(SUM($E200:$E202)=3,AVERAGE(D200:D202),"NA")</f>
        <v>64.265644554897719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60.316068003487331</v>
      </c>
      <c r="C203" s="282">
        <f t="shared" si="41"/>
        <v>1</v>
      </c>
      <c r="D203" s="281">
        <f t="shared" si="42"/>
        <v>60.316068003487331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64.621219816593239</v>
      </c>
      <c r="J203" s="281">
        <f t="shared" ref="J203:J234" si="45">IF(SUM($E201:$E203)=3,AVERAGE(D201:D203),"NA")</f>
        <v>64.621219816593239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47.366209964412811</v>
      </c>
      <c r="C204" s="282">
        <f t="shared" si="41"/>
        <v>1</v>
      </c>
      <c r="D204" s="281">
        <f t="shared" si="42"/>
        <v>47.366209964412811</v>
      </c>
      <c r="E204" s="10">
        <f t="shared" si="43"/>
        <v>1</v>
      </c>
      <c r="F204" s="283"/>
      <c r="G204" s="283"/>
      <c r="H204" s="10"/>
      <c r="I204" s="281">
        <f t="shared" si="44"/>
        <v>50.56411228030089</v>
      </c>
      <c r="J204" s="281">
        <f t="shared" si="45"/>
        <v>50.56411228030089</v>
      </c>
      <c r="K204" s="10"/>
      <c r="L204" s="10"/>
      <c r="M204" s="10"/>
      <c r="N204" s="10"/>
      <c r="O204" s="281">
        <f>IF(SUM($E199:$E204)=6,AVERAGE(B199:B204),"NA")</f>
        <v>57.23306056082847</v>
      </c>
      <c r="P204" s="281">
        <f>IF(SUM($E199:$E204)=6,AVERAGE(D199:D204),"NA")</f>
        <v>57.23306056082847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65.219232158988262</v>
      </c>
      <c r="C205" s="282">
        <f t="shared" si="41"/>
        <v>1</v>
      </c>
      <c r="D205" s="281">
        <f t="shared" si="42"/>
        <v>65.219232158988262</v>
      </c>
      <c r="E205" s="10">
        <f t="shared" si="43"/>
        <v>1</v>
      </c>
      <c r="F205" s="283"/>
      <c r="G205" s="283"/>
      <c r="H205" s="10"/>
      <c r="I205" s="281">
        <f t="shared" si="44"/>
        <v>57.633836708962804</v>
      </c>
      <c r="J205" s="281">
        <f t="shared" si="45"/>
        <v>57.633836708962804</v>
      </c>
      <c r="K205" s="10"/>
      <c r="L205" s="10"/>
      <c r="M205" s="10"/>
      <c r="N205" s="10"/>
      <c r="O205" s="281">
        <f t="shared" ref="O205:O234" si="46">IF(SUM($E200:$E205)=6,AVERAGE(B200:B205),"NA")</f>
        <v>60.949740631930261</v>
      </c>
      <c r="P205" s="281">
        <f t="shared" ref="P205:P234" si="47">IF(SUM($E200:$E205)=6,AVERAGE(D200:D205),"NA")</f>
        <v>60.949740631930261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56.678354661791616</v>
      </c>
      <c r="C206" s="282">
        <f t="shared" si="41"/>
        <v>1</v>
      </c>
      <c r="D206" s="281">
        <f t="shared" si="42"/>
        <v>56.678354661791616</v>
      </c>
      <c r="E206" s="10">
        <f t="shared" si="43"/>
        <v>1</v>
      </c>
      <c r="F206" s="283"/>
      <c r="G206" s="283"/>
      <c r="H206" s="10"/>
      <c r="I206" s="281">
        <f t="shared" si="44"/>
        <v>56.421265595064227</v>
      </c>
      <c r="J206" s="281">
        <f t="shared" si="45"/>
        <v>56.421265595064227</v>
      </c>
      <c r="K206" s="10"/>
      <c r="L206" s="10"/>
      <c r="M206" s="10"/>
      <c r="N206" s="10"/>
      <c r="O206" s="281">
        <f t="shared" si="46"/>
        <v>60.521242705828733</v>
      </c>
      <c r="P206" s="281">
        <f t="shared" si="47"/>
        <v>60.521242705828733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50.870728417266207</v>
      </c>
      <c r="C207" s="282">
        <f t="shared" si="41"/>
        <v>1</v>
      </c>
      <c r="D207" s="281">
        <f t="shared" si="42"/>
        <v>50.870728417266207</v>
      </c>
      <c r="E207" s="10">
        <f t="shared" si="43"/>
        <v>1</v>
      </c>
      <c r="F207" s="283"/>
      <c r="G207" s="283"/>
      <c r="H207" s="10"/>
      <c r="I207" s="281">
        <f t="shared" si="44"/>
        <v>57.589438412682028</v>
      </c>
      <c r="J207" s="281">
        <f t="shared" si="45"/>
        <v>57.589438412682028</v>
      </c>
      <c r="K207" s="10"/>
      <c r="L207" s="10"/>
      <c r="M207" s="10"/>
      <c r="N207" s="10"/>
      <c r="O207" s="281">
        <f t="shared" si="46"/>
        <v>54.076775346491452</v>
      </c>
      <c r="P207" s="281">
        <f t="shared" si="47"/>
        <v>54.076775346491452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37.081789568345329</v>
      </c>
      <c r="C208" s="282">
        <f t="shared" si="41"/>
        <v>1</v>
      </c>
      <c r="D208" s="281">
        <f t="shared" si="42"/>
        <v>37.081789568345329</v>
      </c>
      <c r="E208" s="10">
        <f t="shared" si="43"/>
        <v>1</v>
      </c>
      <c r="F208" s="283"/>
      <c r="G208" s="283"/>
      <c r="H208" s="10"/>
      <c r="I208" s="281">
        <f t="shared" si="44"/>
        <v>48.210290882467717</v>
      </c>
      <c r="J208" s="281">
        <f t="shared" si="45"/>
        <v>48.210290882467717</v>
      </c>
      <c r="K208" s="10"/>
      <c r="L208" s="10"/>
      <c r="M208" s="10"/>
      <c r="N208" s="10"/>
      <c r="O208" s="281">
        <f t="shared" si="46"/>
        <v>52.922063795715268</v>
      </c>
      <c r="P208" s="281">
        <f t="shared" si="47"/>
        <v>52.922063795715268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45.064696832579187</v>
      </c>
      <c r="C209" s="282">
        <f t="shared" si="41"/>
        <v>1</v>
      </c>
      <c r="D209" s="281">
        <f t="shared" si="42"/>
        <v>45.064696832579187</v>
      </c>
      <c r="E209" s="10">
        <f t="shared" si="43"/>
        <v>1</v>
      </c>
      <c r="F209" s="283"/>
      <c r="G209" s="283"/>
      <c r="H209" s="10"/>
      <c r="I209" s="281">
        <f t="shared" si="44"/>
        <v>44.339071606063577</v>
      </c>
      <c r="J209" s="281">
        <f t="shared" si="45"/>
        <v>44.339071606063577</v>
      </c>
      <c r="K209" s="10"/>
      <c r="L209" s="10"/>
      <c r="M209" s="10"/>
      <c r="N209" s="10"/>
      <c r="O209" s="281">
        <f t="shared" si="46"/>
        <v>50.380168600563898</v>
      </c>
      <c r="P209" s="281">
        <f t="shared" si="47"/>
        <v>50.380168600563898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36.92910233393178</v>
      </c>
      <c r="C210" s="282">
        <f t="shared" si="41"/>
        <v>1</v>
      </c>
      <c r="D210" s="281">
        <f t="shared" si="42"/>
        <v>36.92910233393178</v>
      </c>
      <c r="E210" s="10">
        <f t="shared" si="43"/>
        <v>1</v>
      </c>
      <c r="F210" s="283"/>
      <c r="G210" s="283"/>
      <c r="H210" s="10"/>
      <c r="I210" s="281">
        <f t="shared" si="44"/>
        <v>39.691862911618763</v>
      </c>
      <c r="J210" s="281">
        <f t="shared" si="45"/>
        <v>39.691862911618763</v>
      </c>
      <c r="K210" s="10"/>
      <c r="L210" s="10"/>
      <c r="M210" s="10"/>
      <c r="N210" s="10"/>
      <c r="O210" s="281">
        <f t="shared" si="46"/>
        <v>48.640650662150392</v>
      </c>
      <c r="P210" s="281">
        <f t="shared" si="47"/>
        <v>48.640650662150392</v>
      </c>
      <c r="Q210" s="10"/>
      <c r="R210" s="10"/>
      <c r="S210" s="10"/>
      <c r="T210" s="10"/>
      <c r="U210" s="281">
        <f t="shared" ref="U210:U233" si="48">IF(SUM($E199:$E210)=12,AVERAGE(B199:B210),"NA")</f>
        <v>52.936855611489442</v>
      </c>
      <c r="V210" s="281">
        <f t="shared" ref="V210:V233" si="49">IF(SUM($E199:$E210)=12,AVERAGE(D199:D210),"NA")</f>
        <v>52.936855611489442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40.001751827104876</v>
      </c>
      <c r="C211" s="282">
        <f t="shared" si="41"/>
        <v>1</v>
      </c>
      <c r="D211" s="281">
        <f t="shared" si="42"/>
        <v>40.001751827104876</v>
      </c>
      <c r="E211" s="10">
        <f t="shared" si="43"/>
        <v>1</v>
      </c>
      <c r="F211" s="283">
        <f>IF(B199=0,"NA",+B211/B199)</f>
        <v>0.93202568579490785</v>
      </c>
      <c r="G211" s="283">
        <f>IF(D199=0,"NA",+D211/D199)</f>
        <v>0.93202568579490785</v>
      </c>
      <c r="H211" s="10"/>
      <c r="I211" s="281">
        <f t="shared" si="44"/>
        <v>40.66518366453861</v>
      </c>
      <c r="J211" s="281">
        <f t="shared" si="45"/>
        <v>40.66518366453861</v>
      </c>
      <c r="K211" s="10"/>
      <c r="L211" s="10" t="s">
        <v>643</v>
      </c>
      <c r="M211" s="10"/>
      <c r="N211" s="10"/>
      <c r="O211" s="281">
        <f t="shared" si="46"/>
        <v>44.437737273503167</v>
      </c>
      <c r="P211" s="281">
        <f t="shared" si="47"/>
        <v>44.437737273503167</v>
      </c>
      <c r="Q211" s="10"/>
      <c r="R211" s="10"/>
      <c r="S211" s="10"/>
      <c r="T211" s="10"/>
      <c r="U211" s="281">
        <f t="shared" si="48"/>
        <v>52.693738952716721</v>
      </c>
      <c r="V211" s="281">
        <f t="shared" si="49"/>
        <v>52.693738952716721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38.651486387577066</v>
      </c>
      <c r="C212" s="282">
        <f t="shared" si="41"/>
        <v>1</v>
      </c>
      <c r="D212" s="281">
        <f t="shared" si="42"/>
        <v>38.651486387577066</v>
      </c>
      <c r="E212" s="10">
        <f t="shared" si="43"/>
        <v>1</v>
      </c>
      <c r="F212" s="283">
        <f t="shared" ref="F212:F234" si="50">IF(B200=0,"NA",+B212/B200)</f>
        <v>0.6523530041076695</v>
      </c>
      <c r="G212" s="283">
        <f t="shared" ref="G212:G234" si="51">IF(D200=0,"NA",+D212/D200)</f>
        <v>0.6523530041076695</v>
      </c>
      <c r="H212" s="10"/>
      <c r="I212" s="281">
        <f t="shared" si="44"/>
        <v>38.527446849537903</v>
      </c>
      <c r="J212" s="281">
        <f t="shared" si="45"/>
        <v>38.527446849537903</v>
      </c>
      <c r="K212" s="10"/>
      <c r="L212" s="10"/>
      <c r="M212" s="10"/>
      <c r="N212" s="10"/>
      <c r="O212" s="281">
        <f t="shared" si="46"/>
        <v>41.43325922780074</v>
      </c>
      <c r="P212" s="281">
        <f t="shared" si="47"/>
        <v>41.43325922780074</v>
      </c>
      <c r="Q212" s="10"/>
      <c r="R212" s="10"/>
      <c r="S212" s="10"/>
      <c r="T212" s="10"/>
      <c r="U212" s="281">
        <f t="shared" si="48"/>
        <v>50.977250966814729</v>
      </c>
      <c r="V212" s="281">
        <f t="shared" si="49"/>
        <v>50.977250966814729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46.072972042039574</v>
      </c>
      <c r="C213" s="282">
        <f t="shared" si="41"/>
        <v>1</v>
      </c>
      <c r="D213" s="281">
        <f t="shared" si="42"/>
        <v>46.072972042039574</v>
      </c>
      <c r="E213" s="10">
        <f t="shared" si="43"/>
        <v>1</v>
      </c>
      <c r="F213" s="283">
        <f t="shared" si="50"/>
        <v>0.51456602296167908</v>
      </c>
      <c r="G213" s="283">
        <f t="shared" si="51"/>
        <v>0.51456602296167908</v>
      </c>
      <c r="H213" s="10"/>
      <c r="I213" s="281">
        <f t="shared" si="44"/>
        <v>41.575403418907172</v>
      </c>
      <c r="J213" s="281">
        <f t="shared" si="45"/>
        <v>41.575403418907172</v>
      </c>
      <c r="K213" s="10"/>
      <c r="L213" s="283">
        <f>IF(I201="NA","NA",+I213/I201)</f>
        <v>0.65061183791769062</v>
      </c>
      <c r="M213" s="283">
        <f>IF(J201="NA","NA",+J213/J201)</f>
        <v>0.65061183791769062</v>
      </c>
      <c r="N213" s="10"/>
      <c r="O213" s="281">
        <f t="shared" si="46"/>
        <v>40.633633165262971</v>
      </c>
      <c r="P213" s="281">
        <f t="shared" si="47"/>
        <v>40.633633165262971</v>
      </c>
      <c r="Q213" s="10"/>
      <c r="R213" s="10"/>
      <c r="S213" s="10"/>
      <c r="T213" s="10"/>
      <c r="U213" s="281">
        <f t="shared" si="48"/>
        <v>47.355204255877219</v>
      </c>
      <c r="V213" s="281">
        <f t="shared" si="49"/>
        <v>47.355204255877219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45.916806568230278</v>
      </c>
      <c r="C214" s="282">
        <f t="shared" si="41"/>
        <v>1</v>
      </c>
      <c r="D214" s="281">
        <f t="shared" si="42"/>
        <v>45.916806568230278</v>
      </c>
      <c r="E214" s="10">
        <f t="shared" si="43"/>
        <v>1</v>
      </c>
      <c r="F214" s="283">
        <f t="shared" si="50"/>
        <v>1.043325270269007</v>
      </c>
      <c r="G214" s="283">
        <f t="shared" si="51"/>
        <v>1.043325270269007</v>
      </c>
      <c r="H214" s="10"/>
      <c r="I214" s="281">
        <f t="shared" si="44"/>
        <v>43.547088332615637</v>
      </c>
      <c r="J214" s="281">
        <f t="shared" si="45"/>
        <v>43.547088332615637</v>
      </c>
      <c r="K214" s="10"/>
      <c r="L214" s="283">
        <f t="shared" ref="L214:L222" si="52">IF(I202="NA","NA",+I214/I202)</f>
        <v>0.67761069906357752</v>
      </c>
      <c r="M214" s="283">
        <f t="shared" ref="M214:M222" si="53">IF(J202="NA","NA",+J214/J202)</f>
        <v>0.67761069906357752</v>
      </c>
      <c r="N214" s="10"/>
      <c r="O214" s="281">
        <f t="shared" si="46"/>
        <v>42.106135998577123</v>
      </c>
      <c r="P214" s="281">
        <f t="shared" si="47"/>
        <v>42.106135998577123</v>
      </c>
      <c r="Q214" s="10"/>
      <c r="R214" s="117" t="s">
        <v>642</v>
      </c>
      <c r="S214" s="10"/>
      <c r="T214" s="10"/>
      <c r="U214" s="281">
        <f t="shared" si="48"/>
        <v>47.514099897146203</v>
      </c>
      <c r="V214" s="281">
        <f t="shared" si="49"/>
        <v>47.514099897146203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45.772098230480971</v>
      </c>
      <c r="C215" s="282">
        <f t="shared" si="41"/>
        <v>1</v>
      </c>
      <c r="D215" s="281">
        <f t="shared" si="42"/>
        <v>45.772098230480971</v>
      </c>
      <c r="E215" s="10">
        <f t="shared" si="43"/>
        <v>1</v>
      </c>
      <c r="F215" s="283">
        <f t="shared" si="50"/>
        <v>0.75887072459422489</v>
      </c>
      <c r="G215" s="283">
        <f t="shared" si="51"/>
        <v>0.75887072459422489</v>
      </c>
      <c r="H215" s="10"/>
      <c r="I215" s="281">
        <f t="shared" si="44"/>
        <v>45.92062561358361</v>
      </c>
      <c r="J215" s="281">
        <f t="shared" si="45"/>
        <v>45.92062561358361</v>
      </c>
      <c r="K215" s="10"/>
      <c r="L215" s="283">
        <f t="shared" si="52"/>
        <v>0.71061217575147428</v>
      </c>
      <c r="M215" s="283">
        <f t="shared" si="53"/>
        <v>0.71061217575147428</v>
      </c>
      <c r="N215" s="10"/>
      <c r="O215" s="281">
        <f t="shared" si="46"/>
        <v>42.224036231560753</v>
      </c>
      <c r="P215" s="281">
        <f t="shared" si="47"/>
        <v>42.224036231560753</v>
      </c>
      <c r="Q215" s="10"/>
      <c r="R215" s="10"/>
      <c r="S215" s="10"/>
      <c r="T215" s="10"/>
      <c r="U215" s="281">
        <f t="shared" si="48"/>
        <v>46.302102416062326</v>
      </c>
      <c r="V215" s="281">
        <f t="shared" si="49"/>
        <v>46.302102416062326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64.622452870324537</v>
      </c>
      <c r="C216" s="282">
        <f t="shared" si="41"/>
        <v>1</v>
      </c>
      <c r="D216" s="281">
        <f t="shared" si="42"/>
        <v>64.622452870324537</v>
      </c>
      <c r="E216" s="10">
        <f t="shared" si="43"/>
        <v>1</v>
      </c>
      <c r="F216" s="283">
        <f t="shared" si="50"/>
        <v>1.3643154670571425</v>
      </c>
      <c r="G216" s="283">
        <f t="shared" si="51"/>
        <v>1.3643154670571425</v>
      </c>
      <c r="H216" s="10"/>
      <c r="I216" s="281">
        <f t="shared" si="44"/>
        <v>52.103785889678591</v>
      </c>
      <c r="J216" s="281">
        <f t="shared" si="45"/>
        <v>52.103785889678591</v>
      </c>
      <c r="K216" s="10"/>
      <c r="L216" s="283">
        <f t="shared" si="52"/>
        <v>1.0304499286142423</v>
      </c>
      <c r="M216" s="283">
        <f t="shared" si="53"/>
        <v>1.0304499286142423</v>
      </c>
      <c r="N216" s="10"/>
      <c r="O216" s="281">
        <f t="shared" si="46"/>
        <v>46.839594654292881</v>
      </c>
      <c r="P216" s="281">
        <f t="shared" si="47"/>
        <v>46.839594654292881</v>
      </c>
      <c r="Q216" s="10"/>
      <c r="R216" s="283">
        <f>IF(O204="NA","NA",+O216/O204)</f>
        <v>0.81840101150122491</v>
      </c>
      <c r="S216" s="283">
        <f>IF(P204="NA","NA",+P216/P204)</f>
        <v>0.81840101150122491</v>
      </c>
      <c r="T216" s="10"/>
      <c r="U216" s="281">
        <f t="shared" si="48"/>
        <v>47.740122658221644</v>
      </c>
      <c r="V216" s="281">
        <f t="shared" si="49"/>
        <v>47.740122658221644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58.400846388996591</v>
      </c>
      <c r="C217" s="282">
        <f t="shared" si="41"/>
        <v>1</v>
      </c>
      <c r="D217" s="281">
        <f t="shared" si="42"/>
        <v>58.400846388996591</v>
      </c>
      <c r="E217" s="10">
        <f t="shared" si="43"/>
        <v>1</v>
      </c>
      <c r="F217" s="283">
        <f t="shared" si="50"/>
        <v>0.89545436914420973</v>
      </c>
      <c r="G217" s="283">
        <f t="shared" si="51"/>
        <v>0.89545436914420973</v>
      </c>
      <c r="H217" s="10"/>
      <c r="I217" s="281">
        <f t="shared" si="44"/>
        <v>56.2651324966007</v>
      </c>
      <c r="J217" s="281">
        <f t="shared" si="45"/>
        <v>56.2651324966007</v>
      </c>
      <c r="K217" s="10"/>
      <c r="L217" s="283">
        <f t="shared" si="52"/>
        <v>0.97625172484570588</v>
      </c>
      <c r="M217" s="283">
        <f t="shared" si="53"/>
        <v>0.97625172484570588</v>
      </c>
      <c r="N217" s="10"/>
      <c r="O217" s="281">
        <f t="shared" si="46"/>
        <v>49.906110414608172</v>
      </c>
      <c r="P217" s="281">
        <f t="shared" si="47"/>
        <v>49.906110414608172</v>
      </c>
      <c r="Q217" s="10"/>
      <c r="R217" s="283">
        <f t="shared" ref="R217:R222" si="54">IF(O205="NA","NA",+O217/O205)</f>
        <v>0.81880759289832694</v>
      </c>
      <c r="S217" s="283">
        <f t="shared" ref="S217:S222" si="55">IF(P205="NA","NA",+P217/P205)</f>
        <v>0.81880759289832694</v>
      </c>
      <c r="T217" s="10"/>
      <c r="U217" s="281">
        <f t="shared" si="48"/>
        <v>47.171923844055669</v>
      </c>
      <c r="V217" s="281">
        <f t="shared" si="49"/>
        <v>47.171923844055669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43.692323964410917</v>
      </c>
      <c r="C218" s="282">
        <f t="shared" si="41"/>
        <v>1</v>
      </c>
      <c r="D218" s="281">
        <f t="shared" si="42"/>
        <v>43.692323964410917</v>
      </c>
      <c r="E218" s="10">
        <f t="shared" si="43"/>
        <v>1</v>
      </c>
      <c r="F218" s="283">
        <f t="shared" si="50"/>
        <v>0.77088200998652268</v>
      </c>
      <c r="G218" s="283">
        <f t="shared" si="51"/>
        <v>0.77088200998652268</v>
      </c>
      <c r="H218" s="10"/>
      <c r="I218" s="281">
        <f t="shared" si="44"/>
        <v>55.571874407910684</v>
      </c>
      <c r="J218" s="281">
        <f t="shared" si="45"/>
        <v>55.571874407910684</v>
      </c>
      <c r="K218" s="10"/>
      <c r="L218" s="283">
        <f t="shared" si="52"/>
        <v>0.98494554884235264</v>
      </c>
      <c r="M218" s="283">
        <f t="shared" si="53"/>
        <v>0.98494554884235264</v>
      </c>
      <c r="N218" s="10"/>
      <c r="O218" s="281">
        <f t="shared" si="46"/>
        <v>50.746250010747154</v>
      </c>
      <c r="P218" s="281">
        <f t="shared" si="47"/>
        <v>50.746250010747154</v>
      </c>
      <c r="Q218" s="10"/>
      <c r="R218" s="283">
        <f t="shared" si="54"/>
        <v>0.83848658325483849</v>
      </c>
      <c r="S218" s="283">
        <f t="shared" si="55"/>
        <v>0.83848658325483849</v>
      </c>
      <c r="T218" s="10"/>
      <c r="U218" s="281">
        <f t="shared" si="48"/>
        <v>46.089754619273947</v>
      </c>
      <c r="V218" s="281">
        <f t="shared" si="49"/>
        <v>46.089754619273947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71.168632311625956</v>
      </c>
      <c r="C219" s="282">
        <f t="shared" si="41"/>
        <v>1</v>
      </c>
      <c r="D219" s="281">
        <f t="shared" si="42"/>
        <v>71.168632311625956</v>
      </c>
      <c r="E219" s="10">
        <f t="shared" si="43"/>
        <v>1</v>
      </c>
      <c r="F219" s="283">
        <f t="shared" si="50"/>
        <v>1.3990094996845055</v>
      </c>
      <c r="G219" s="283">
        <f t="shared" si="51"/>
        <v>1.3990094996845055</v>
      </c>
      <c r="H219" s="10"/>
      <c r="I219" s="281">
        <f t="shared" si="44"/>
        <v>57.753934221677831</v>
      </c>
      <c r="J219" s="281">
        <f t="shared" si="45"/>
        <v>57.753934221677831</v>
      </c>
      <c r="K219" s="10"/>
      <c r="L219" s="283">
        <f t="shared" si="52"/>
        <v>1.0028563537608586</v>
      </c>
      <c r="M219" s="283">
        <f t="shared" si="53"/>
        <v>1.0028563537608586</v>
      </c>
      <c r="N219" s="10"/>
      <c r="O219" s="281">
        <f t="shared" si="46"/>
        <v>54.928860055678207</v>
      </c>
      <c r="P219" s="281">
        <f t="shared" si="47"/>
        <v>54.928860055678207</v>
      </c>
      <c r="Q219" s="10"/>
      <c r="R219" s="283">
        <f t="shared" si="54"/>
        <v>1.0157569437845935</v>
      </c>
      <c r="S219" s="283">
        <f t="shared" si="55"/>
        <v>1.0157569437845935</v>
      </c>
      <c r="T219" s="10"/>
      <c r="U219" s="281">
        <f t="shared" si="48"/>
        <v>47.781246610470589</v>
      </c>
      <c r="V219" s="281">
        <f t="shared" si="49"/>
        <v>47.781246610470589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32.49841373087169</v>
      </c>
      <c r="C220" s="282">
        <f t="shared" si="41"/>
        <v>1</v>
      </c>
      <c r="D220" s="281">
        <f t="shared" si="42"/>
        <v>32.49841373087169</v>
      </c>
      <c r="E220" s="10">
        <f t="shared" si="43"/>
        <v>1</v>
      </c>
      <c r="F220" s="283">
        <f t="shared" si="50"/>
        <v>0.87639820270739544</v>
      </c>
      <c r="G220" s="283">
        <f t="shared" si="51"/>
        <v>0.87639820270739544</v>
      </c>
      <c r="H220" s="10"/>
      <c r="I220" s="281">
        <f t="shared" si="44"/>
        <v>49.119790002302857</v>
      </c>
      <c r="J220" s="281">
        <f t="shared" si="45"/>
        <v>49.119790002302857</v>
      </c>
      <c r="K220" s="10"/>
      <c r="L220" s="283">
        <f t="shared" si="52"/>
        <v>1.0188652485431464</v>
      </c>
      <c r="M220" s="283">
        <f t="shared" si="53"/>
        <v>1.0188652485431464</v>
      </c>
      <c r="N220" s="10"/>
      <c r="O220" s="281">
        <f t="shared" si="46"/>
        <v>52.692461249451775</v>
      </c>
      <c r="P220" s="281">
        <f t="shared" si="47"/>
        <v>52.692461249451775</v>
      </c>
      <c r="Q220" s="10"/>
      <c r="R220" s="283">
        <f t="shared" si="54"/>
        <v>0.99566149674075854</v>
      </c>
      <c r="S220" s="283">
        <f t="shared" si="55"/>
        <v>0.99566149674075854</v>
      </c>
      <c r="T220" s="10"/>
      <c r="U220" s="281">
        <f t="shared" si="48"/>
        <v>47.399298624014449</v>
      </c>
      <c r="V220" s="281">
        <f t="shared" si="49"/>
        <v>47.399298624014449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32.72631909159788</v>
      </c>
      <c r="C221" s="282">
        <f t="shared" si="41"/>
        <v>1</v>
      </c>
      <c r="D221" s="281">
        <f t="shared" si="42"/>
        <v>32.72631909159788</v>
      </c>
      <c r="E221" s="10">
        <f t="shared" si="43"/>
        <v>1</v>
      </c>
      <c r="F221" s="283">
        <f t="shared" si="50"/>
        <v>0.72620746153424987</v>
      </c>
      <c r="G221" s="283">
        <f t="shared" si="51"/>
        <v>0.72620746153424987</v>
      </c>
      <c r="H221" s="10"/>
      <c r="I221" s="281">
        <f t="shared" si="44"/>
        <v>45.464455044698504</v>
      </c>
      <c r="J221" s="281">
        <f t="shared" si="45"/>
        <v>45.464455044698504</v>
      </c>
      <c r="K221" s="10"/>
      <c r="L221" s="283">
        <f t="shared" si="52"/>
        <v>1.02538130361938</v>
      </c>
      <c r="M221" s="283">
        <f t="shared" si="53"/>
        <v>1.02538130361938</v>
      </c>
      <c r="N221" s="10"/>
      <c r="O221" s="281">
        <f t="shared" si="46"/>
        <v>50.518164726304597</v>
      </c>
      <c r="P221" s="281">
        <f t="shared" si="47"/>
        <v>50.518164726304597</v>
      </c>
      <c r="Q221" s="10"/>
      <c r="R221" s="283">
        <f t="shared" si="54"/>
        <v>1.0027390961478273</v>
      </c>
      <c r="S221" s="283">
        <f t="shared" si="55"/>
        <v>1.0027390961478273</v>
      </c>
      <c r="T221" s="10"/>
      <c r="U221" s="281">
        <f t="shared" si="48"/>
        <v>46.371100478932675</v>
      </c>
      <c r="V221" s="281">
        <f t="shared" si="49"/>
        <v>46.371100478932675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34.758119102387823</v>
      </c>
      <c r="C222" s="282">
        <f t="shared" si="41"/>
        <v>1</v>
      </c>
      <c r="D222" s="281">
        <f t="shared" si="42"/>
        <v>34.758119102387823</v>
      </c>
      <c r="E222" s="10">
        <f t="shared" si="43"/>
        <v>1</v>
      </c>
      <c r="F222" s="283">
        <f t="shared" si="50"/>
        <v>0.94121213096617351</v>
      </c>
      <c r="G222" s="283">
        <f t="shared" si="51"/>
        <v>0.94121213096617351</v>
      </c>
      <c r="H222" s="10"/>
      <c r="I222" s="281">
        <f t="shared" si="44"/>
        <v>33.327617308285802</v>
      </c>
      <c r="J222" s="281">
        <f t="shared" si="45"/>
        <v>33.327617308285802</v>
      </c>
      <c r="K222" s="10"/>
      <c r="L222" s="283">
        <f t="shared" si="52"/>
        <v>0.83965868224668305</v>
      </c>
      <c r="M222" s="283">
        <f t="shared" si="53"/>
        <v>0.83965868224668305</v>
      </c>
      <c r="N222" s="10"/>
      <c r="O222" s="281">
        <f t="shared" si="46"/>
        <v>45.540775764981809</v>
      </c>
      <c r="P222" s="281">
        <f t="shared" si="47"/>
        <v>45.540775764981809</v>
      </c>
      <c r="Q222" s="10"/>
      <c r="R222" s="283">
        <f t="shared" si="54"/>
        <v>0.93626987190817446</v>
      </c>
      <c r="S222" s="283">
        <f t="shared" si="55"/>
        <v>0.93626987190817446</v>
      </c>
      <c r="T222" s="10"/>
      <c r="U222" s="281">
        <f t="shared" si="48"/>
        <v>46.190185209637349</v>
      </c>
      <c r="V222" s="281">
        <f t="shared" si="49"/>
        <v>46.190185209637349</v>
      </c>
      <c r="W222" s="10"/>
      <c r="X222" s="283">
        <f>IF(U210="NA","NA",+U222/U210)</f>
        <v>0.87255249062455098</v>
      </c>
      <c r="Y222" s="283">
        <f>IF(V210="NA","NA",+V222/V210)</f>
        <v>0.87255249062455098</v>
      </c>
    </row>
    <row r="223" spans="1:25" x14ac:dyDescent="0.2">
      <c r="A223" s="280">
        <f t="shared" si="39"/>
        <v>45017</v>
      </c>
      <c r="B223" s="281">
        <f t="shared" ca="1" si="40"/>
        <v>34.759223029625488</v>
      </c>
      <c r="C223" s="282">
        <f t="shared" si="41"/>
        <v>1</v>
      </c>
      <c r="D223" s="281">
        <f t="shared" ca="1" si="42"/>
        <v>34.759223029625488</v>
      </c>
      <c r="E223" s="10">
        <f t="shared" ca="1" si="43"/>
        <v>1</v>
      </c>
      <c r="F223" s="283">
        <f t="shared" ca="1" si="50"/>
        <v>0.86894251981416748</v>
      </c>
      <c r="G223" s="283">
        <f t="shared" ca="1" si="51"/>
        <v>0.86894251981416748</v>
      </c>
      <c r="H223" s="10"/>
      <c r="I223" s="281">
        <f t="shared" ca="1" si="44"/>
        <v>34.081220407870397</v>
      </c>
      <c r="J223" s="281">
        <f t="shared" ca="1" si="45"/>
        <v>34.081220407870397</v>
      </c>
      <c r="K223" s="10"/>
      <c r="L223" s="283">
        <f ca="1">IF(OR(I211="NA",I223="NA"),"NA",+I223/I211)</f>
        <v>0.83809335988786771</v>
      </c>
      <c r="M223" s="283">
        <f ca="1">IF(OR(J211="NA",J223="NA"),"NA",+J223/J211)</f>
        <v>0.83809335988786771</v>
      </c>
      <c r="N223" s="10"/>
      <c r="O223" s="281">
        <f t="shared" ca="1" si="46"/>
        <v>41.600505205086627</v>
      </c>
      <c r="P223" s="281">
        <f t="shared" ca="1" si="47"/>
        <v>41.600505205086627</v>
      </c>
      <c r="Q223" s="10"/>
      <c r="R223" s="283">
        <f ca="1">IF(OR(O211="NA",O223="NA"),"NA",+O223/O211)</f>
        <v>0.93615264317005864</v>
      </c>
      <c r="S223" s="283">
        <f ca="1">IF(OR(P211="NA",P223="NA"),"NA",+P223/P211)</f>
        <v>0.93615264317005864</v>
      </c>
      <c r="T223" s="10"/>
      <c r="U223" s="281">
        <f t="shared" ca="1" si="48"/>
        <v>45.753307809847399</v>
      </c>
      <c r="V223" s="281">
        <f t="shared" ca="1" si="49"/>
        <v>45.753307809847399</v>
      </c>
      <c r="W223" s="10"/>
      <c r="X223" s="283">
        <f ca="1">IF(OR(U211="NA",U223="NA"),"NA",+U223/U211)</f>
        <v>0.8682873661879047</v>
      </c>
      <c r="Y223" s="283">
        <f ca="1">IF(OR(V211="NA",V223="NA"),"NA",+V223/V211)</f>
        <v>0.8682873661879047</v>
      </c>
    </row>
    <row r="224" spans="1:25" x14ac:dyDescent="0.2">
      <c r="A224" s="280">
        <f t="shared" si="39"/>
        <v>45047</v>
      </c>
      <c r="B224" s="281">
        <f t="shared" ca="1" si="40"/>
        <v>47.723898234394554</v>
      </c>
      <c r="C224" s="282">
        <f t="shared" si="41"/>
        <v>1</v>
      </c>
      <c r="D224" s="281">
        <f t="shared" ca="1" si="42"/>
        <v>47.723898234394554</v>
      </c>
      <c r="E224" s="10">
        <f t="shared" ca="1" si="43"/>
        <v>1</v>
      </c>
      <c r="F224" s="283">
        <f t="shared" ca="1" si="50"/>
        <v>1.2347234917654666</v>
      </c>
      <c r="G224" s="283">
        <f t="shared" ca="1" si="51"/>
        <v>1.2347234917654666</v>
      </c>
      <c r="H224" s="10"/>
      <c r="I224" s="281">
        <f t="shared" ca="1" si="44"/>
        <v>39.080413455469291</v>
      </c>
      <c r="J224" s="281">
        <f t="shared" ca="1" si="45"/>
        <v>39.080413455469291</v>
      </c>
      <c r="K224" s="10"/>
      <c r="L224" s="283">
        <f t="shared" ref="L224:M234" ca="1" si="56">IF(OR(I212="NA",I224="NA"),"NA",+I224/I212)</f>
        <v>1.0143525369872264</v>
      </c>
      <c r="M224" s="283">
        <f t="shared" ca="1" si="56"/>
        <v>1.0143525369872264</v>
      </c>
      <c r="N224" s="10"/>
      <c r="O224" s="281">
        <f t="shared" ca="1" si="46"/>
        <v>42.272434250083897</v>
      </c>
      <c r="P224" s="281">
        <f t="shared" ca="1" si="47"/>
        <v>42.272434250083897</v>
      </c>
      <c r="Q224" s="10"/>
      <c r="R224" s="283">
        <f t="shared" ref="R224:R234" ca="1" si="57">IF(OR(O212="NA",O224="NA"),"NA",+O224/O212)</f>
        <v>1.0202536570359904</v>
      </c>
      <c r="S224" s="283">
        <f t="shared" ref="S224:S234" ca="1" si="58">IF(OR(P212="NA",P224="NA"),"NA",+P224/P212)</f>
        <v>1.0202536570359904</v>
      </c>
      <c r="T224" s="10"/>
      <c r="U224" s="281">
        <f t="shared" ca="1" si="48"/>
        <v>46.509342130415526</v>
      </c>
      <c r="V224" s="281">
        <f t="shared" ca="1" si="49"/>
        <v>46.509342130415526</v>
      </c>
      <c r="W224" s="10"/>
      <c r="X224" s="283">
        <f t="shared" ref="X224:X234" ca="1" si="59">IF(OR(U212="NA",U224="NA"),"NA",+U224/U212)</f>
        <v>0.91235484943455014</v>
      </c>
      <c r="Y224" s="283">
        <f t="shared" ref="Y224:Y234" ca="1" si="60">IF(OR(V212="NA",V224="NA"),"NA",+V224/V212)</f>
        <v>0.91235484943455014</v>
      </c>
    </row>
    <row r="225" spans="1:25" x14ac:dyDescent="0.2">
      <c r="A225" s="280">
        <f t="shared" si="39"/>
        <v>45078</v>
      </c>
      <c r="B225" s="281">
        <f t="shared" ca="1" si="40"/>
        <v>37.06392694063927</v>
      </c>
      <c r="C225" s="282">
        <f t="shared" si="41"/>
        <v>1</v>
      </c>
      <c r="D225" s="281">
        <f t="shared" ca="1" si="42"/>
        <v>37.06392694063927</v>
      </c>
      <c r="E225" s="10">
        <f t="shared" ca="1" si="43"/>
        <v>1</v>
      </c>
      <c r="F225" s="283">
        <f t="shared" ca="1" si="50"/>
        <v>0.80446138588194516</v>
      </c>
      <c r="G225" s="283">
        <f t="shared" ca="1" si="51"/>
        <v>0.80446138588194516</v>
      </c>
      <c r="H225" s="10"/>
      <c r="I225" s="281">
        <f t="shared" ca="1" si="44"/>
        <v>39.849016068219775</v>
      </c>
      <c r="J225" s="281">
        <f t="shared" ca="1" si="45"/>
        <v>39.849016068219775</v>
      </c>
      <c r="K225" s="10"/>
      <c r="L225" s="283">
        <f t="shared" ca="1" si="56"/>
        <v>0.95847575227851456</v>
      </c>
      <c r="M225" s="283">
        <f t="shared" ca="1" si="56"/>
        <v>0.95847575227851456</v>
      </c>
      <c r="N225" s="10"/>
      <c r="O225" s="281">
        <f t="shared" ca="1" si="46"/>
        <v>36.588316688252789</v>
      </c>
      <c r="P225" s="281">
        <f t="shared" ca="1" si="47"/>
        <v>36.588316688252789</v>
      </c>
      <c r="Q225" s="10"/>
      <c r="R225" s="283">
        <f t="shared" ca="1" si="57"/>
        <v>0.90044413551312819</v>
      </c>
      <c r="S225" s="283">
        <f t="shared" ca="1" si="58"/>
        <v>0.90044413551312819</v>
      </c>
      <c r="T225" s="10"/>
      <c r="U225" s="281">
        <f t="shared" ca="1" si="48"/>
        <v>45.758588371965494</v>
      </c>
      <c r="V225" s="281">
        <f t="shared" ca="1" si="49"/>
        <v>45.758588371965494</v>
      </c>
      <c r="W225" s="10"/>
      <c r="X225" s="283">
        <f t="shared" ca="1" si="59"/>
        <v>0.9662842572637923</v>
      </c>
      <c r="Y225" s="283">
        <f t="shared" ca="1" si="60"/>
        <v>0.9662842572637923</v>
      </c>
    </row>
    <row r="226" spans="1:25" x14ac:dyDescent="0.2">
      <c r="A226" s="280">
        <f t="shared" si="39"/>
        <v>45108</v>
      </c>
      <c r="B226" s="281">
        <f t="shared" ca="1" si="40"/>
        <v>42.973126471810502</v>
      </c>
      <c r="C226" s="282">
        <f t="shared" si="41"/>
        <v>1</v>
      </c>
      <c r="D226" s="281">
        <f t="shared" ca="1" si="42"/>
        <v>42.973126471810502</v>
      </c>
      <c r="E226" s="10">
        <f t="shared" ca="1" si="43"/>
        <v>1</v>
      </c>
      <c r="F226" s="283">
        <f t="shared" ca="1" si="50"/>
        <v>0.93589100992801832</v>
      </c>
      <c r="G226" s="283">
        <f t="shared" ca="1" si="51"/>
        <v>0.93589100992801832</v>
      </c>
      <c r="H226" s="10"/>
      <c r="I226" s="281">
        <f t="shared" ca="1" si="44"/>
        <v>42.586983882281437</v>
      </c>
      <c r="J226" s="281">
        <f t="shared" ca="1" si="45"/>
        <v>42.586983882281437</v>
      </c>
      <c r="K226" s="10"/>
      <c r="L226" s="283">
        <f t="shared" ca="1" si="56"/>
        <v>0.97795249953335905</v>
      </c>
      <c r="M226" s="283">
        <f t="shared" ca="1" si="56"/>
        <v>0.97795249953335905</v>
      </c>
      <c r="N226" s="10"/>
      <c r="O226" s="281">
        <f t="shared" ca="1" si="46"/>
        <v>38.334102145075924</v>
      </c>
      <c r="P226" s="281">
        <f t="shared" ca="1" si="47"/>
        <v>38.334102145075924</v>
      </c>
      <c r="Q226" s="10"/>
      <c r="R226" s="283">
        <f t="shared" ca="1" si="57"/>
        <v>0.91041605305153939</v>
      </c>
      <c r="S226" s="283">
        <f t="shared" ca="1" si="58"/>
        <v>0.91041605305153939</v>
      </c>
      <c r="T226" s="10"/>
      <c r="U226" s="281">
        <f t="shared" ca="1" si="48"/>
        <v>45.513281697263842</v>
      </c>
      <c r="V226" s="281">
        <f t="shared" ca="1" si="49"/>
        <v>45.513281697263842</v>
      </c>
      <c r="W226" s="10"/>
      <c r="X226" s="283">
        <f t="shared" ca="1" si="59"/>
        <v>0.957890011507878</v>
      </c>
      <c r="Y226" s="283">
        <f t="shared" ca="1" si="60"/>
        <v>0.957890011507878</v>
      </c>
    </row>
    <row r="227" spans="1:25" x14ac:dyDescent="0.2">
      <c r="A227" s="280">
        <f t="shared" si="39"/>
        <v>45139</v>
      </c>
      <c r="B227" s="281">
        <f t="shared" ca="1" si="40"/>
        <v>41.941143808995001</v>
      </c>
      <c r="C227" s="282">
        <f t="shared" si="41"/>
        <v>1</v>
      </c>
      <c r="D227" s="281">
        <f t="shared" ca="1" si="42"/>
        <v>41.941143808995001</v>
      </c>
      <c r="E227" s="10">
        <f t="shared" ca="1" si="43"/>
        <v>1</v>
      </c>
      <c r="F227" s="283">
        <f t="shared" ca="1" si="50"/>
        <v>0.91630371843135594</v>
      </c>
      <c r="G227" s="283">
        <f t="shared" ca="1" si="51"/>
        <v>0.91630371843135594</v>
      </c>
      <c r="H227" s="10"/>
      <c r="I227" s="281">
        <f t="shared" ca="1" si="44"/>
        <v>40.659399073814932</v>
      </c>
      <c r="J227" s="281">
        <f t="shared" ca="1" si="45"/>
        <v>40.659399073814932</v>
      </c>
      <c r="K227" s="10"/>
      <c r="L227" s="283">
        <f t="shared" ca="1" si="56"/>
        <v>0.88542781224190525</v>
      </c>
      <c r="M227" s="283">
        <f t="shared" ca="1" si="56"/>
        <v>0.88542781224190525</v>
      </c>
      <c r="N227" s="10"/>
      <c r="O227" s="281">
        <f t="shared" ca="1" si="46"/>
        <v>39.869906264642104</v>
      </c>
      <c r="P227" s="281">
        <f t="shared" ca="1" si="47"/>
        <v>39.869906264642104</v>
      </c>
      <c r="Q227" s="10"/>
      <c r="R227" s="283">
        <f t="shared" ca="1" si="57"/>
        <v>0.94424668560797054</v>
      </c>
      <c r="S227" s="283">
        <f t="shared" ca="1" si="58"/>
        <v>0.94424668560797054</v>
      </c>
      <c r="T227" s="10"/>
      <c r="U227" s="281">
        <f t="shared" ca="1" si="48"/>
        <v>45.194035495473344</v>
      </c>
      <c r="V227" s="281">
        <f t="shared" ca="1" si="49"/>
        <v>45.194035495473344</v>
      </c>
      <c r="W227" s="10"/>
      <c r="X227" s="283">
        <f t="shared" ca="1" si="59"/>
        <v>0.97606875578495134</v>
      </c>
      <c r="Y227" s="283">
        <f t="shared" ca="1" si="60"/>
        <v>0.97606875578495134</v>
      </c>
    </row>
    <row r="228" spans="1:25" x14ac:dyDescent="0.2">
      <c r="A228" s="280">
        <f t="shared" si="39"/>
        <v>45170</v>
      </c>
      <c r="B228" s="281">
        <f t="shared" ca="1" si="40"/>
        <v>33.106569953968474</v>
      </c>
      <c r="C228" s="282">
        <f t="shared" si="41"/>
        <v>1</v>
      </c>
      <c r="D228" s="281">
        <f t="shared" ca="1" si="42"/>
        <v>33.106569953968474</v>
      </c>
      <c r="E228" s="10">
        <f t="shared" ca="1" si="43"/>
        <v>1</v>
      </c>
      <c r="F228" s="283">
        <f t="shared" ca="1" si="50"/>
        <v>0.51230754147327384</v>
      </c>
      <c r="G228" s="283">
        <f t="shared" ca="1" si="51"/>
        <v>0.51230754147327384</v>
      </c>
      <c r="H228" s="10"/>
      <c r="I228" s="281">
        <f t="shared" ca="1" si="44"/>
        <v>39.340280078257997</v>
      </c>
      <c r="J228" s="281">
        <f t="shared" ca="1" si="45"/>
        <v>39.340280078257997</v>
      </c>
      <c r="K228" s="10"/>
      <c r="L228" s="283">
        <f t="shared" ca="1" si="56"/>
        <v>0.75503688276231462</v>
      </c>
      <c r="M228" s="283">
        <f t="shared" ca="1" si="56"/>
        <v>0.75503688276231462</v>
      </c>
      <c r="N228" s="10"/>
      <c r="O228" s="281">
        <f t="shared" ca="1" si="46"/>
        <v>39.594648073238886</v>
      </c>
      <c r="P228" s="281">
        <f t="shared" ca="1" si="47"/>
        <v>39.594648073238886</v>
      </c>
      <c r="Q228" s="10"/>
      <c r="R228" s="283">
        <f t="shared" ca="1" si="57"/>
        <v>0.84532431088427473</v>
      </c>
      <c r="S228" s="283">
        <f t="shared" ca="1" si="58"/>
        <v>0.84532431088427473</v>
      </c>
      <c r="T228" s="10"/>
      <c r="U228" s="281">
        <f t="shared" ca="1" si="48"/>
        <v>42.567711919110337</v>
      </c>
      <c r="V228" s="281">
        <f t="shared" ca="1" si="49"/>
        <v>42.567711919110337</v>
      </c>
      <c r="W228" s="10"/>
      <c r="X228" s="283">
        <f t="shared" ca="1" si="59"/>
        <v>0.89165485023695201</v>
      </c>
      <c r="Y228" s="283">
        <f t="shared" ca="1" si="60"/>
        <v>0.89165485023695201</v>
      </c>
    </row>
    <row r="229" spans="1:25" x14ac:dyDescent="0.2">
      <c r="A229" s="280">
        <f t="shared" si="39"/>
        <v>45200</v>
      </c>
      <c r="B229" s="281">
        <f t="shared" ca="1" si="40"/>
        <v>44.019815059445179</v>
      </c>
      <c r="C229" s="282">
        <f t="shared" si="41"/>
        <v>1</v>
      </c>
      <c r="D229" s="281">
        <f t="shared" ca="1" si="42"/>
        <v>44.019815059445179</v>
      </c>
      <c r="E229" s="10">
        <f t="shared" ca="1" si="43"/>
        <v>1</v>
      </c>
      <c r="F229" s="283">
        <f t="shared" ca="1" si="50"/>
        <v>0.75375303238308944</v>
      </c>
      <c r="G229" s="283">
        <f t="shared" ca="1" si="51"/>
        <v>0.75375303238308944</v>
      </c>
      <c r="H229" s="10"/>
      <c r="I229" s="281">
        <f t="shared" ca="1" si="44"/>
        <v>39.689176274136216</v>
      </c>
      <c r="J229" s="281">
        <f t="shared" ca="1" si="45"/>
        <v>39.689176274136216</v>
      </c>
      <c r="K229" s="10"/>
      <c r="L229" s="283">
        <f t="shared" ca="1" si="56"/>
        <v>0.70539558893839038</v>
      </c>
      <c r="M229" s="283">
        <f t="shared" ca="1" si="56"/>
        <v>0.70539558893839038</v>
      </c>
      <c r="N229" s="10"/>
      <c r="O229" s="281">
        <f t="shared" ca="1" si="46"/>
        <v>41.138080078208837</v>
      </c>
      <c r="P229" s="281">
        <f t="shared" ca="1" si="47"/>
        <v>41.138080078208837</v>
      </c>
      <c r="Q229" s="10"/>
      <c r="R229" s="283">
        <f t="shared" ca="1" si="57"/>
        <v>0.82430948307618823</v>
      </c>
      <c r="S229" s="283">
        <f t="shared" ca="1" si="58"/>
        <v>0.82430948307618823</v>
      </c>
      <c r="T229" s="10"/>
      <c r="U229" s="281">
        <f t="shared" ca="1" si="48"/>
        <v>41.369292641647725</v>
      </c>
      <c r="V229" s="281">
        <f t="shared" ca="1" si="49"/>
        <v>41.369292641647725</v>
      </c>
      <c r="W229" s="10"/>
      <c r="X229" s="283">
        <f t="shared" ca="1" si="59"/>
        <v>0.87698972758476634</v>
      </c>
      <c r="Y229" s="283">
        <f t="shared" ca="1" si="60"/>
        <v>0.87698972758476634</v>
      </c>
    </row>
    <row r="230" spans="1:25" x14ac:dyDescent="0.2">
      <c r="A230" s="280">
        <f t="shared" si="39"/>
        <v>45231</v>
      </c>
      <c r="B230" s="281">
        <f t="shared" ca="1" si="40"/>
        <v>51.148529656089053</v>
      </c>
      <c r="C230" s="282">
        <f t="shared" si="41"/>
        <v>1</v>
      </c>
      <c r="D230" s="281">
        <f t="shared" ca="1" si="42"/>
        <v>51.148529656089053</v>
      </c>
      <c r="E230" s="10">
        <f t="shared" ca="1" si="43"/>
        <v>1</v>
      </c>
      <c r="F230" s="283">
        <f t="shared" ca="1" si="50"/>
        <v>1.1706525315007621</v>
      </c>
      <c r="G230" s="283">
        <f t="shared" ca="1" si="51"/>
        <v>1.1706525315007621</v>
      </c>
      <c r="H230" s="10"/>
      <c r="I230" s="281">
        <f t="shared" ca="1" si="44"/>
        <v>42.758304889834243</v>
      </c>
      <c r="J230" s="281">
        <f t="shared" ca="1" si="45"/>
        <v>42.758304889834243</v>
      </c>
      <c r="K230" s="10"/>
      <c r="L230" s="283">
        <f t="shared" ca="1" si="56"/>
        <v>0.76942347807054667</v>
      </c>
      <c r="M230" s="283">
        <f t="shared" ca="1" si="56"/>
        <v>0.76942347807054667</v>
      </c>
      <c r="N230" s="10"/>
      <c r="O230" s="281">
        <f t="shared" ca="1" si="46"/>
        <v>41.708851981824587</v>
      </c>
      <c r="P230" s="281">
        <f t="shared" ca="1" si="47"/>
        <v>41.708851981824587</v>
      </c>
      <c r="Q230" s="10"/>
      <c r="R230" s="283">
        <f t="shared" ca="1" si="57"/>
        <v>0.82191003222881287</v>
      </c>
      <c r="S230" s="283">
        <f t="shared" ca="1" si="58"/>
        <v>0.82191003222881287</v>
      </c>
      <c r="T230" s="10"/>
      <c r="U230" s="281">
        <f t="shared" ca="1" si="48"/>
        <v>41.990643115954235</v>
      </c>
      <c r="V230" s="281">
        <f t="shared" ca="1" si="49"/>
        <v>41.990643115954235</v>
      </c>
      <c r="W230" s="10"/>
      <c r="X230" s="283">
        <f t="shared" ca="1" si="59"/>
        <v>0.91106241425712575</v>
      </c>
      <c r="Y230" s="283">
        <f t="shared" ca="1" si="60"/>
        <v>0.91106241425712575</v>
      </c>
    </row>
    <row r="231" spans="1:25" x14ac:dyDescent="0.2">
      <c r="A231" s="280">
        <f t="shared" si="39"/>
        <v>45261</v>
      </c>
      <c r="B231" s="281">
        <f t="shared" ca="1" si="40"/>
        <v>43.884263959390864</v>
      </c>
      <c r="C231" s="282">
        <f t="shared" si="41"/>
        <v>1</v>
      </c>
      <c r="D231" s="281">
        <f t="shared" ca="1" si="42"/>
        <v>43.884263959390864</v>
      </c>
      <c r="E231" s="10">
        <f t="shared" ca="1" si="43"/>
        <v>1</v>
      </c>
      <c r="F231" s="283">
        <f t="shared" ca="1" si="50"/>
        <v>0.61662368003975288</v>
      </c>
      <c r="G231" s="283">
        <f t="shared" ca="1" si="51"/>
        <v>0.61662368003975288</v>
      </c>
      <c r="H231" s="10"/>
      <c r="I231" s="281">
        <f t="shared" ca="1" si="44"/>
        <v>46.350869558308368</v>
      </c>
      <c r="J231" s="281">
        <f t="shared" ca="1" si="45"/>
        <v>46.350869558308368</v>
      </c>
      <c r="K231" s="10"/>
      <c r="L231" s="283">
        <f t="shared" ca="1" si="56"/>
        <v>0.80255778559429558</v>
      </c>
      <c r="M231" s="283">
        <f t="shared" ca="1" si="56"/>
        <v>0.80255778559429558</v>
      </c>
      <c r="N231" s="10"/>
      <c r="O231" s="281">
        <f t="shared" ca="1" si="46"/>
        <v>42.845574818283183</v>
      </c>
      <c r="P231" s="281">
        <f t="shared" ca="1" si="47"/>
        <v>42.845574818283183</v>
      </c>
      <c r="Q231" s="10"/>
      <c r="R231" s="283">
        <f t="shared" ca="1" si="57"/>
        <v>0.78001937005161048</v>
      </c>
      <c r="S231" s="283">
        <f t="shared" ca="1" si="58"/>
        <v>0.78001937005161048</v>
      </c>
      <c r="T231" s="10"/>
      <c r="U231" s="281">
        <f t="shared" ca="1" si="48"/>
        <v>39.716945753267986</v>
      </c>
      <c r="V231" s="281">
        <f t="shared" ca="1" si="49"/>
        <v>39.716945753267986</v>
      </c>
      <c r="W231" s="10"/>
      <c r="X231" s="283">
        <f t="shared" ca="1" si="59"/>
        <v>0.83122456132328237</v>
      </c>
      <c r="Y231" s="283">
        <f t="shared" ca="1" si="60"/>
        <v>0.83122456132328237</v>
      </c>
    </row>
    <row r="232" spans="1:25" x14ac:dyDescent="0.2">
      <c r="A232" s="280">
        <f t="shared" si="39"/>
        <v>45292</v>
      </c>
      <c r="B232" s="281">
        <f t="shared" ca="1" si="40"/>
        <v>46.809375000000003</v>
      </c>
      <c r="C232" s="282">
        <f t="shared" si="41"/>
        <v>1</v>
      </c>
      <c r="D232" s="281">
        <f t="shared" ca="1" si="42"/>
        <v>46.809375000000003</v>
      </c>
      <c r="E232" s="10">
        <f t="shared" ca="1" si="43"/>
        <v>1</v>
      </c>
      <c r="F232" s="283">
        <f t="shared" ca="1" si="50"/>
        <v>1.4403587629735199</v>
      </c>
      <c r="G232" s="283">
        <f t="shared" ca="1" si="51"/>
        <v>1.4403587629735199</v>
      </c>
      <c r="H232" s="10"/>
      <c r="I232" s="281">
        <f t="shared" ca="1" si="44"/>
        <v>47.28072287182664</v>
      </c>
      <c r="J232" s="281">
        <f t="shared" ca="1" si="45"/>
        <v>47.28072287182664</v>
      </c>
      <c r="K232" s="10"/>
      <c r="L232" s="283">
        <f t="shared" ca="1" si="56"/>
        <v>0.96255954819045442</v>
      </c>
      <c r="M232" s="283">
        <f t="shared" ca="1" si="56"/>
        <v>0.96255954819045442</v>
      </c>
      <c r="N232" s="10"/>
      <c r="O232" s="281">
        <f t="shared" ca="1" si="46"/>
        <v>43.484949572981428</v>
      </c>
      <c r="P232" s="281">
        <f t="shared" ca="1" si="47"/>
        <v>43.484949572981428</v>
      </c>
      <c r="Q232" s="10"/>
      <c r="R232" s="283">
        <f t="shared" ca="1" si="57"/>
        <v>0.82525941172341533</v>
      </c>
      <c r="S232" s="283">
        <f t="shared" ca="1" si="58"/>
        <v>0.82525941172341533</v>
      </c>
      <c r="T232" s="10"/>
      <c r="U232" s="281">
        <f t="shared" ca="1" si="48"/>
        <v>40.909525859028676</v>
      </c>
      <c r="V232" s="281">
        <f t="shared" ca="1" si="49"/>
        <v>40.909525859028676</v>
      </c>
      <c r="W232" s="10"/>
      <c r="X232" s="283">
        <f t="shared" ca="1" si="59"/>
        <v>0.86308293680747028</v>
      </c>
      <c r="Y232" s="283">
        <f t="shared" ca="1" si="60"/>
        <v>0.86308293680747028</v>
      </c>
    </row>
    <row r="233" spans="1:25" x14ac:dyDescent="0.2">
      <c r="A233" s="280">
        <f t="shared" si="39"/>
        <v>45323</v>
      </c>
      <c r="B233" s="281">
        <f t="shared" ca="1" si="40"/>
        <v>34.877551020408163</v>
      </c>
      <c r="C233" s="282">
        <f t="shared" si="41"/>
        <v>1</v>
      </c>
      <c r="D233" s="281">
        <f t="shared" ca="1" si="42"/>
        <v>34.877551020408163</v>
      </c>
      <c r="E233" s="10">
        <f t="shared" ca="1" si="43"/>
        <v>1</v>
      </c>
      <c r="F233" s="283">
        <f t="shared" ca="1" si="50"/>
        <v>1.0657340021280484</v>
      </c>
      <c r="G233" s="283">
        <f t="shared" ca="1" si="51"/>
        <v>1.0657340021280484</v>
      </c>
      <c r="H233" s="10"/>
      <c r="I233" s="281">
        <f t="shared" ca="1" si="44"/>
        <v>41.857063326599679</v>
      </c>
      <c r="J233" s="281">
        <f t="shared" ca="1" si="45"/>
        <v>41.857063326599679</v>
      </c>
      <c r="K233" s="10"/>
      <c r="L233" s="283">
        <f t="shared" ca="1" si="56"/>
        <v>0.9206546803529877</v>
      </c>
      <c r="M233" s="283">
        <f t="shared" ca="1" si="56"/>
        <v>0.9206546803529877</v>
      </c>
      <c r="N233" s="10"/>
      <c r="O233" s="281">
        <f t="shared" ca="1" si="46"/>
        <v>42.307684108216954</v>
      </c>
      <c r="P233" s="281">
        <f t="shared" ca="1" si="47"/>
        <v>42.307684108216954</v>
      </c>
      <c r="Q233" s="10"/>
      <c r="R233" s="283">
        <f t="shared" ca="1" si="57"/>
        <v>0.83747468534199376</v>
      </c>
      <c r="S233" s="283">
        <f t="shared" ca="1" si="58"/>
        <v>0.83747468534199376</v>
      </c>
      <c r="T233" s="10"/>
      <c r="U233" s="281">
        <f t="shared" ca="1" si="48"/>
        <v>41.088795186429536</v>
      </c>
      <c r="V233" s="281">
        <f t="shared" ca="1" si="49"/>
        <v>41.088795186429536</v>
      </c>
      <c r="W233" s="10"/>
      <c r="X233" s="283">
        <f t="shared" ca="1" si="59"/>
        <v>0.88608626411825187</v>
      </c>
      <c r="Y233" s="283">
        <f t="shared" ca="1" si="60"/>
        <v>0.88608626411825187</v>
      </c>
    </row>
    <row r="234" spans="1:25" x14ac:dyDescent="0.2">
      <c r="A234" s="280">
        <f t="shared" si="39"/>
        <v>45352</v>
      </c>
      <c r="B234" s="281">
        <f t="shared" ca="1" si="40"/>
        <v>38.530040733197559</v>
      </c>
      <c r="C234" s="282">
        <f t="shared" si="41"/>
        <v>1</v>
      </c>
      <c r="D234" s="281">
        <f t="shared" ca="1" si="42"/>
        <v>38.530040733197559</v>
      </c>
      <c r="E234" s="10">
        <f t="shared" ca="1" si="43"/>
        <v>1</v>
      </c>
      <c r="F234" s="283">
        <f t="shared" ca="1" si="50"/>
        <v>1.1085191525956481</v>
      </c>
      <c r="G234" s="283">
        <f t="shared" ca="1" si="51"/>
        <v>1.1085191525956481</v>
      </c>
      <c r="H234" s="10"/>
      <c r="I234" s="281">
        <f t="shared" ca="1" si="44"/>
        <v>40.072322251201911</v>
      </c>
      <c r="J234" s="281">
        <f t="shared" ca="1" si="45"/>
        <v>40.072322251201911</v>
      </c>
      <c r="K234" s="10"/>
      <c r="L234" s="283">
        <f t="shared" ca="1" si="56"/>
        <v>1.2023758518506291</v>
      </c>
      <c r="M234" s="283">
        <f t="shared" ca="1" si="56"/>
        <v>1.2023758518506291</v>
      </c>
      <c r="N234" s="10"/>
      <c r="O234" s="281">
        <f t="shared" ca="1" si="46"/>
        <v>43.211595904755143</v>
      </c>
      <c r="P234" s="281">
        <f t="shared" ca="1" si="47"/>
        <v>43.211595904755143</v>
      </c>
      <c r="Q234" s="10"/>
      <c r="R234" s="283">
        <f t="shared" ca="1" si="57"/>
        <v>0.94885506842820033</v>
      </c>
      <c r="S234" s="283">
        <f t="shared" ca="1" si="58"/>
        <v>0.94885506842820033</v>
      </c>
      <c r="T234" s="10"/>
      <c r="U234" s="281">
        <f ca="1">IF(SUM($E223:$E234)=12,AVERAGE(B223:B234),"NA")</f>
        <v>41.403121988997015</v>
      </c>
      <c r="V234" s="281">
        <f ca="1">IF(SUM($E223:$E234)=12,AVERAGE(D223:D234),"NA")</f>
        <v>41.403121988997015</v>
      </c>
      <c r="W234" s="10"/>
      <c r="X234" s="283">
        <f t="shared" ca="1" si="59"/>
        <v>0.8963618959544345</v>
      </c>
      <c r="Y234" s="283">
        <f t="shared" ca="1" si="60"/>
        <v>0.8963618959544345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-6.7974314205092146E-2</v>
      </c>
      <c r="G251" s="148">
        <f t="shared" ref="G251:G273" si="63">+G211-1</f>
        <v>-6.7974314205092146E-2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-0.3476469958923305</v>
      </c>
      <c r="G252" s="148">
        <f t="shared" si="63"/>
        <v>-0.3476469958923305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-0.48543397703832092</v>
      </c>
      <c r="G253" s="148">
        <f t="shared" si="63"/>
        <v>-0.48543397703832092</v>
      </c>
      <c r="H253" s="10"/>
      <c r="I253" s="10"/>
      <c r="J253" s="10"/>
      <c r="K253" s="10"/>
      <c r="L253" s="148">
        <f t="shared" ref="L253:L273" si="64">+L213-1</f>
        <v>-0.34938816208230938</v>
      </c>
      <c r="M253" s="148">
        <f t="shared" ref="M253:M273" si="65">+M213-1</f>
        <v>-0.34938816208230938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4.332527026900701E-2</v>
      </c>
      <c r="G254" s="148">
        <f t="shared" si="63"/>
        <v>4.332527026900701E-2</v>
      </c>
      <c r="H254" s="10"/>
      <c r="I254" s="10"/>
      <c r="J254" s="10"/>
      <c r="K254" s="10"/>
      <c r="L254" s="148">
        <f t="shared" si="64"/>
        <v>-0.32238930093642248</v>
      </c>
      <c r="M254" s="148">
        <f t="shared" si="65"/>
        <v>-0.32238930093642248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-0.24112927540577511</v>
      </c>
      <c r="G255" s="148">
        <f t="shared" si="63"/>
        <v>-0.24112927540577511</v>
      </c>
      <c r="H255" s="10"/>
      <c r="I255" s="10"/>
      <c r="J255" s="10"/>
      <c r="K255" s="10"/>
      <c r="L255" s="148">
        <f t="shared" si="64"/>
        <v>-0.28938782424852572</v>
      </c>
      <c r="M255" s="148">
        <f t="shared" si="65"/>
        <v>-0.28938782424852572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0.36431546705714246</v>
      </c>
      <c r="G256" s="148">
        <f t="shared" si="63"/>
        <v>0.36431546705714246</v>
      </c>
      <c r="H256" s="10"/>
      <c r="I256" s="10"/>
      <c r="J256" s="10"/>
      <c r="K256" s="10"/>
      <c r="L256" s="148">
        <f t="shared" si="64"/>
        <v>3.0449928614242339E-2</v>
      </c>
      <c r="M256" s="148">
        <f t="shared" si="65"/>
        <v>3.0449928614242339E-2</v>
      </c>
      <c r="N256" s="10"/>
      <c r="O256" s="10"/>
      <c r="P256" s="10"/>
      <c r="Q256" s="10"/>
      <c r="R256" s="148">
        <f t="shared" ref="R256:R273" si="66">+R216-1</f>
        <v>-0.18159898849877509</v>
      </c>
      <c r="S256" s="148">
        <f t="shared" ref="S256:S273" si="67">+S216-1</f>
        <v>-0.18159898849877509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-0.10454563085579027</v>
      </c>
      <c r="G257" s="148">
        <f t="shared" si="63"/>
        <v>-0.10454563085579027</v>
      </c>
      <c r="H257" s="10"/>
      <c r="I257" s="10"/>
      <c r="J257" s="10"/>
      <c r="K257" s="10"/>
      <c r="L257" s="148">
        <f t="shared" si="64"/>
        <v>-2.3748275154294118E-2</v>
      </c>
      <c r="M257" s="148">
        <f t="shared" si="65"/>
        <v>-2.3748275154294118E-2</v>
      </c>
      <c r="N257" s="10"/>
      <c r="O257" s="10"/>
      <c r="P257" s="10"/>
      <c r="Q257" s="10"/>
      <c r="R257" s="148">
        <f t="shared" si="66"/>
        <v>-0.18119240710167306</v>
      </c>
      <c r="S257" s="148">
        <f t="shared" si="67"/>
        <v>-0.18119240710167306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-0.22911799001347732</v>
      </c>
      <c r="G258" s="148">
        <f t="shared" si="63"/>
        <v>-0.22911799001347732</v>
      </c>
      <c r="H258" s="10"/>
      <c r="I258" s="10"/>
      <c r="J258" s="10"/>
      <c r="K258" s="10"/>
      <c r="L258" s="148">
        <f t="shared" si="64"/>
        <v>-1.5054451157647364E-2</v>
      </c>
      <c r="M258" s="148">
        <f t="shared" si="65"/>
        <v>-1.5054451157647364E-2</v>
      </c>
      <c r="N258" s="10"/>
      <c r="O258" s="10"/>
      <c r="P258" s="10"/>
      <c r="Q258" s="10"/>
      <c r="R258" s="148">
        <f t="shared" si="66"/>
        <v>-0.16151341674516151</v>
      </c>
      <c r="S258" s="148">
        <f t="shared" si="67"/>
        <v>-0.16151341674516151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0.3990094996845055</v>
      </c>
      <c r="G259" s="148">
        <f t="shared" si="63"/>
        <v>0.3990094996845055</v>
      </c>
      <c r="H259" s="10"/>
      <c r="I259" s="10"/>
      <c r="J259" s="10"/>
      <c r="K259" s="10"/>
      <c r="L259" s="148">
        <f t="shared" si="64"/>
        <v>2.8563537608585765E-3</v>
      </c>
      <c r="M259" s="148">
        <f t="shared" si="65"/>
        <v>2.8563537608585765E-3</v>
      </c>
      <c r="N259" s="10"/>
      <c r="O259" s="10"/>
      <c r="P259" s="10"/>
      <c r="Q259" s="10"/>
      <c r="R259" s="148">
        <f t="shared" si="66"/>
        <v>1.5756943784593469E-2</v>
      </c>
      <c r="S259" s="148">
        <f t="shared" si="67"/>
        <v>1.5756943784593469E-2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-0.12360179729260456</v>
      </c>
      <c r="G260" s="148">
        <f t="shared" si="63"/>
        <v>-0.12360179729260456</v>
      </c>
      <c r="H260" s="10"/>
      <c r="I260" s="10"/>
      <c r="J260" s="10"/>
      <c r="K260" s="10"/>
      <c r="L260" s="148">
        <f t="shared" si="64"/>
        <v>1.8865248543146418E-2</v>
      </c>
      <c r="M260" s="148">
        <f t="shared" si="65"/>
        <v>1.8865248543146418E-2</v>
      </c>
      <c r="N260" s="10"/>
      <c r="O260" s="10"/>
      <c r="P260" s="10"/>
      <c r="Q260" s="10"/>
      <c r="R260" s="148">
        <f t="shared" si="66"/>
        <v>-4.3385032592414552E-3</v>
      </c>
      <c r="S260" s="148">
        <f t="shared" si="67"/>
        <v>-4.3385032592414552E-3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-0.27379253846575013</v>
      </c>
      <c r="G261" s="148">
        <f t="shared" si="63"/>
        <v>-0.27379253846575013</v>
      </c>
      <c r="H261" s="10"/>
      <c r="I261" s="10"/>
      <c r="J261" s="10"/>
      <c r="K261" s="10"/>
      <c r="L261" s="148">
        <f t="shared" si="64"/>
        <v>2.5381303619379958E-2</v>
      </c>
      <c r="M261" s="148">
        <f t="shared" si="65"/>
        <v>2.5381303619379958E-2</v>
      </c>
      <c r="N261" s="10"/>
      <c r="O261" s="10"/>
      <c r="P261" s="10"/>
      <c r="Q261" s="10"/>
      <c r="R261" s="148">
        <f t="shared" si="66"/>
        <v>2.7390961478273024E-3</v>
      </c>
      <c r="S261" s="148">
        <f t="shared" si="67"/>
        <v>2.7390961478273024E-3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-5.878786903382649E-2</v>
      </c>
      <c r="G262" s="148">
        <f t="shared" si="63"/>
        <v>-5.878786903382649E-2</v>
      </c>
      <c r="H262" s="10"/>
      <c r="I262" s="10"/>
      <c r="J262" s="10"/>
      <c r="K262" s="10"/>
      <c r="L262" s="148">
        <f t="shared" si="64"/>
        <v>-0.16034131775331695</v>
      </c>
      <c r="M262" s="148">
        <f t="shared" si="65"/>
        <v>-0.16034131775331695</v>
      </c>
      <c r="N262" s="10"/>
      <c r="O262" s="10"/>
      <c r="P262" s="10"/>
      <c r="Q262" s="10"/>
      <c r="R262" s="148">
        <f t="shared" si="66"/>
        <v>-6.3730128091825544E-2</v>
      </c>
      <c r="S262" s="148">
        <f t="shared" si="67"/>
        <v>-6.3730128091825544E-2</v>
      </c>
      <c r="T262" s="10"/>
      <c r="U262" s="10"/>
      <c r="V262" s="10"/>
      <c r="W262" s="10"/>
      <c r="X262" s="148">
        <f t="shared" ref="X262:X273" si="68">+X222-1</f>
        <v>-0.12744750937544902</v>
      </c>
      <c r="Y262" s="148">
        <f t="shared" ref="Y262:Y273" si="69">+Y222-1</f>
        <v>-0.12744750937544902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-0.13105748018583252</v>
      </c>
      <c r="G263" s="148">
        <f t="shared" ca="1" si="63"/>
        <v>-0.13105748018583252</v>
      </c>
      <c r="H263" s="10"/>
      <c r="I263" s="10"/>
      <c r="J263" s="10"/>
      <c r="K263" s="10"/>
      <c r="L263" s="148">
        <f t="shared" ca="1" si="64"/>
        <v>-0.16190664011213229</v>
      </c>
      <c r="M263" s="148">
        <f t="shared" ca="1" si="65"/>
        <v>-0.16190664011213229</v>
      </c>
      <c r="N263" s="10"/>
      <c r="O263" s="10"/>
      <c r="P263" s="10"/>
      <c r="Q263" s="10"/>
      <c r="R263" s="148">
        <f t="shared" ca="1" si="66"/>
        <v>-6.384735682994136E-2</v>
      </c>
      <c r="S263" s="148">
        <f t="shared" ca="1" si="67"/>
        <v>-6.384735682994136E-2</v>
      </c>
      <c r="T263" s="10"/>
      <c r="U263" s="10"/>
      <c r="V263" s="10"/>
      <c r="W263" s="10"/>
      <c r="X263" s="148">
        <f t="shared" ca="1" si="68"/>
        <v>-0.1317126338120953</v>
      </c>
      <c r="Y263" s="148">
        <f t="shared" ca="1" si="69"/>
        <v>-0.1317126338120953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0.23472349176546659</v>
      </c>
      <c r="G264" s="148">
        <f t="shared" ca="1" si="63"/>
        <v>0.23472349176546659</v>
      </c>
      <c r="H264" s="10"/>
      <c r="I264" s="10"/>
      <c r="J264" s="10"/>
      <c r="K264" s="10"/>
      <c r="L264" s="148">
        <f t="shared" ca="1" si="64"/>
        <v>1.4352536987226383E-2</v>
      </c>
      <c r="M264" s="148">
        <f t="shared" ca="1" si="65"/>
        <v>1.4352536987226383E-2</v>
      </c>
      <c r="N264" s="10"/>
      <c r="O264" s="10"/>
      <c r="P264" s="10"/>
      <c r="Q264" s="10"/>
      <c r="R264" s="148">
        <f t="shared" ca="1" si="66"/>
        <v>2.0253657035990358E-2</v>
      </c>
      <c r="S264" s="148">
        <f t="shared" ca="1" si="67"/>
        <v>2.0253657035990358E-2</v>
      </c>
      <c r="T264" s="10"/>
      <c r="U264" s="10"/>
      <c r="V264" s="10"/>
      <c r="W264" s="10"/>
      <c r="X264" s="148">
        <f t="shared" ca="1" si="68"/>
        <v>-8.7645150565449859E-2</v>
      </c>
      <c r="Y264" s="148">
        <f t="shared" ca="1" si="69"/>
        <v>-8.7645150565449859E-2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-0.19553861411805484</v>
      </c>
      <c r="G265" s="148">
        <f t="shared" ca="1" si="63"/>
        <v>-0.19553861411805484</v>
      </c>
      <c r="H265" s="10"/>
      <c r="I265" s="10"/>
      <c r="J265" s="10"/>
      <c r="K265" s="10"/>
      <c r="L265" s="148">
        <f t="shared" ca="1" si="64"/>
        <v>-4.1524247721485441E-2</v>
      </c>
      <c r="M265" s="148">
        <f t="shared" ca="1" si="65"/>
        <v>-4.1524247721485441E-2</v>
      </c>
      <c r="N265" s="10"/>
      <c r="O265" s="10"/>
      <c r="P265" s="10"/>
      <c r="Q265" s="10"/>
      <c r="R265" s="148">
        <f t="shared" ca="1" si="66"/>
        <v>-9.9555864486871815E-2</v>
      </c>
      <c r="S265" s="148">
        <f t="shared" ca="1" si="67"/>
        <v>-9.9555864486871815E-2</v>
      </c>
      <c r="T265" s="10"/>
      <c r="U265" s="10"/>
      <c r="V265" s="10"/>
      <c r="W265" s="10"/>
      <c r="X265" s="148">
        <f t="shared" ca="1" si="68"/>
        <v>-3.3715742736207699E-2</v>
      </c>
      <c r="Y265" s="148">
        <f t="shared" ca="1" si="69"/>
        <v>-3.3715742736207699E-2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-6.4108990071981675E-2</v>
      </c>
      <c r="G266" s="148">
        <f t="shared" ca="1" si="63"/>
        <v>-6.4108990071981675E-2</v>
      </c>
      <c r="H266" s="10"/>
      <c r="I266" s="10"/>
      <c r="J266" s="10"/>
      <c r="K266" s="10"/>
      <c r="L266" s="148">
        <f t="shared" ca="1" si="64"/>
        <v>-2.2047500466640946E-2</v>
      </c>
      <c r="M266" s="148">
        <f t="shared" ca="1" si="65"/>
        <v>-2.2047500466640946E-2</v>
      </c>
      <c r="N266" s="10"/>
      <c r="O266" s="10"/>
      <c r="P266" s="10"/>
      <c r="Q266" s="10"/>
      <c r="R266" s="148">
        <f t="shared" ca="1" si="66"/>
        <v>-8.9583946948460613E-2</v>
      </c>
      <c r="S266" s="148">
        <f t="shared" ca="1" si="67"/>
        <v>-8.9583946948460613E-2</v>
      </c>
      <c r="T266" s="10"/>
      <c r="U266" s="10"/>
      <c r="V266" s="10"/>
      <c r="W266" s="10"/>
      <c r="X266" s="148">
        <f t="shared" ca="1" si="68"/>
        <v>-4.2109988492121997E-2</v>
      </c>
      <c r="Y266" s="148">
        <f t="shared" ca="1" si="69"/>
        <v>-4.2109988492121997E-2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-8.369628156864406E-2</v>
      </c>
      <c r="G267" s="148">
        <f t="shared" ca="1" si="63"/>
        <v>-8.369628156864406E-2</v>
      </c>
      <c r="H267" s="10"/>
      <c r="I267" s="10"/>
      <c r="J267" s="10"/>
      <c r="K267" s="10"/>
      <c r="L267" s="148">
        <f t="shared" ca="1" si="64"/>
        <v>-0.11457218775809475</v>
      </c>
      <c r="M267" s="148">
        <f t="shared" ca="1" si="65"/>
        <v>-0.11457218775809475</v>
      </c>
      <c r="N267" s="10"/>
      <c r="O267" s="10"/>
      <c r="P267" s="10"/>
      <c r="Q267" s="10"/>
      <c r="R267" s="148">
        <f t="shared" ca="1" si="66"/>
        <v>-5.5753314392029463E-2</v>
      </c>
      <c r="S267" s="148">
        <f t="shared" ca="1" si="67"/>
        <v>-5.5753314392029463E-2</v>
      </c>
      <c r="T267" s="10"/>
      <c r="U267" s="10"/>
      <c r="V267" s="10"/>
      <c r="W267" s="10"/>
      <c r="X267" s="148">
        <f t="shared" ca="1" si="68"/>
        <v>-2.3931244215048664E-2</v>
      </c>
      <c r="Y267" s="148">
        <f t="shared" ca="1" si="69"/>
        <v>-2.3931244215048664E-2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-0.48769245852672616</v>
      </c>
      <c r="G268" s="148">
        <f t="shared" ca="1" si="63"/>
        <v>-0.48769245852672616</v>
      </c>
      <c r="H268" s="10"/>
      <c r="I268" s="10"/>
      <c r="J268" s="10"/>
      <c r="K268" s="10"/>
      <c r="L268" s="148">
        <f t="shared" ca="1" si="64"/>
        <v>-0.24496311723768538</v>
      </c>
      <c r="M268" s="148">
        <f t="shared" ca="1" si="65"/>
        <v>-0.24496311723768538</v>
      </c>
      <c r="N268" s="10"/>
      <c r="O268" s="10"/>
      <c r="P268" s="10"/>
      <c r="Q268" s="10"/>
      <c r="R268" s="148">
        <f t="shared" ca="1" si="66"/>
        <v>-0.15467568911572527</v>
      </c>
      <c r="S268" s="148">
        <f t="shared" ca="1" si="67"/>
        <v>-0.15467568911572527</v>
      </c>
      <c r="T268" s="10"/>
      <c r="U268" s="10"/>
      <c r="V268" s="10"/>
      <c r="W268" s="10"/>
      <c r="X268" s="148">
        <f t="shared" ca="1" si="68"/>
        <v>-0.10834514976304799</v>
      </c>
      <c r="Y268" s="148">
        <f t="shared" ca="1" si="69"/>
        <v>-0.10834514976304799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-0.24624696761691056</v>
      </c>
      <c r="G269" s="148">
        <f t="shared" ca="1" si="63"/>
        <v>-0.24624696761691056</v>
      </c>
      <c r="H269" s="10"/>
      <c r="I269" s="10"/>
      <c r="J269" s="10"/>
      <c r="K269" s="10"/>
      <c r="L269" s="148">
        <f t="shared" ca="1" si="64"/>
        <v>-0.29460441106160962</v>
      </c>
      <c r="M269" s="148">
        <f t="shared" ca="1" si="65"/>
        <v>-0.29460441106160962</v>
      </c>
      <c r="N269" s="10"/>
      <c r="O269" s="10"/>
      <c r="P269" s="10"/>
      <c r="Q269" s="10"/>
      <c r="R269" s="148">
        <f t="shared" ca="1" si="66"/>
        <v>-0.17569051692381177</v>
      </c>
      <c r="S269" s="148">
        <f t="shared" ca="1" si="67"/>
        <v>-0.17569051692381177</v>
      </c>
      <c r="T269" s="10"/>
      <c r="U269" s="10"/>
      <c r="V269" s="10"/>
      <c r="W269" s="10"/>
      <c r="X269" s="148">
        <f t="shared" ca="1" si="68"/>
        <v>-0.12301027241523366</v>
      </c>
      <c r="Y269" s="148">
        <f t="shared" ca="1" si="69"/>
        <v>-0.12301027241523366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0.17065253150076209</v>
      </c>
      <c r="G270" s="148">
        <f t="shared" ca="1" si="63"/>
        <v>0.17065253150076209</v>
      </c>
      <c r="H270" s="10"/>
      <c r="I270" s="10"/>
      <c r="J270" s="10"/>
      <c r="K270" s="10"/>
      <c r="L270" s="148">
        <f t="shared" ca="1" si="64"/>
        <v>-0.23057652192945333</v>
      </c>
      <c r="M270" s="148">
        <f t="shared" ca="1" si="65"/>
        <v>-0.23057652192945333</v>
      </c>
      <c r="N270" s="10"/>
      <c r="O270" s="10"/>
      <c r="P270" s="10"/>
      <c r="Q270" s="10"/>
      <c r="R270" s="148">
        <f t="shared" ca="1" si="66"/>
        <v>-0.17808996777118713</v>
      </c>
      <c r="S270" s="148">
        <f t="shared" ca="1" si="67"/>
        <v>-0.17808996777118713</v>
      </c>
      <c r="T270" s="10"/>
      <c r="U270" s="10"/>
      <c r="V270" s="10"/>
      <c r="W270" s="10"/>
      <c r="X270" s="148">
        <f t="shared" ca="1" si="68"/>
        <v>-8.8937585742874248E-2</v>
      </c>
      <c r="Y270" s="148">
        <f t="shared" ca="1" si="69"/>
        <v>-8.8937585742874248E-2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-0.38337631996024712</v>
      </c>
      <c r="G271" s="148">
        <f t="shared" ca="1" si="63"/>
        <v>-0.38337631996024712</v>
      </c>
      <c r="H271" s="10"/>
      <c r="I271" s="10"/>
      <c r="J271" s="10"/>
      <c r="K271" s="10"/>
      <c r="L271" s="148">
        <f t="shared" ca="1" si="64"/>
        <v>-0.19744221440570442</v>
      </c>
      <c r="M271" s="148">
        <f t="shared" ca="1" si="65"/>
        <v>-0.19744221440570442</v>
      </c>
      <c r="N271" s="10"/>
      <c r="O271" s="10"/>
      <c r="P271" s="10"/>
      <c r="Q271" s="10"/>
      <c r="R271" s="148">
        <f t="shared" ca="1" si="66"/>
        <v>-0.21998062994838952</v>
      </c>
      <c r="S271" s="148">
        <f t="shared" ca="1" si="67"/>
        <v>-0.21998062994838952</v>
      </c>
      <c r="T271" s="10"/>
      <c r="U271" s="10"/>
      <c r="V271" s="10"/>
      <c r="W271" s="10"/>
      <c r="X271" s="148">
        <f t="shared" ca="1" si="68"/>
        <v>-0.16877543867671763</v>
      </c>
      <c r="Y271" s="148">
        <f t="shared" ca="1" si="69"/>
        <v>-0.16877543867671763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0.44035876297351995</v>
      </c>
      <c r="G272" s="148">
        <f t="shared" ca="1" si="63"/>
        <v>0.44035876297351995</v>
      </c>
      <c r="H272" s="10"/>
      <c r="I272" s="10"/>
      <c r="J272" s="10"/>
      <c r="K272" s="10"/>
      <c r="L272" s="148">
        <f t="shared" ca="1" si="64"/>
        <v>-3.7440451809545583E-2</v>
      </c>
      <c r="M272" s="148">
        <f t="shared" ca="1" si="65"/>
        <v>-3.7440451809545583E-2</v>
      </c>
      <c r="N272" s="10"/>
      <c r="O272" s="10"/>
      <c r="P272" s="10"/>
      <c r="Q272" s="10"/>
      <c r="R272" s="148">
        <f t="shared" ca="1" si="66"/>
        <v>-0.17474058827658467</v>
      </c>
      <c r="S272" s="148">
        <f t="shared" ca="1" si="67"/>
        <v>-0.17474058827658467</v>
      </c>
      <c r="T272" s="10"/>
      <c r="U272" s="10"/>
      <c r="V272" s="10"/>
      <c r="W272" s="10"/>
      <c r="X272" s="148">
        <f t="shared" ca="1" si="68"/>
        <v>-0.13691706319252972</v>
      </c>
      <c r="Y272" s="148">
        <f t="shared" ca="1" si="69"/>
        <v>-0.13691706319252972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6.5734002128048363E-2</v>
      </c>
      <c r="G273" s="148">
        <f t="shared" ca="1" si="63"/>
        <v>6.5734002128048363E-2</v>
      </c>
      <c r="H273" s="10"/>
      <c r="I273" s="10"/>
      <c r="J273" s="10"/>
      <c r="K273" s="10"/>
      <c r="L273" s="148">
        <f t="shared" ca="1" si="64"/>
        <v>-7.9345319647012302E-2</v>
      </c>
      <c r="M273" s="148">
        <f t="shared" ca="1" si="65"/>
        <v>-7.9345319647012302E-2</v>
      </c>
      <c r="N273" s="10"/>
      <c r="O273" s="10"/>
      <c r="P273" s="10"/>
      <c r="Q273" s="10"/>
      <c r="R273" s="148">
        <f t="shared" ca="1" si="66"/>
        <v>-0.16252531465800624</v>
      </c>
      <c r="S273" s="148">
        <f t="shared" ca="1" si="67"/>
        <v>-0.16252531465800624</v>
      </c>
      <c r="T273" s="10"/>
      <c r="U273" s="10"/>
      <c r="V273" s="10"/>
      <c r="W273" s="10"/>
      <c r="X273" s="148">
        <f t="shared" ca="1" si="68"/>
        <v>-0.11391373588174813</v>
      </c>
      <c r="Y273" s="148">
        <f t="shared" ca="1" si="69"/>
        <v>-0.11391373588174813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0.10851915259564815</v>
      </c>
      <c r="G274" s="148">
        <f ca="1">+G234-1</f>
        <v>0.10851915259564815</v>
      </c>
      <c r="H274" s="10"/>
      <c r="I274" s="10"/>
      <c r="J274" s="10"/>
      <c r="K274" s="10"/>
      <c r="L274" s="148">
        <f ca="1">+L234-1</f>
        <v>0.20237585185062912</v>
      </c>
      <c r="M274" s="148">
        <f ca="1">+M234-1</f>
        <v>0.20237585185062912</v>
      </c>
      <c r="N274" s="10"/>
      <c r="O274" s="10"/>
      <c r="P274" s="10"/>
      <c r="Q274" s="10"/>
      <c r="R274" s="148">
        <f ca="1">+R234-1</f>
        <v>-5.1144931571799668E-2</v>
      </c>
      <c r="S274" s="148">
        <f ca="1">+S234-1</f>
        <v>-5.1144931571799668E-2</v>
      </c>
      <c r="T274" s="10"/>
      <c r="U274" s="10"/>
      <c r="V274" s="10"/>
      <c r="W274" s="10"/>
      <c r="X274" s="148">
        <f ca="1">+X234-1</f>
        <v>-0.1036381040455655</v>
      </c>
      <c r="Y274" s="148">
        <f ca="1">+Y234-1</f>
        <v>-0.1036381040455655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AAMG - Commercial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0.94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1" t="s">
        <v>807</v>
      </c>
      <c r="K9" s="632"/>
      <c r="L9" s="632"/>
      <c r="M9" s="632"/>
      <c r="N9" s="633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4" t="s">
        <v>802</v>
      </c>
      <c r="T10" s="634"/>
      <c r="U10" s="634"/>
      <c r="V10" s="634"/>
      <c r="W10" s="634"/>
      <c r="Y10" s="634" t="s">
        <v>802</v>
      </c>
      <c r="Z10" s="634"/>
      <c r="AA10" s="634"/>
      <c r="AB10" s="634"/>
      <c r="AC10" s="634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46.2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46.809375000000003</v>
      </c>
      <c r="E14" s="392">
        <f t="shared" ca="1" si="0"/>
        <v>0.98699999999999999</v>
      </c>
      <c r="F14" s="269">
        <f>VLOOKUP(MONTH(C14),PMPM!$A$112:$F$123,6)</f>
        <v>1</v>
      </c>
      <c r="G14" s="395">
        <f t="shared" ca="1" si="1"/>
        <v>1</v>
      </c>
      <c r="H14" s="54">
        <f t="shared" ca="1" si="9"/>
        <v>46.2</v>
      </c>
      <c r="I14" s="401">
        <f t="shared" ca="1" si="10"/>
        <v>1</v>
      </c>
      <c r="J14" s="401">
        <f t="shared" ca="1" si="11"/>
        <v>1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1</v>
      </c>
      <c r="R14" s="397">
        <f ca="1">IF(AND(H14&gt;0,SUM($R$12:R13)=0),1,0)</f>
        <v>1</v>
      </c>
      <c r="S14" s="397">
        <f ca="1">IF(AND($I14&gt;0,SUM(S$12:S13)&lt;6),1,0)</f>
        <v>1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1</v>
      </c>
      <c r="Y14" s="401">
        <f t="shared" ca="1" si="2"/>
        <v>6.7568400000000087E-3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5.2707599999999993E-3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43.884263959390864</v>
      </c>
      <c r="E15" s="392">
        <f t="shared" ca="1" si="0"/>
        <v>0.98199999999999998</v>
      </c>
      <c r="F15" s="269">
        <f>VLOOKUP(MONTH(C15),PMPM!$A$112:$F$123,6)</f>
        <v>1</v>
      </c>
      <c r="G15" s="395">
        <f t="shared" ca="1" si="1"/>
        <v>1</v>
      </c>
      <c r="H15" s="54">
        <f t="shared" ca="1" si="9"/>
        <v>43.09</v>
      </c>
      <c r="I15" s="401">
        <f t="shared" ca="1" si="10"/>
        <v>0.93269999999999997</v>
      </c>
      <c r="J15" s="401">
        <f t="shared" ca="1" si="11"/>
        <v>0.93269999999999997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0.93269999999999997</v>
      </c>
      <c r="R15" s="397">
        <f ca="1">IF(AND(H15&gt;0,SUM($R$12:R14)=0),1,0)</f>
        <v>0</v>
      </c>
      <c r="S15" s="397">
        <f ca="1">IF(AND($I15&gt;0,SUM(S$12:S14)&lt;6),1,0)</f>
        <v>1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1</v>
      </c>
      <c r="Y15" s="401">
        <f t="shared" ca="1" si="2"/>
        <v>2.2201000000000073E-4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2.8089999999999695E-5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51.148529656089053</v>
      </c>
      <c r="E16" s="392">
        <f t="shared" ca="1" si="0"/>
        <v>0.97699999999999998</v>
      </c>
      <c r="F16" s="269">
        <f>VLOOKUP(MONTH(C16),PMPM!$A$112:$F$123,6)</f>
        <v>1</v>
      </c>
      <c r="G16" s="395">
        <f t="shared" ca="1" si="1"/>
        <v>1</v>
      </c>
      <c r="H16" s="54">
        <f t="shared" ca="1" si="9"/>
        <v>49.97</v>
      </c>
      <c r="I16" s="401">
        <f t="shared" ca="1" si="10"/>
        <v>1.0815999999999999</v>
      </c>
      <c r="J16" s="401">
        <f t="shared" ca="1" si="11"/>
        <v>1.0815999999999999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1.0815999999999999</v>
      </c>
      <c r="R16" s="397">
        <f ca="1">IF(AND(H16&gt;0,SUM($R$12:R15)=0),1,0)</f>
        <v>0</v>
      </c>
      <c r="S16" s="397">
        <f ca="1">IF(AND($I16&gt;0,SUM(S$12:S15)&lt;6),1,0)</f>
        <v>1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1</v>
      </c>
      <c r="Y16" s="401">
        <f t="shared" ca="1" si="2"/>
        <v>2.6830439999999983E-2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2.3777639999999968E-2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44.019815059445179</v>
      </c>
      <c r="E17" s="392">
        <f t="shared" ca="1" si="0"/>
        <v>0.97199999999999998</v>
      </c>
      <c r="F17" s="269">
        <f>VLOOKUP(MONTH(C17),PMPM!$A$112:$F$123,6)</f>
        <v>1</v>
      </c>
      <c r="G17" s="395">
        <f t="shared" ca="1" si="1"/>
        <v>1</v>
      </c>
      <c r="H17" s="54">
        <f t="shared" ca="1" si="9"/>
        <v>42.79</v>
      </c>
      <c r="I17" s="401">
        <f t="shared" ca="1" si="10"/>
        <v>0.92620000000000002</v>
      </c>
      <c r="J17" s="401">
        <f t="shared" ca="1" si="11"/>
        <v>0.92620000000000002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0.92620000000000002</v>
      </c>
      <c r="R17" s="397">
        <f ca="1">IF(AND(H17&gt;0,SUM($R$12:R16)=0),1,0)</f>
        <v>0</v>
      </c>
      <c r="S17" s="397">
        <f ca="1">IF(AND($I17&gt;0,SUM(S$12:S16)&lt;6),1,0)</f>
        <v>1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1</v>
      </c>
      <c r="Y17" s="401">
        <f t="shared" ca="1" si="2"/>
        <v>7.0560000000001249E-5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1.4399999999999494E-6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33.106569953968474</v>
      </c>
      <c r="E18" s="392">
        <f t="shared" ca="1" si="0"/>
        <v>0.96699999999999997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32.01</v>
      </c>
      <c r="I18" s="401">
        <f t="shared" ca="1" si="10"/>
        <v>0.69289999999999996</v>
      </c>
      <c r="J18" s="401">
        <f t="shared" ca="1" si="11"/>
        <v>0.69289999999999996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0.69289999999999996</v>
      </c>
      <c r="R18" s="397">
        <f ca="1">IF(AND(H18&gt;0,SUM($R$12:R17)=0),1,0)</f>
        <v>0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5.0580009999999995E-2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5.4990250000000018E-2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41.941143808995001</v>
      </c>
      <c r="E19" s="392">
        <f t="shared" ca="1" si="0"/>
        <v>0.96199999999999997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40.35</v>
      </c>
      <c r="I19" s="401">
        <f t="shared" ca="1" si="10"/>
        <v>0.87339999999999995</v>
      </c>
      <c r="J19" s="401">
        <f t="shared" ca="1" si="11"/>
        <v>0.87339999999999995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0.87339999999999995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1.9713599999999997E-3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2.9160000000000054E-3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42.973126471810502</v>
      </c>
      <c r="E20" s="392">
        <f t="shared" ca="1" si="0"/>
        <v>0.95699999999999996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41.13</v>
      </c>
      <c r="I20" s="401">
        <f t="shared" ca="1" si="10"/>
        <v>0.89029999999999998</v>
      </c>
      <c r="J20" s="401">
        <f t="shared" ca="1" si="11"/>
        <v>0</v>
      </c>
      <c r="K20" s="401">
        <f t="shared" ca="1" si="12"/>
        <v>0.89029999999999998</v>
      </c>
      <c r="L20" s="401">
        <f t="shared" ca="1" si="13"/>
        <v>0</v>
      </c>
      <c r="M20" s="401">
        <f t="shared" ca="1" si="14"/>
        <v>0</v>
      </c>
      <c r="N20" s="401">
        <f t="shared" ca="1" si="15"/>
        <v>0.89029999999999998</v>
      </c>
      <c r="R20" s="397">
        <f ca="1">IF(AND(H20&gt;0,SUM($R$12:R19)=0),1,0)</f>
        <v>0</v>
      </c>
      <c r="S20" s="397">
        <f ca="1">IF(AND($I20&gt;0,SUM(S$12:S19)&lt;6),1,0)</f>
        <v>0</v>
      </c>
      <c r="T20" s="397">
        <f ca="1">IF(AND($I20&gt;0,SUM(S$12:S19)=6,SUM(T$12:T19)&lt;6),1,0)</f>
        <v>1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0</v>
      </c>
      <c r="Z20" s="401">
        <f t="shared" ca="1" si="3"/>
        <v>1.1214809999999999E-2</v>
      </c>
      <c r="AA20" s="401">
        <f t="shared" ca="1" si="4"/>
        <v>0</v>
      </c>
      <c r="AB20" s="401">
        <f t="shared" ca="1" si="5"/>
        <v>0</v>
      </c>
      <c r="AC20" s="401">
        <f t="shared" ca="1" si="6"/>
        <v>1.3764100000000015E-3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37.06392694063927</v>
      </c>
      <c r="E21" s="392">
        <f t="shared" ca="1" si="0"/>
        <v>0.95199999999999996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35.28</v>
      </c>
      <c r="I21" s="401">
        <f t="shared" ca="1" si="10"/>
        <v>0.76359999999999995</v>
      </c>
      <c r="J21" s="401">
        <f t="shared" ca="1" si="11"/>
        <v>0</v>
      </c>
      <c r="K21" s="401">
        <f t="shared" ca="1" si="12"/>
        <v>0.76359999999999995</v>
      </c>
      <c r="L21" s="401">
        <f t="shared" ca="1" si="13"/>
        <v>0</v>
      </c>
      <c r="M21" s="401">
        <f t="shared" ca="1" si="14"/>
        <v>0</v>
      </c>
      <c r="N21" s="401">
        <f t="shared" ca="1" si="15"/>
        <v>0.76359999999999995</v>
      </c>
      <c r="R21" s="397">
        <f ca="1">IF(AND(H21&gt;0,SUM($R$12:R20)=0),1,0)</f>
        <v>0</v>
      </c>
      <c r="S21" s="397">
        <f ca="1">IF(AND($I21&gt;0,SUM(S$12:S20)&lt;6),1,0)</f>
        <v>0</v>
      </c>
      <c r="T21" s="397">
        <f ca="1">IF(AND($I21&gt;0,SUM(S$12:S20)=6,SUM(T$12:T20)&lt;6),1,0)</f>
        <v>1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0</v>
      </c>
      <c r="Z21" s="401">
        <f t="shared" ca="1" si="3"/>
        <v>4.3264000000000171E-4</v>
      </c>
      <c r="AA21" s="401">
        <f t="shared" ca="1" si="4"/>
        <v>0</v>
      </c>
      <c r="AB21" s="401">
        <f t="shared" ca="1" si="5"/>
        <v>0</v>
      </c>
      <c r="AC21" s="401">
        <f t="shared" ca="1" si="6"/>
        <v>2.6830440000000018E-2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47.723898234394554</v>
      </c>
      <c r="E22" s="392">
        <f t="shared" ca="1" si="0"/>
        <v>0.94699999999999995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45.19</v>
      </c>
      <c r="I22" s="401">
        <f t="shared" ca="1" si="10"/>
        <v>0.97809999999999997</v>
      </c>
      <c r="J22" s="401">
        <f t="shared" ca="1" si="11"/>
        <v>0</v>
      </c>
      <c r="K22" s="401">
        <f t="shared" ca="1" si="12"/>
        <v>0.97809999999999997</v>
      </c>
      <c r="L22" s="401">
        <f t="shared" ca="1" si="13"/>
        <v>0</v>
      </c>
      <c r="M22" s="401">
        <f t="shared" ca="1" si="14"/>
        <v>0</v>
      </c>
      <c r="N22" s="401">
        <f t="shared" ca="1" si="15"/>
        <v>0.97809999999999997</v>
      </c>
      <c r="R22" s="397">
        <f ca="1">IF(AND(H22&gt;0,SUM($R$12:R21)=0),1,0)</f>
        <v>0</v>
      </c>
      <c r="S22" s="397">
        <f ca="1">IF(AND($I22&gt;0,SUM(S$12:S21)&lt;6),1,0)</f>
        <v>0</v>
      </c>
      <c r="T22" s="397">
        <f ca="1">IF(AND($I22&gt;0,SUM(S$12:S21)=6,SUM(T$12:T21)&lt;6),1,0)</f>
        <v>1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0</v>
      </c>
      <c r="Z22" s="401">
        <f t="shared" ca="1" si="3"/>
        <v>3.7519689999999994E-2</v>
      </c>
      <c r="AA22" s="401">
        <f t="shared" ca="1" si="4"/>
        <v>0</v>
      </c>
      <c r="AB22" s="401">
        <f t="shared" ca="1" si="5"/>
        <v>0</v>
      </c>
      <c r="AC22" s="401">
        <f t="shared" ca="1" si="6"/>
        <v>2.5704899999999969E-3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34.759223029625488</v>
      </c>
      <c r="E23" s="392">
        <f t="shared" ca="1" si="0"/>
        <v>0.94199999999999995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32.74</v>
      </c>
      <c r="I23" s="401">
        <f t="shared" ca="1" si="10"/>
        <v>0.7087</v>
      </c>
      <c r="J23" s="401">
        <f t="shared" ca="1" si="11"/>
        <v>0</v>
      </c>
      <c r="K23" s="401">
        <f t="shared" ca="1" si="12"/>
        <v>0.7087</v>
      </c>
      <c r="L23" s="401">
        <f t="shared" ca="1" si="13"/>
        <v>0</v>
      </c>
      <c r="M23" s="401">
        <f t="shared" ca="1" si="14"/>
        <v>0</v>
      </c>
      <c r="N23" s="401">
        <f t="shared" ca="1" si="15"/>
        <v>0.7087</v>
      </c>
      <c r="R23" s="397">
        <f ca="1">IF(AND(H23&gt;0,SUM($R$12:R22)=0),1,0)</f>
        <v>0</v>
      </c>
      <c r="S23" s="397">
        <f ca="1">IF(AND($I23&gt;0,SUM(S$12:S22)&lt;6),1,0)</f>
        <v>0</v>
      </c>
      <c r="T23" s="397">
        <f ca="1">IF(AND($I23&gt;0,SUM(S$12:S22)=6,SUM(T$12:T22)&lt;6),1,0)</f>
        <v>1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0</v>
      </c>
      <c r="Z23" s="401">
        <f t="shared" ca="1" si="3"/>
        <v>5.7304899999999987E-3</v>
      </c>
      <c r="AA23" s="401">
        <f t="shared" ca="1" si="4"/>
        <v>0</v>
      </c>
      <c r="AB23" s="401">
        <f t="shared" ca="1" si="5"/>
        <v>0</v>
      </c>
      <c r="AC23" s="401">
        <f t="shared" ca="1" si="6"/>
        <v>4.7829690000000001E-2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34.758119102387823</v>
      </c>
      <c r="E24" s="392">
        <f t="shared" si="0"/>
        <v>0.93700000000000006</v>
      </c>
      <c r="F24" s="269">
        <f>VLOOKUP(MONTH(C24),PMPM!$A$112:$F$123,6)</f>
        <v>1</v>
      </c>
      <c r="G24" s="395">
        <f t="shared" si="1"/>
        <v>1</v>
      </c>
      <c r="H24" s="54">
        <f t="shared" si="9"/>
        <v>32.57</v>
      </c>
      <c r="I24" s="401">
        <f t="shared" ca="1" si="10"/>
        <v>0.70499999999999996</v>
      </c>
      <c r="J24" s="401">
        <f t="shared" ca="1" si="11"/>
        <v>0</v>
      </c>
      <c r="K24" s="401">
        <f t="shared" ca="1" si="12"/>
        <v>0.70499999999999996</v>
      </c>
      <c r="L24" s="401">
        <f t="shared" ca="1" si="13"/>
        <v>0</v>
      </c>
      <c r="M24" s="401">
        <f t="shared" ca="1" si="14"/>
        <v>0</v>
      </c>
      <c r="N24" s="401">
        <f t="shared" ca="1" si="15"/>
        <v>0.70499999999999996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6.3043600000000045E-3</v>
      </c>
      <c r="AA24" s="401">
        <f t="shared" ca="1" si="4"/>
        <v>0</v>
      </c>
      <c r="AB24" s="401">
        <f t="shared" ca="1" si="5"/>
        <v>0</v>
      </c>
      <c r="AC24" s="401">
        <f t="shared" ca="1" si="6"/>
        <v>4.9461760000000021E-2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32.72631909159788</v>
      </c>
      <c r="E25" s="392">
        <f t="shared" si="0"/>
        <v>0.93300000000000005</v>
      </c>
      <c r="F25" s="269">
        <f>VLOOKUP(MONTH(C25),PMPM!$A$112:$F$123,6)</f>
        <v>1</v>
      </c>
      <c r="G25" s="395">
        <f t="shared" si="1"/>
        <v>1</v>
      </c>
      <c r="H25" s="54">
        <f t="shared" si="9"/>
        <v>30.53</v>
      </c>
      <c r="I25" s="401">
        <f t="shared" ca="1" si="10"/>
        <v>0.66080000000000005</v>
      </c>
      <c r="J25" s="401">
        <f t="shared" ca="1" si="11"/>
        <v>0</v>
      </c>
      <c r="K25" s="401">
        <f t="shared" ca="1" si="12"/>
        <v>0.66080000000000005</v>
      </c>
      <c r="L25" s="401">
        <f t="shared" ca="1" si="13"/>
        <v>0</v>
      </c>
      <c r="M25" s="401">
        <f t="shared" ca="1" si="14"/>
        <v>0</v>
      </c>
      <c r="N25" s="401">
        <f t="shared" ca="1" si="15"/>
        <v>0.66080000000000005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1.5276959999999984E-2</v>
      </c>
      <c r="AA25" s="401">
        <f t="shared" ca="1" si="4"/>
        <v>0</v>
      </c>
      <c r="AB25" s="401">
        <f t="shared" ca="1" si="5"/>
        <v>0</v>
      </c>
      <c r="AC25" s="401">
        <f t="shared" ca="1" si="6"/>
        <v>7.1075559999999968E-2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32.49841373087169</v>
      </c>
      <c r="E26" s="392">
        <f t="shared" si="0"/>
        <v>0.92800000000000005</v>
      </c>
      <c r="F26" s="269">
        <f>VLOOKUP(MONTH(C26),PMPM!$A$112:$F$123,6)</f>
        <v>1</v>
      </c>
      <c r="G26" s="395">
        <f t="shared" si="1"/>
        <v>1</v>
      </c>
      <c r="H26" s="54">
        <f t="shared" si="9"/>
        <v>30.16</v>
      </c>
      <c r="I26" s="401">
        <f t="shared" ca="1" si="10"/>
        <v>0.65280000000000005</v>
      </c>
      <c r="J26" s="401">
        <f t="shared" ca="1" si="11"/>
        <v>0</v>
      </c>
      <c r="K26" s="401">
        <f t="shared" ca="1" si="12"/>
        <v>0</v>
      </c>
      <c r="L26" s="401">
        <f t="shared" ca="1" si="13"/>
        <v>0.65280000000000005</v>
      </c>
      <c r="M26" s="401">
        <f t="shared" ca="1" si="14"/>
        <v>0</v>
      </c>
      <c r="N26" s="401">
        <f t="shared" ca="1" si="15"/>
        <v>0.65280000000000005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0</v>
      </c>
      <c r="U26" s="397">
        <f ca="1">IF(AND($I26&gt;0,SUM(T$12:T25)=6,SUM(U$12:U25)&lt;6),1,0)</f>
        <v>1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0</v>
      </c>
      <c r="AA26" s="401">
        <f t="shared" ca="1" si="4"/>
        <v>0.15319395999999999</v>
      </c>
      <c r="AB26" s="401">
        <f t="shared" ca="1" si="5"/>
        <v>0</v>
      </c>
      <c r="AC26" s="401">
        <f t="shared" ca="1" si="6"/>
        <v>7.5405159999999971E-2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71.168632311625956</v>
      </c>
      <c r="E27" s="392">
        <f t="shared" si="0"/>
        <v>0.92300000000000004</v>
      </c>
      <c r="F27" s="269">
        <f>VLOOKUP(MONTH(C27),PMPM!$A$112:$F$123,6)</f>
        <v>1</v>
      </c>
      <c r="G27" s="395">
        <f t="shared" si="1"/>
        <v>1</v>
      </c>
      <c r="H27" s="54">
        <f t="shared" si="9"/>
        <v>65.69</v>
      </c>
      <c r="I27" s="401">
        <f t="shared" ca="1" si="10"/>
        <v>1.4218999999999999</v>
      </c>
      <c r="J27" s="401">
        <f t="shared" ca="1" si="11"/>
        <v>0</v>
      </c>
      <c r="K27" s="401">
        <f t="shared" ca="1" si="12"/>
        <v>0</v>
      </c>
      <c r="L27" s="401">
        <f t="shared" ca="1" si="13"/>
        <v>1.4218999999999999</v>
      </c>
      <c r="M27" s="401">
        <f t="shared" ca="1" si="14"/>
        <v>0</v>
      </c>
      <c r="N27" s="401">
        <f t="shared" ca="1" si="15"/>
        <v>1.4218999999999999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0</v>
      </c>
      <c r="U27" s="397">
        <f ca="1">IF(AND($I27&gt;0,SUM(T$12:T26)=6,SUM(U$12:U26)&lt;6),1,0)</f>
        <v>1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0</v>
      </c>
      <c r="AA27" s="401">
        <f t="shared" ca="1" si="4"/>
        <v>0.14265728999999994</v>
      </c>
      <c r="AB27" s="401">
        <f t="shared" ca="1" si="5"/>
        <v>0</v>
      </c>
      <c r="AC27" s="401">
        <f t="shared" ca="1" si="6"/>
        <v>0.24453024999999995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43.692323964410917</v>
      </c>
      <c r="E28" s="392">
        <f t="shared" si="0"/>
        <v>0.91800000000000004</v>
      </c>
      <c r="F28" s="269">
        <f>VLOOKUP(MONTH(C28),PMPM!$A$112:$F$123,6)</f>
        <v>1</v>
      </c>
      <c r="G28" s="395">
        <f t="shared" si="1"/>
        <v>1</v>
      </c>
      <c r="H28" s="54">
        <f t="shared" si="9"/>
        <v>40.11</v>
      </c>
      <c r="I28" s="401">
        <f t="shared" ca="1" si="10"/>
        <v>0.86819999999999997</v>
      </c>
      <c r="J28" s="401">
        <f t="shared" ca="1" si="11"/>
        <v>0</v>
      </c>
      <c r="K28" s="401">
        <f t="shared" ref="K28:K47" ca="1" si="17">$I28*T28</f>
        <v>0</v>
      </c>
      <c r="L28" s="401">
        <f t="shared" ref="L28:L47" ca="1" si="18">$I28*U28</f>
        <v>0.86819999999999997</v>
      </c>
      <c r="M28" s="401">
        <f t="shared" ref="M28:M47" ca="1" si="19">$I28*V28</f>
        <v>0</v>
      </c>
      <c r="N28" s="401">
        <f t="shared" ca="1" si="15"/>
        <v>0.86819999999999997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0</v>
      </c>
      <c r="U28" s="397">
        <f ca="1">IF(AND($I28&gt;0,SUM(T$12:T27)=6,SUM(U$12:U27)&lt;6),1,0)</f>
        <v>1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0</v>
      </c>
      <c r="AA28" s="401">
        <f t="shared" ca="1" si="4"/>
        <v>3.0976000000000017E-2</v>
      </c>
      <c r="AB28" s="401">
        <f t="shared" ca="1" si="5"/>
        <v>0</v>
      </c>
      <c r="AC28" s="401">
        <f t="shared" ca="1" si="6"/>
        <v>3.5046400000000037E-3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58.400846388996591</v>
      </c>
      <c r="E29" s="392">
        <f t="shared" si="0"/>
        <v>0.91400000000000003</v>
      </c>
      <c r="F29" s="269">
        <f>VLOOKUP(MONTH(C29),PMPM!$A$112:$F$123,6)</f>
        <v>1</v>
      </c>
      <c r="G29" s="395">
        <f t="shared" si="1"/>
        <v>1</v>
      </c>
      <c r="H29" s="54">
        <f t="shared" si="9"/>
        <v>53.38</v>
      </c>
      <c r="I29" s="401">
        <f t="shared" ca="1" si="10"/>
        <v>1.1554</v>
      </c>
      <c r="J29" s="401">
        <f t="shared" ca="1" si="11"/>
        <v>0</v>
      </c>
      <c r="K29" s="401">
        <f t="shared" ca="1" si="17"/>
        <v>0</v>
      </c>
      <c r="L29" s="401">
        <f t="shared" ca="1" si="18"/>
        <v>1.1554</v>
      </c>
      <c r="M29" s="401">
        <f t="shared" ca="1" si="19"/>
        <v>0</v>
      </c>
      <c r="N29" s="401">
        <f t="shared" ca="1" si="15"/>
        <v>1.1554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0</v>
      </c>
      <c r="U29" s="397">
        <f ca="1">IF(AND($I29&gt;0,SUM(T$12:T28)=6,SUM(U$12:U28)&lt;6),1,0)</f>
        <v>1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0</v>
      </c>
      <c r="AA29" s="401">
        <f t="shared" ca="1" si="4"/>
        <v>1.2365439999999993E-2</v>
      </c>
      <c r="AB29" s="401">
        <f t="shared" ca="1" si="5"/>
        <v>0</v>
      </c>
      <c r="AC29" s="401">
        <f t="shared" ca="1" si="6"/>
        <v>5.1983999999999989E-2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64.622452870324537</v>
      </c>
      <c r="E30" s="392">
        <f t="shared" si="0"/>
        <v>0.90900000000000003</v>
      </c>
      <c r="F30" s="269">
        <f>VLOOKUP(MONTH(C30),PMPM!$A$112:$F$123,6)</f>
        <v>1</v>
      </c>
      <c r="G30" s="395">
        <f t="shared" si="1"/>
        <v>1</v>
      </c>
      <c r="H30" s="54">
        <f t="shared" si="9"/>
        <v>58.74</v>
      </c>
      <c r="I30" s="401">
        <f t="shared" ca="1" si="10"/>
        <v>1.2714000000000001</v>
      </c>
      <c r="J30" s="401">
        <f t="shared" ca="1" si="11"/>
        <v>0</v>
      </c>
      <c r="K30" s="401">
        <f t="shared" ca="1" si="17"/>
        <v>0</v>
      </c>
      <c r="L30" s="401">
        <f t="shared" ca="1" si="18"/>
        <v>1.2714000000000001</v>
      </c>
      <c r="M30" s="401">
        <f t="shared" ca="1" si="19"/>
        <v>0</v>
      </c>
      <c r="N30" s="401">
        <f t="shared" ca="1" si="15"/>
        <v>1.2714000000000001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5.1619840000000028E-2</v>
      </c>
      <c r="AB30" s="401">
        <f t="shared" ca="1" si="5"/>
        <v>0</v>
      </c>
      <c r="AC30" s="401">
        <f t="shared" ca="1" si="6"/>
        <v>0.11833600000000005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45.772098230480971</v>
      </c>
      <c r="E31" s="392">
        <f t="shared" si="0"/>
        <v>0.90400000000000003</v>
      </c>
      <c r="F31" s="269">
        <f>VLOOKUP(MONTH(C31),PMPM!$A$112:$F$123,6)</f>
        <v>1</v>
      </c>
      <c r="G31" s="395">
        <f t="shared" si="1"/>
        <v>1</v>
      </c>
      <c r="H31" s="54">
        <f t="shared" si="9"/>
        <v>41.38</v>
      </c>
      <c r="I31" s="401">
        <f t="shared" ca="1" si="10"/>
        <v>0.89570000000000005</v>
      </c>
      <c r="J31" s="401">
        <f t="shared" ca="1" si="11"/>
        <v>0</v>
      </c>
      <c r="K31" s="401">
        <f t="shared" ca="1" si="17"/>
        <v>0</v>
      </c>
      <c r="L31" s="401">
        <f t="shared" ca="1" si="18"/>
        <v>0.89570000000000005</v>
      </c>
      <c r="M31" s="401">
        <f t="shared" ca="1" si="19"/>
        <v>0</v>
      </c>
      <c r="N31" s="401">
        <f t="shared" ca="1" si="15"/>
        <v>0.89570000000000005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2.2052249999999989E-2</v>
      </c>
      <c r="AB31" s="401">
        <f t="shared" ca="1" si="5"/>
        <v>0</v>
      </c>
      <c r="AC31" s="401">
        <f t="shared" ca="1" si="6"/>
        <v>1.0048899999999968E-3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45.916806568230278</v>
      </c>
      <c r="E32" s="392">
        <f t="shared" si="0"/>
        <v>0.89900000000000002</v>
      </c>
      <c r="F32" s="269">
        <f>VLOOKUP(MONTH(C32),PMPM!$A$112:$F$123,6)</f>
        <v>1</v>
      </c>
      <c r="G32" s="395">
        <f t="shared" si="1"/>
        <v>1</v>
      </c>
      <c r="H32" s="54">
        <f t="shared" si="9"/>
        <v>41.28</v>
      </c>
      <c r="I32" s="401">
        <f t="shared" ca="1" si="10"/>
        <v>0.89349999999999996</v>
      </c>
      <c r="J32" s="401">
        <f t="shared" ca="1" si="11"/>
        <v>0</v>
      </c>
      <c r="K32" s="401">
        <f t="shared" ca="1" si="17"/>
        <v>0</v>
      </c>
      <c r="L32" s="401">
        <f t="shared" ca="1" si="18"/>
        <v>0</v>
      </c>
      <c r="M32" s="401">
        <f t="shared" ca="1" si="19"/>
        <v>0.89349999999999996</v>
      </c>
      <c r="N32" s="401">
        <f t="shared" ca="1" si="15"/>
        <v>0.89349999999999996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0</v>
      </c>
      <c r="V32" s="397">
        <f ca="1">IF(AND($I32&gt;0,SUM(U$12:U31)=6,SUM(V$12:V31)&lt;6),1,0)</f>
        <v>1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0</v>
      </c>
      <c r="AB32" s="401">
        <f t="shared" ca="1" si="5"/>
        <v>7.0392099999999954E-3</v>
      </c>
      <c r="AC32" s="401">
        <f t="shared" ca="1" si="6"/>
        <v>1.1492100000000027E-3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46.072972042039574</v>
      </c>
      <c r="E33" s="392">
        <f t="shared" si="0"/>
        <v>0.89500000000000002</v>
      </c>
      <c r="F33" s="269">
        <f>VLOOKUP(MONTH(C33),PMPM!$A$112:$F$123,6)</f>
        <v>1</v>
      </c>
      <c r="G33" s="395">
        <f t="shared" si="1"/>
        <v>1</v>
      </c>
      <c r="H33" s="54">
        <f t="shared" si="9"/>
        <v>41.24</v>
      </c>
      <c r="I33" s="401">
        <f t="shared" ca="1" si="10"/>
        <v>0.89259999999999995</v>
      </c>
      <c r="J33" s="401">
        <f t="shared" ca="1" si="11"/>
        <v>0</v>
      </c>
      <c r="K33" s="401">
        <f t="shared" ca="1" si="17"/>
        <v>0</v>
      </c>
      <c r="L33" s="401">
        <f t="shared" ca="1" si="18"/>
        <v>0</v>
      </c>
      <c r="M33" s="401">
        <f t="shared" ca="1" si="19"/>
        <v>0.89259999999999995</v>
      </c>
      <c r="N33" s="401">
        <f t="shared" ca="1" si="15"/>
        <v>0.89259999999999995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0</v>
      </c>
      <c r="V33" s="397">
        <f ca="1">IF(AND($I33&gt;0,SUM(U$12:U32)=6,SUM(V$12:V32)&lt;6),1,0)</f>
        <v>1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0</v>
      </c>
      <c r="AB33" s="401">
        <f t="shared" ca="1" si="5"/>
        <v>6.8889999999999941E-3</v>
      </c>
      <c r="AC33" s="401">
        <f t="shared" ca="1" si="6"/>
        <v>1.2110400000000037E-3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38.651486387577066</v>
      </c>
      <c r="E34" s="392">
        <f t="shared" si="0"/>
        <v>0.89</v>
      </c>
      <c r="F34" s="269">
        <f>VLOOKUP(MONTH(C34),PMPM!$A$112:$F$123,6)</f>
        <v>1</v>
      </c>
      <c r="G34" s="395">
        <f t="shared" si="1"/>
        <v>1</v>
      </c>
      <c r="H34" s="54">
        <f t="shared" si="9"/>
        <v>34.4</v>
      </c>
      <c r="I34" s="401">
        <f t="shared" ca="1" si="10"/>
        <v>0.74460000000000004</v>
      </c>
      <c r="J34" s="401">
        <f t="shared" ca="1" si="11"/>
        <v>0</v>
      </c>
      <c r="K34" s="401">
        <f t="shared" ca="1" si="17"/>
        <v>0</v>
      </c>
      <c r="L34" s="401">
        <f t="shared" ca="1" si="18"/>
        <v>0</v>
      </c>
      <c r="M34" s="401">
        <f t="shared" ca="1" si="19"/>
        <v>0.74460000000000004</v>
      </c>
      <c r="N34" s="401">
        <f t="shared" ca="1" si="15"/>
        <v>0.74460000000000004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0</v>
      </c>
      <c r="V34" s="397">
        <f ca="1">IF(AND($I34&gt;0,SUM(U$12:U33)=6,SUM(V$12:V33)&lt;6),1,0)</f>
        <v>1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0</v>
      </c>
      <c r="AB34" s="401">
        <f t="shared" ca="1" si="5"/>
        <v>4.2249999999999927E-3</v>
      </c>
      <c r="AC34" s="401">
        <f t="shared" ca="1" si="6"/>
        <v>3.3415839999999988E-2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40.001751827104876</v>
      </c>
      <c r="E35" s="392">
        <f t="shared" si="0"/>
        <v>0.88600000000000001</v>
      </c>
      <c r="F35" s="269">
        <f>VLOOKUP(MONTH(C35),PMPM!$A$112:$F$123,6)</f>
        <v>1</v>
      </c>
      <c r="G35" s="395">
        <f t="shared" si="1"/>
        <v>1</v>
      </c>
      <c r="H35" s="54">
        <f t="shared" si="9"/>
        <v>35.44</v>
      </c>
      <c r="I35" s="401">
        <f t="shared" ca="1" si="10"/>
        <v>0.7671</v>
      </c>
      <c r="J35" s="401">
        <f t="shared" ca="1" si="11"/>
        <v>0</v>
      </c>
      <c r="K35" s="401">
        <f t="shared" ca="1" si="17"/>
        <v>0</v>
      </c>
      <c r="L35" s="401">
        <f t="shared" ca="1" si="18"/>
        <v>0</v>
      </c>
      <c r="M35" s="401">
        <f t="shared" ca="1" si="19"/>
        <v>0.7671</v>
      </c>
      <c r="N35" s="401">
        <f t="shared" ca="1" si="15"/>
        <v>0.7671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0</v>
      </c>
      <c r="V35" s="397">
        <f ca="1">IF(AND($I35&gt;0,SUM(U$12:U34)=6,SUM(V$12:V34)&lt;6),1,0)</f>
        <v>1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0</v>
      </c>
      <c r="AB35" s="401">
        <f t="shared" ca="1" si="5"/>
        <v>1.8062499999999984E-3</v>
      </c>
      <c r="AC35" s="401">
        <f t="shared" ca="1" si="6"/>
        <v>2.5696089999999998E-2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36.92910233393178</v>
      </c>
      <c r="E36" s="392">
        <f t="shared" si="0"/>
        <v>0.88100000000000001</v>
      </c>
      <c r="F36" s="269">
        <f>VLOOKUP(MONTH(C36),PMPM!$A$112:$F$123,6)</f>
        <v>1</v>
      </c>
      <c r="G36" s="395">
        <f t="shared" si="1"/>
        <v>1</v>
      </c>
      <c r="H36" s="54">
        <f t="shared" si="9"/>
        <v>32.53</v>
      </c>
      <c r="I36" s="401">
        <f t="shared" ca="1" si="10"/>
        <v>0.70409999999999995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0.70409999999999995</v>
      </c>
      <c r="N36" s="401">
        <f t="shared" ca="1" si="15"/>
        <v>0.70409999999999995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1.1130250000000008E-2</v>
      </c>
      <c r="AC36" s="401">
        <f t="shared" ca="1" si="6"/>
        <v>4.9862890000000021E-2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45.064696832579187</v>
      </c>
      <c r="E37" s="392">
        <f t="shared" si="0"/>
        <v>0.877</v>
      </c>
      <c r="F37" s="269">
        <f>VLOOKUP(MONTH(C37),PMPM!$A$112:$F$123,6)</f>
        <v>1</v>
      </c>
      <c r="G37" s="395">
        <f t="shared" si="1"/>
        <v>1</v>
      </c>
      <c r="H37" s="54">
        <f t="shared" si="9"/>
        <v>39.520000000000003</v>
      </c>
      <c r="I37" s="401">
        <f t="shared" ca="1" si="10"/>
        <v>0.85540000000000005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0.85540000000000005</v>
      </c>
      <c r="N37" s="401">
        <f t="shared" ca="1" si="15"/>
        <v>0.85540000000000005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2.0976400000000056E-3</v>
      </c>
      <c r="AC37" s="401">
        <f t="shared" ca="1" si="6"/>
        <v>5.1839999999999933E-3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37.081789568345329</v>
      </c>
      <c r="E38" s="392">
        <f t="shared" si="0"/>
        <v>0.872</v>
      </c>
      <c r="F38" s="269">
        <f>VLOOKUP(MONTH(C38),PMPM!$A$112:$F$123,6)</f>
        <v>1</v>
      </c>
      <c r="G38" s="395">
        <f t="shared" si="1"/>
        <v>1</v>
      </c>
      <c r="H38" s="54">
        <f t="shared" si="9"/>
        <v>32.340000000000003</v>
      </c>
      <c r="I38" s="401">
        <f t="shared" ca="1" si="10"/>
        <v>0.7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</v>
      </c>
      <c r="N38" s="401">
        <f t="shared" ca="1" si="15"/>
        <v>0.7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0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0</v>
      </c>
      <c r="AC38" s="401">
        <f t="shared" ca="1" si="6"/>
        <v>5.1710760000000022E-2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50.870728417266207</v>
      </c>
      <c r="E39" s="392">
        <f t="shared" si="0"/>
        <v>0.86799999999999999</v>
      </c>
      <c r="F39" s="269">
        <f>VLOOKUP(MONTH(C39),PMPM!$A$112:$F$123,6)</f>
        <v>1</v>
      </c>
      <c r="G39" s="395">
        <f t="shared" si="1"/>
        <v>1</v>
      </c>
      <c r="H39" s="54">
        <f t="shared" si="9"/>
        <v>44.16</v>
      </c>
      <c r="I39" s="401">
        <f t="shared" ca="1" si="10"/>
        <v>0.95579999999999998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</v>
      </c>
      <c r="N39" s="401">
        <f t="shared" ca="1" si="15"/>
        <v>0.95579999999999998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0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0</v>
      </c>
      <c r="AC39" s="401">
        <f t="shared" ca="1" si="6"/>
        <v>8.0655999999999892E-4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56.678354661791616</v>
      </c>
      <c r="E40" s="392">
        <f t="shared" si="0"/>
        <v>0.86299999999999999</v>
      </c>
      <c r="F40" s="269">
        <f>VLOOKUP(MONTH(C40),PMPM!$A$112:$F$123,6)</f>
        <v>1</v>
      </c>
      <c r="G40" s="395">
        <f t="shared" si="1"/>
        <v>1</v>
      </c>
      <c r="H40" s="54">
        <f t="shared" si="9"/>
        <v>48.91</v>
      </c>
      <c r="I40" s="401">
        <f t="shared" ca="1" si="10"/>
        <v>1.0587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0</v>
      </c>
      <c r="N40" s="401">
        <f t="shared" ca="1" si="15"/>
        <v>1.0587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0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0</v>
      </c>
      <c r="AC40" s="401">
        <f t="shared" ca="1" si="6"/>
        <v>1.7239689999999992E-2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65.219232158988262</v>
      </c>
      <c r="E41" s="392">
        <f t="shared" si="0"/>
        <v>0.85899999999999999</v>
      </c>
      <c r="F41" s="269">
        <f>VLOOKUP(MONTH(C41),PMPM!$A$112:$F$123,6)</f>
        <v>1</v>
      </c>
      <c r="G41" s="395">
        <f t="shared" si="1"/>
        <v>1</v>
      </c>
      <c r="H41" s="54">
        <f t="shared" si="9"/>
        <v>56.02</v>
      </c>
      <c r="I41" s="401">
        <f t="shared" ca="1" si="10"/>
        <v>1.2125999999999999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</v>
      </c>
      <c r="N41" s="401">
        <f t="shared" ca="1" si="15"/>
        <v>1.2125999999999999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0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0</v>
      </c>
      <c r="AC41" s="401">
        <f t="shared" ca="1" si="6"/>
        <v>8.1339039999999946E-2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47.366209964412811</v>
      </c>
      <c r="E42" s="392">
        <f t="shared" si="0"/>
        <v>0.85399999999999998</v>
      </c>
      <c r="F42" s="269">
        <f>VLOOKUP(MONTH(C42),PMPM!$A$112:$F$123,6)</f>
        <v>1</v>
      </c>
      <c r="G42" s="395">
        <f t="shared" si="1"/>
        <v>1</v>
      </c>
      <c r="H42" s="54">
        <f t="shared" si="9"/>
        <v>40.450000000000003</v>
      </c>
      <c r="I42" s="401">
        <f t="shared" ca="1" si="10"/>
        <v>0.87549999999999994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0.87549999999999994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2.693610000000006E-3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60.316068003487331</v>
      </c>
      <c r="E43" s="392">
        <f t="shared" si="0"/>
        <v>0.85</v>
      </c>
      <c r="F43" s="269">
        <f>VLOOKUP(MONTH(C43),PMPM!$A$112:$F$123,6)</f>
        <v>1</v>
      </c>
      <c r="G43" s="395">
        <f t="shared" si="1"/>
        <v>1</v>
      </c>
      <c r="H43" s="54">
        <f t="shared" si="9"/>
        <v>51.27</v>
      </c>
      <c r="I43" s="401">
        <f t="shared" ca="1" si="10"/>
        <v>1.1096999999999999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1.1096999999999999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3.3233289999999964E-2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44.010058873002535</v>
      </c>
      <c r="E44" s="392">
        <f t="shared" si="0"/>
        <v>0.84599999999999997</v>
      </c>
      <c r="F44" s="269">
        <f>VLOOKUP(MONTH(C44),PMPM!$A$112:$F$123,6)</f>
        <v>1</v>
      </c>
      <c r="G44" s="395">
        <f t="shared" si="1"/>
        <v>1</v>
      </c>
      <c r="H44" s="54">
        <f t="shared" si="9"/>
        <v>37.229999999999997</v>
      </c>
      <c r="I44" s="401">
        <f t="shared" ca="1" si="10"/>
        <v>0.80579999999999996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0.80579999999999996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1.4786560000000009E-2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89.537532573289894</v>
      </c>
      <c r="E45" s="392">
        <f t="shared" si="0"/>
        <v>0.84099999999999997</v>
      </c>
      <c r="F45" s="269">
        <f>VLOOKUP(MONTH(C45),PMPM!$A$112:$F$123,6)</f>
        <v>1</v>
      </c>
      <c r="G45" s="395">
        <f t="shared" si="1"/>
        <v>1</v>
      </c>
      <c r="H45" s="54">
        <f t="shared" si="9"/>
        <v>75.3</v>
      </c>
      <c r="I45" s="401">
        <f t="shared" ca="1" si="10"/>
        <v>1.6298999999999999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1.6298999999999999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0.49350624999999987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59.249342218400699</v>
      </c>
      <c r="E46" s="392">
        <f t="shared" si="0"/>
        <v>0.83699999999999997</v>
      </c>
      <c r="F46" s="269">
        <f>VLOOKUP(MONTH(C46),PMPM!$A$112:$F$123,6)</f>
        <v>1</v>
      </c>
      <c r="G46" s="395">
        <f t="shared" si="1"/>
        <v>1</v>
      </c>
      <c r="H46" s="54">
        <f t="shared" si="9"/>
        <v>49.59</v>
      </c>
      <c r="I46" s="401">
        <f t="shared" ca="1" si="10"/>
        <v>1.0733999999999999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1.0733999999999999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2.1315999999999974E-2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42.919151732377529</v>
      </c>
      <c r="E47" s="392">
        <f t="shared" si="0"/>
        <v>0.83299999999999996</v>
      </c>
      <c r="F47" s="269">
        <f>VLOOKUP(MONTH(C47),PMPM!$A$112:$F$123,6)</f>
        <v>1</v>
      </c>
      <c r="G47" s="395">
        <f t="shared" si="1"/>
        <v>1</v>
      </c>
      <c r="H47" s="54">
        <f t="shared" si="9"/>
        <v>35.75</v>
      </c>
      <c r="I47" s="401">
        <f t="shared" ca="1" si="10"/>
        <v>0.77380000000000004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0.77380000000000004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2.3592959999999986E-2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0.91779999999999995</v>
      </c>
      <c r="K49" s="402">
        <f ca="1">ROUND(SUM(K12:K47)/T49,4)</f>
        <v>0.78439999999999999</v>
      </c>
      <c r="L49" s="402">
        <f ca="1">ROUND(SUM(L12:L47)/U49,4)</f>
        <v>1.0442</v>
      </c>
      <c r="M49" s="402">
        <f ca="1">ROUND(SUM(M12:M47)/V49,4)</f>
        <v>0.80959999999999999</v>
      </c>
      <c r="N49" s="402">
        <f ca="1">ROUND(SUM(N12:N47)/W49,4)</f>
        <v>0.9274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34</v>
      </c>
      <c r="X49" s="400" t="s">
        <v>208</v>
      </c>
      <c r="Y49" s="403">
        <f ca="1">ROUND(SUM(Y12:Y48)/S49,4)</f>
        <v>1.44E-2</v>
      </c>
      <c r="Z49" s="403">
        <f ca="1">ROUND(SUM(Z12:Z48)/T49,4)</f>
        <v>1.2699999999999999E-2</v>
      </c>
      <c r="AA49" s="403">
        <f ca="1">ROUND(SUM(AA12:AA48)/U49,4)</f>
        <v>6.88E-2</v>
      </c>
      <c r="AB49" s="403">
        <f ca="1">ROUND(SUM(AB12:AB48)/V49,4)</f>
        <v>5.4999999999999997E-3</v>
      </c>
      <c r="AC49" s="404">
        <f ca="1">ROUND(SUM(AC12:AC48)/W49,4)</f>
        <v>4.82E-2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0.12</v>
      </c>
      <c r="K50" s="415">
        <f ca="1">SQRT(Z49)</f>
        <v>0.11269427669584645</v>
      </c>
      <c r="L50" s="415">
        <f ca="1">SQRT(AA49)</f>
        <v>0.26229754097208002</v>
      </c>
      <c r="M50" s="415">
        <f ca="1">SQRT(AB49)</f>
        <v>7.4161984870956627E-2</v>
      </c>
      <c r="N50" s="415">
        <f ca="1">SQRT(AC49)</f>
        <v>0.21954498400100148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0.158</v>
      </c>
      <c r="I53" s="416" t="s">
        <v>817</v>
      </c>
      <c r="J53" s="417"/>
      <c r="K53" s="420">
        <f ca="1">(G56=1)*G53/2+((G56=2)+(G56=3))*G53+(G56=4)*G53*2</f>
        <v>0.158</v>
      </c>
      <c r="L53" s="421" t="s">
        <v>815</v>
      </c>
      <c r="M53" s="422">
        <f ca="1">-(((G56=1)+(G56=2))*G53/2+((G56=3)+(G56=4))*G53)</f>
        <v>-7.9000000000000001E-2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E28" sqref="E28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AAMG - Commercial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42.919151732377529</v>
      </c>
      <c r="M7" s="574">
        <f>Transport!J20</f>
        <v>42.919151732377529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42.919151732377529</v>
      </c>
      <c r="Z7" s="15">
        <f>IF(Y7=0,0,LN(Y7))</f>
        <v>3.7593181536430866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3.7593181536430866</v>
      </c>
      <c r="AE7" s="127">
        <f ca="1">Y$54*$V7+Y$55</f>
        <v>3.9898546489479338</v>
      </c>
      <c r="AF7" s="127">
        <f ca="1">EXP(AE7)</f>
        <v>54.047032999267529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4.0264663800114135</v>
      </c>
      <c r="AP7" s="127">
        <f ca="1">EXP(AO7)</f>
        <v>56.062457403302531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3.8269663468239989</v>
      </c>
      <c r="AZ7" s="127">
        <f t="shared" ref="AZ7:AZ19" ca="1" si="1">EXP(AY7)</f>
        <v>45.923012212590315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4.1208538769348921</v>
      </c>
      <c r="BJ7" s="127">
        <f t="shared" ref="BJ7:BJ24" ca="1" si="2">EXP(BI7)</f>
        <v>61.611828729517271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3.0486493136220369</v>
      </c>
      <c r="BT7" s="127">
        <f t="shared" ref="BT7:BT24" ca="1" si="3">EXP(BS7)</f>
        <v>21.086843466722463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4.0312532376991292</v>
      </c>
      <c r="CI7" s="127">
        <f t="shared" ref="CI7:CI24" ca="1" si="4">EXP(CH7)</f>
        <v>56.331463742379341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42.919151732377529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59.249342218400699</v>
      </c>
      <c r="M8" s="574">
        <f>Transport!J21</f>
        <v>59.249342218400699</v>
      </c>
      <c r="N8" s="120"/>
      <c r="O8">
        <f t="shared" ref="O8:O42" si="8">($J7=1)*($J8=1)*($J9=1)</f>
        <v>1</v>
      </c>
      <c r="P8" s="241">
        <f t="shared" ref="P8:P42" si="9">+O8*AVERAGE(L7:L9)</f>
        <v>63.902008841356043</v>
      </c>
      <c r="Q8" s="73">
        <f t="shared" ref="Q8:Q42" si="10">+O8*AVERAGE(M7:M9)</f>
        <v>63.902008841356043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59.249342218400699</v>
      </c>
      <c r="Z8" s="15">
        <f t="shared" ref="Z8:Z42" si="14">IF(Y8=0,0,LN(Y8))</f>
        <v>4.0817546781544705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8.1635093563089409</v>
      </c>
      <c r="AE8" s="127">
        <f t="shared" ref="AE8:AE42" ca="1" si="18">Y$54*$V8+Y$55</f>
        <v>3.9800309673145438</v>
      </c>
      <c r="AF8" s="127">
        <f t="shared" ref="AF8:AF42" ca="1" si="19">EXP(AE8)</f>
        <v>53.518691531984537</v>
      </c>
      <c r="AH8" s="121">
        <f>Transport!$A21</f>
        <v>44317</v>
      </c>
      <c r="AI8" s="73">
        <f t="shared" ref="AI8:AI40" si="20">$P8</f>
        <v>63.902008841356043</v>
      </c>
      <c r="AJ8" s="15">
        <f t="shared" ref="AJ8:AJ42" si="21">IF(AI8=0,0,LN(AI8))</f>
        <v>4.1573507981562665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8.314701596312533</v>
      </c>
      <c r="AO8" s="127">
        <f t="shared" ref="AO8:AO42" ca="1" si="25">AI$54*$V8+AI$55</f>
        <v>4.0155201387772852</v>
      </c>
      <c r="AP8" s="127">
        <f ca="1">EXP(AO8)</f>
        <v>55.452130706127321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3.8243800329591435</v>
      </c>
      <c r="AZ8" s="127">
        <f t="shared" ca="1" si="1"/>
        <v>45.804394347023894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4.1071829682148362</v>
      </c>
      <c r="BJ8" s="127">
        <f t="shared" ca="1" si="2"/>
        <v>60.775270328569967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3.0722685049126373</v>
      </c>
      <c r="BT8" s="127">
        <f t="shared" ca="1" si="3"/>
        <v>21.590826057534578</v>
      </c>
      <c r="BW8" t="s">
        <v>1023</v>
      </c>
      <c r="BX8">
        <f t="shared" ref="BX8:BY9" si="41">C27</f>
        <v>5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4.0199867071926905</v>
      </c>
      <c r="CI8" s="127">
        <f t="shared" ca="1" si="4"/>
        <v>55.700365407650068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59.249342218400699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89.537532573289894</v>
      </c>
      <c r="M9" s="574">
        <f>Transport!J22</f>
        <v>89.537532573289894</v>
      </c>
      <c r="N9" s="120"/>
      <c r="O9">
        <f t="shared" si="8"/>
        <v>1</v>
      </c>
      <c r="P9" s="241">
        <f t="shared" si="9"/>
        <v>64.265644554897719</v>
      </c>
      <c r="Q9" s="73">
        <f t="shared" si="10"/>
        <v>64.265644554897719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89.537532573289894</v>
      </c>
      <c r="Z9" s="15">
        <f t="shared" si="14"/>
        <v>4.4946578957354486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13.483973687206346</v>
      </c>
      <c r="AE9" s="127">
        <f t="shared" ca="1" si="18"/>
        <v>3.9702072856811537</v>
      </c>
      <c r="AF9" s="127">
        <f t="shared" ca="1" si="19"/>
        <v>52.995514912623065</v>
      </c>
      <c r="AH9" s="121">
        <f>Transport!$A22</f>
        <v>44348</v>
      </c>
      <c r="AI9" s="73">
        <f t="shared" si="20"/>
        <v>64.265644554897719</v>
      </c>
      <c r="AJ9" s="15">
        <f t="shared" si="21"/>
        <v>4.1630251891530916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12.489075567459274</v>
      </c>
      <c r="AO9" s="127">
        <f t="shared" ca="1" si="25"/>
        <v>4.0045738975431577</v>
      </c>
      <c r="AP9" s="127">
        <f ca="1">EXP(AO9)</f>
        <v>54.848448360529638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3.8217937190942881</v>
      </c>
      <c r="AZ9" s="127">
        <f t="shared" ca="1" si="1"/>
        <v>45.686082868110994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4.0935120594947794</v>
      </c>
      <c r="BJ9" s="127">
        <f t="shared" ca="1" si="2"/>
        <v>59.9500706224159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3.0958876962032376</v>
      </c>
      <c r="BT9" s="127">
        <f t="shared" ca="1" si="3"/>
        <v>22.106854000333232</v>
      </c>
      <c r="BW9" t="s">
        <v>1024</v>
      </c>
      <c r="BX9">
        <f t="shared" si="41"/>
        <v>11</v>
      </c>
      <c r="BY9">
        <f t="shared" si="41"/>
        <v>2023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4.0087201766862526</v>
      </c>
      <c r="CI9" s="127">
        <f t="shared" ca="1" si="4"/>
        <v>55.076337457420699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89.537532573289894</v>
      </c>
      <c r="DT9" s="295">
        <f t="shared" ref="DT9:DT41" ca="1" si="55">+AP9</f>
        <v>54.848448360529638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44.010058873002535</v>
      </c>
      <c r="M10" s="574">
        <f>Transport!J23</f>
        <v>44.010058873002535</v>
      </c>
      <c r="N10" s="120"/>
      <c r="O10">
        <f t="shared" si="8"/>
        <v>1</v>
      </c>
      <c r="P10" s="241">
        <f t="shared" si="9"/>
        <v>64.621219816593239</v>
      </c>
      <c r="Q10" s="73">
        <f t="shared" si="10"/>
        <v>64.621219816593239</v>
      </c>
      <c r="S10">
        <f t="shared" si="11"/>
        <v>1</v>
      </c>
      <c r="T10" s="73">
        <f t="shared" si="12"/>
        <v>60.949740631930261</v>
      </c>
      <c r="U10" s="73">
        <f t="shared" si="13"/>
        <v>60.949740631930261</v>
      </c>
      <c r="V10" s="2">
        <v>4</v>
      </c>
      <c r="X10" s="121">
        <f>Transport!$A23</f>
        <v>44378</v>
      </c>
      <c r="Y10" s="73">
        <f t="shared" si="0"/>
        <v>44.010058873002535</v>
      </c>
      <c r="Z10" s="15">
        <f t="shared" si="14"/>
        <v>3.7844182185408632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15.137672874163453</v>
      </c>
      <c r="AE10" s="127">
        <f t="shared" ca="1" si="18"/>
        <v>3.9603836040477636</v>
      </c>
      <c r="AF10" s="127">
        <f t="shared" ca="1" si="19"/>
        <v>52.477452651763478</v>
      </c>
      <c r="AH10" s="121">
        <f>Transport!$A23</f>
        <v>44378</v>
      </c>
      <c r="AI10" s="73">
        <f t="shared" si="20"/>
        <v>64.621219816593239</v>
      </c>
      <c r="AJ10" s="15">
        <f t="shared" si="21"/>
        <v>4.1685428369837911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16.674171347935165</v>
      </c>
      <c r="AO10" s="127">
        <f t="shared" ca="1" si="25"/>
        <v>3.9936276563090294</v>
      </c>
      <c r="AP10" s="127">
        <f t="shared" ref="AP10:AP42" ca="1" si="56">EXP(AO10)</f>
        <v>54.251338032449453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3.8192074052294331</v>
      </c>
      <c r="AZ10" s="127">
        <f t="shared" ca="1" si="1"/>
        <v>45.568076984463424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4.0798411507747225</v>
      </c>
      <c r="BJ10" s="127">
        <f t="shared" ca="1" si="2"/>
        <v>59.136075383989507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3.1195068874938374</v>
      </c>
      <c r="BT10" s="127">
        <f t="shared" ca="1" si="3"/>
        <v>22.635215183047727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3.9974536461798142</v>
      </c>
      <c r="CI10" s="127">
        <f t="shared" ca="1" si="4"/>
        <v>54.459300680046589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44.010058873002535</v>
      </c>
      <c r="DT10" s="295">
        <f t="shared" ca="1" si="55"/>
        <v>54.251338032449453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-0.12309349040752426</v>
      </c>
      <c r="F11" s="70">
        <f ca="1">+AI118</f>
        <v>-0.12309349040752426</v>
      </c>
      <c r="G11" s="70">
        <f ca="1">+AI180</f>
        <v>-0.1032626142324693</v>
      </c>
      <c r="H11" s="70">
        <f ca="1">+$AI$242</f>
        <v>-0.1032626142324693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60.316068003487331</v>
      </c>
      <c r="M11" s="574">
        <f>Transport!J24</f>
        <v>60.316068003487331</v>
      </c>
      <c r="N11" s="120"/>
      <c r="O11">
        <f t="shared" si="8"/>
        <v>1</v>
      </c>
      <c r="P11" s="241">
        <f t="shared" si="9"/>
        <v>50.56411228030089</v>
      </c>
      <c r="Q11" s="73">
        <f t="shared" si="10"/>
        <v>50.56411228030089</v>
      </c>
      <c r="S11">
        <f t="shared" si="11"/>
        <v>1</v>
      </c>
      <c r="T11" s="73">
        <f t="shared" si="12"/>
        <v>60.521242705828733</v>
      </c>
      <c r="U11" s="73">
        <f t="shared" si="13"/>
        <v>60.521242705828733</v>
      </c>
      <c r="V11" s="2">
        <v>5</v>
      </c>
      <c r="X11" s="121">
        <f>Transport!$A24</f>
        <v>44409</v>
      </c>
      <c r="Y11" s="73">
        <f t="shared" si="0"/>
        <v>60.316068003487331</v>
      </c>
      <c r="Z11" s="15">
        <f t="shared" si="14"/>
        <v>4.0995985359564475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20.497992679782236</v>
      </c>
      <c r="AE11" s="127">
        <f t="shared" ca="1" si="18"/>
        <v>3.9505599224143735</v>
      </c>
      <c r="AF11" s="127">
        <f t="shared" ca="1" si="19"/>
        <v>51.964454753549852</v>
      </c>
      <c r="AH11" s="121">
        <f>Transport!$A24</f>
        <v>44409</v>
      </c>
      <c r="AI11" s="73">
        <f t="shared" si="20"/>
        <v>50.56411228030089</v>
      </c>
      <c r="AJ11" s="15">
        <f t="shared" si="21"/>
        <v>3.9232420811889681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19.616210405944841</v>
      </c>
      <c r="AO11" s="127">
        <f t="shared" ca="1" si="25"/>
        <v>3.982681415074901</v>
      </c>
      <c r="AP11" s="127">
        <f t="shared" ca="1" si="56"/>
        <v>53.660728175295205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3.8166210913645777</v>
      </c>
      <c r="AZ11" s="127">
        <f t="shared" ca="1" si="1"/>
        <v>45.450375906737044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4.0661702420546657</v>
      </c>
      <c r="BJ11" s="127">
        <f t="shared" ca="1" si="2"/>
        <v>58.333132480302702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3.1431260787844377</v>
      </c>
      <c r="BT11" s="127">
        <f t="shared" ca="1" si="3"/>
        <v>23.176204374224913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3.9861871156733759</v>
      </c>
      <c r="CI11" s="127">
        <f t="shared" ca="1" si="4"/>
        <v>53.849176751315085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60.316068003487331</v>
      </c>
      <c r="DT11" s="295">
        <f t="shared" ca="1" si="55"/>
        <v>53.660728175295205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-3.0559100933952976E-2</v>
      </c>
      <c r="F12" s="70">
        <f ca="1">+AS118</f>
        <v>-3.0559100933952976E-2</v>
      </c>
      <c r="G12" s="70">
        <f ca="1">+$AS$180</f>
        <v>-5.1499394256647291E-2</v>
      </c>
      <c r="H12" s="70">
        <f ca="1">+$AS$242</f>
        <v>-5.1499394256647291E-2</v>
      </c>
      <c r="J12" s="228">
        <f t="shared" si="7"/>
        <v>1</v>
      </c>
      <c r="K12" s="121">
        <f>Transport!$A25</f>
        <v>44440</v>
      </c>
      <c r="L12" s="73">
        <f>Transport!$F25</f>
        <v>47.366209964412811</v>
      </c>
      <c r="M12" s="574">
        <f>Transport!J25</f>
        <v>47.366209964412811</v>
      </c>
      <c r="N12" s="120"/>
      <c r="O12">
        <f t="shared" si="8"/>
        <v>1</v>
      </c>
      <c r="P12" s="241">
        <f t="shared" si="9"/>
        <v>57.633836708962804</v>
      </c>
      <c r="Q12" s="73">
        <f t="shared" si="10"/>
        <v>57.633836708962804</v>
      </c>
      <c r="S12">
        <f t="shared" si="11"/>
        <v>1</v>
      </c>
      <c r="T12" s="73">
        <f t="shared" si="12"/>
        <v>54.076775346491452</v>
      </c>
      <c r="U12" s="73">
        <f t="shared" si="13"/>
        <v>54.076775346491452</v>
      </c>
      <c r="V12" s="2">
        <v>6</v>
      </c>
      <c r="X12" s="121">
        <f>Transport!$A25</f>
        <v>44440</v>
      </c>
      <c r="Y12" s="73">
        <f t="shared" si="0"/>
        <v>47.366209964412811</v>
      </c>
      <c r="Z12" s="15">
        <f t="shared" si="14"/>
        <v>3.8579091045393308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23.147454627235984</v>
      </c>
      <c r="AE12" s="127">
        <f t="shared" ca="1" si="18"/>
        <v>3.9407362407809834</v>
      </c>
      <c r="AF12" s="127">
        <f t="shared" ca="1" si="19"/>
        <v>51.456471710865095</v>
      </c>
      <c r="AH12" s="121">
        <f>Transport!$A25</f>
        <v>44440</v>
      </c>
      <c r="AI12" s="73">
        <f t="shared" si="20"/>
        <v>57.633836708962804</v>
      </c>
      <c r="AJ12" s="15">
        <f t="shared" si="21"/>
        <v>4.0541098380887677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24.324659028532608</v>
      </c>
      <c r="AO12" s="127">
        <f t="shared" ca="1" si="25"/>
        <v>3.9717351738407731</v>
      </c>
      <c r="AP12" s="127">
        <f t="shared" ca="1" si="56"/>
        <v>53.076548021370769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3.8140347774997223</v>
      </c>
      <c r="AZ12" s="127">
        <f t="shared" ca="1" si="1"/>
        <v>45.332978847626656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4.0524993333346098</v>
      </c>
      <c r="BJ12" s="127">
        <f t="shared" ca="1" si="2"/>
        <v>57.541091844011859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3.166745270075038</v>
      </c>
      <c r="BT12" s="127">
        <f t="shared" ca="1" si="3"/>
        <v>23.730123387478177</v>
      </c>
      <c r="BW12" t="s">
        <v>1023</v>
      </c>
      <c r="BX12" s="582">
        <f>DATE(BY8,BX8,1)</f>
        <v>44682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3.9749205851669376</v>
      </c>
      <c r="CI12" s="127">
        <f t="shared" ca="1" si="4"/>
        <v>53.245888224503226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47.366209964412811</v>
      </c>
      <c r="DT12" s="295">
        <f t="shared" ca="1" si="55"/>
        <v>53.076548021370769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-0.15130118192780007</v>
      </c>
      <c r="F13" s="70">
        <f ca="1">+BC$118</f>
        <v>-0.15130118192780007</v>
      </c>
      <c r="G13" s="70">
        <f ca="1">+$BC$180</f>
        <v>-0.13046271876633242</v>
      </c>
      <c r="H13" s="70">
        <f ca="1">+$BC$242</f>
        <v>-0.13046271876633242</v>
      </c>
      <c r="J13" s="228">
        <f t="shared" si="7"/>
        <v>1</v>
      </c>
      <c r="K13" s="121">
        <f>Transport!$A26</f>
        <v>44470</v>
      </c>
      <c r="L13" s="73">
        <f>Transport!$F26</f>
        <v>65.219232158988262</v>
      </c>
      <c r="M13" s="574">
        <f>Transport!J26</f>
        <v>65.219232158988262</v>
      </c>
      <c r="N13" s="120"/>
      <c r="O13">
        <f t="shared" si="8"/>
        <v>1</v>
      </c>
      <c r="P13" s="241">
        <f t="shared" si="9"/>
        <v>56.421265595064227</v>
      </c>
      <c r="Q13" s="73">
        <f t="shared" si="10"/>
        <v>56.421265595064227</v>
      </c>
      <c r="S13">
        <f t="shared" si="11"/>
        <v>1</v>
      </c>
      <c r="T13" s="73">
        <f t="shared" si="12"/>
        <v>52.922063795715268</v>
      </c>
      <c r="U13" s="73">
        <f t="shared" si="13"/>
        <v>52.922063795715268</v>
      </c>
      <c r="V13" s="2">
        <v>7</v>
      </c>
      <c r="X13" s="121">
        <f>Transport!$A26</f>
        <v>44470</v>
      </c>
      <c r="Y13" s="73">
        <f t="shared" si="0"/>
        <v>65.219232158988262</v>
      </c>
      <c r="Z13" s="15">
        <f t="shared" si="14"/>
        <v>4.177754397200613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29.244280780404292</v>
      </c>
      <c r="AE13" s="127">
        <f t="shared" ca="1" si="18"/>
        <v>3.9309125591475933</v>
      </c>
      <c r="AF13" s="127">
        <f t="shared" ca="1" si="19"/>
        <v>50.953454500553235</v>
      </c>
      <c r="AH13" s="121">
        <f>Transport!$A26</f>
        <v>44470</v>
      </c>
      <c r="AI13" s="73">
        <f t="shared" si="20"/>
        <v>56.421265595064227</v>
      </c>
      <c r="AJ13" s="15">
        <f t="shared" si="21"/>
        <v>4.032846136996568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28.229922958975976</v>
      </c>
      <c r="AO13" s="127">
        <f t="shared" ca="1" si="25"/>
        <v>3.9607889326066448</v>
      </c>
      <c r="AP13" s="127">
        <f t="shared" ca="1" si="56"/>
        <v>52.498727573395961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3.8114484636348669</v>
      </c>
      <c r="AZ13" s="127">
        <f t="shared" ca="1" si="1"/>
        <v>45.215885021860608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4.0388284246145529</v>
      </c>
      <c r="BJ13" s="127">
        <f t="shared" ca="1" si="2"/>
        <v>56.75980544537051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3.1903644613656383</v>
      </c>
      <c r="BT13" s="127">
        <f t="shared" ca="1" si="3"/>
        <v>24.29728124986692</v>
      </c>
      <c r="BW13" t="s">
        <v>1024</v>
      </c>
      <c r="BX13" s="582">
        <f>DATE(BY9,BX9,1)</f>
        <v>45231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3.9636540546604992</v>
      </c>
      <c r="CI13" s="127">
        <f t="shared" ca="1" si="4"/>
        <v>52.649358520546976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65.219232158988262</v>
      </c>
      <c r="DT13" s="295">
        <f t="shared" ca="1" si="55"/>
        <v>52.498727573395961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0.32767633205650593</v>
      </c>
      <c r="F14" s="70">
        <f ca="1">+BM$118</f>
        <v>0.32767633205650593</v>
      </c>
      <c r="G14" s="70">
        <f ca="1">+$BM$180</f>
        <v>0.13760782633022606</v>
      </c>
      <c r="H14" s="70">
        <f ca="1">+$BM$242</f>
        <v>0.13760782633022606</v>
      </c>
      <c r="J14" s="228">
        <f t="shared" si="7"/>
        <v>1</v>
      </c>
      <c r="K14" s="121">
        <f>Transport!$A27</f>
        <v>44501</v>
      </c>
      <c r="L14" s="73">
        <f>Transport!$F27</f>
        <v>56.678354661791616</v>
      </c>
      <c r="M14" s="574">
        <f>Transport!J27</f>
        <v>56.678354661791616</v>
      </c>
      <c r="N14" s="120"/>
      <c r="O14">
        <f t="shared" si="8"/>
        <v>1</v>
      </c>
      <c r="P14" s="241">
        <f t="shared" si="9"/>
        <v>57.589438412682028</v>
      </c>
      <c r="Q14" s="73">
        <f t="shared" si="10"/>
        <v>57.589438412682028</v>
      </c>
      <c r="S14">
        <f t="shared" si="11"/>
        <v>1</v>
      </c>
      <c r="T14" s="73">
        <f t="shared" si="12"/>
        <v>50.380168600563898</v>
      </c>
      <c r="U14" s="73">
        <f t="shared" si="13"/>
        <v>50.380168600563898</v>
      </c>
      <c r="V14" s="2">
        <v>8</v>
      </c>
      <c r="X14" s="121">
        <f>Transport!$A27</f>
        <v>44501</v>
      </c>
      <c r="Y14" s="73">
        <f t="shared" si="0"/>
        <v>56.678354661791616</v>
      </c>
      <c r="Z14" s="15">
        <f t="shared" si="14"/>
        <v>4.0373923858512422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32.299139086809937</v>
      </c>
      <c r="AE14" s="127">
        <f t="shared" ca="1" si="18"/>
        <v>3.9210888775142037</v>
      </c>
      <c r="AF14" s="127">
        <f t="shared" ca="1" si="19"/>
        <v>50.45535457868845</v>
      </c>
      <c r="AH14" s="121">
        <f>Transport!$A27</f>
        <v>44501</v>
      </c>
      <c r="AI14" s="73">
        <f t="shared" si="20"/>
        <v>57.589438412682028</v>
      </c>
      <c r="AJ14" s="15">
        <f t="shared" si="21"/>
        <v>4.0533391899982449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32.42671351998596</v>
      </c>
      <c r="AO14" s="127">
        <f t="shared" ca="1" si="25"/>
        <v>3.9498426913725169</v>
      </c>
      <c r="AP14" s="127">
        <f t="shared" ca="1" si="56"/>
        <v>51.927197596119527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3.8088621497700115</v>
      </c>
      <c r="AZ14" s="127">
        <f t="shared" ca="1" si="1"/>
        <v>45.099093646195591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4.0251575158944961</v>
      </c>
      <c r="BJ14" s="127">
        <f t="shared" ca="1" si="2"/>
        <v>55.989127264563422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3.2139836526562386</v>
      </c>
      <c r="BT14" s="127">
        <f t="shared" ca="1" si="3"/>
        <v>24.877994374300329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3.9523875241540614</v>
      </c>
      <c r="CI14" s="127">
        <f t="shared" ca="1" si="4"/>
        <v>52.059511918320631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56.678354661791616</v>
      </c>
      <c r="DT14" s="295">
        <f t="shared" ca="1" si="55"/>
        <v>51.927197596119527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50.870728417266207</v>
      </c>
      <c r="M15" s="574">
        <f>Transport!J28</f>
        <v>50.870728417266207</v>
      </c>
      <c r="N15" s="120"/>
      <c r="O15">
        <f t="shared" si="8"/>
        <v>1</v>
      </c>
      <c r="P15" s="241">
        <f t="shared" si="9"/>
        <v>48.210290882467717</v>
      </c>
      <c r="Q15" s="73">
        <f t="shared" si="10"/>
        <v>48.210290882467717</v>
      </c>
      <c r="S15">
        <f t="shared" si="11"/>
        <v>1</v>
      </c>
      <c r="T15" s="73">
        <f t="shared" si="12"/>
        <v>48.640650662150392</v>
      </c>
      <c r="U15" s="73">
        <f t="shared" si="13"/>
        <v>48.640650662150392</v>
      </c>
      <c r="V15" s="2">
        <v>9</v>
      </c>
      <c r="X15" s="121">
        <f>Transport!$A28</f>
        <v>44531</v>
      </c>
      <c r="Y15" s="73">
        <f t="shared" si="0"/>
        <v>50.870728417266207</v>
      </c>
      <c r="Z15" s="15">
        <f t="shared" si="14"/>
        <v>3.9292876779235488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35.363589101311938</v>
      </c>
      <c r="AE15" s="127">
        <f t="shared" ca="1" si="18"/>
        <v>3.9112651958808136</v>
      </c>
      <c r="AF15" s="127">
        <f t="shared" ca="1" si="19"/>
        <v>49.962123875890221</v>
      </c>
      <c r="AH15" s="121">
        <f>Transport!$A28</f>
        <v>44531</v>
      </c>
      <c r="AI15" s="73">
        <f t="shared" si="20"/>
        <v>48.210290882467717</v>
      </c>
      <c r="AJ15" s="15">
        <f t="shared" si="21"/>
        <v>3.8755725020535023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34.880152518481523</v>
      </c>
      <c r="AO15" s="127">
        <f t="shared" ca="1" si="25"/>
        <v>3.9388964501383885</v>
      </c>
      <c r="AP15" s="127">
        <f t="shared" ca="1" si="56"/>
        <v>51.36188960802307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3.8062758359051561</v>
      </c>
      <c r="AZ15" s="127">
        <f t="shared" ca="1" si="1"/>
        <v>44.982603939411391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4.0114866071744393</v>
      </c>
      <c r="BJ15" s="127">
        <f t="shared" ca="1" si="2"/>
        <v>55.228913264415723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3.2376028439468389</v>
      </c>
      <c r="BT15" s="127">
        <f t="shared" ca="1" si="3"/>
        <v>25.472586736061615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3.941120993647623</v>
      </c>
      <c r="CI15" s="127">
        <f t="shared" ca="1" si="4"/>
        <v>51.476273545024959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50.870728417266207</v>
      </c>
      <c r="DT15" s="295">
        <f t="shared" ca="1" si="55"/>
        <v>51.36188960802307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37.081789568345329</v>
      </c>
      <c r="M16" s="574">
        <f>Transport!J29</f>
        <v>37.081789568345329</v>
      </c>
      <c r="N16" s="120"/>
      <c r="O16">
        <f t="shared" si="8"/>
        <v>1</v>
      </c>
      <c r="P16" s="241">
        <f t="shared" si="9"/>
        <v>44.339071606063577</v>
      </c>
      <c r="Q16" s="73">
        <f t="shared" si="10"/>
        <v>44.339071606063577</v>
      </c>
      <c r="S16">
        <f t="shared" si="11"/>
        <v>1</v>
      </c>
      <c r="T16" s="73">
        <f t="shared" si="12"/>
        <v>44.437737273503167</v>
      </c>
      <c r="U16" s="73">
        <f t="shared" si="13"/>
        <v>44.437737273503167</v>
      </c>
      <c r="V16" s="2">
        <v>10</v>
      </c>
      <c r="X16" s="121">
        <f>Transport!$A29</f>
        <v>44562</v>
      </c>
      <c r="Y16" s="73">
        <f t="shared" si="0"/>
        <v>37.081789568345329</v>
      </c>
      <c r="Z16" s="15">
        <f t="shared" si="14"/>
        <v>3.6131260018940492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36.131260018940495</v>
      </c>
      <c r="AE16" s="127">
        <f t="shared" ca="1" si="18"/>
        <v>3.9014415142474235</v>
      </c>
      <c r="AF16" s="127">
        <f t="shared" ca="1" si="19"/>
        <v>49.473714792684476</v>
      </c>
      <c r="AH16" s="121">
        <f>Transport!$A29</f>
        <v>44562</v>
      </c>
      <c r="AI16" s="73">
        <f t="shared" si="20"/>
        <v>44.339071606063577</v>
      </c>
      <c r="AJ16" s="15">
        <f t="shared" si="21"/>
        <v>3.7918662659009317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37.918662659009314</v>
      </c>
      <c r="AO16" s="127">
        <f t="shared" ca="1" si="25"/>
        <v>3.9279502089042606</v>
      </c>
      <c r="AP16" s="127">
        <f t="shared" ca="1" si="56"/>
        <v>50.802735873115708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3.8036895220403011</v>
      </c>
      <c r="AZ16" s="127">
        <f t="shared" ca="1" si="1"/>
        <v>44.866415122305689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3.9978156984543829</v>
      </c>
      <c r="BJ16" s="127">
        <f t="shared" ca="1" si="2"/>
        <v>54.479021363472945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3.2612220352374388</v>
      </c>
      <c r="BT16" s="127">
        <f t="shared" ca="1" si="3"/>
        <v>26.081390053551303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3.9298544631411847</v>
      </c>
      <c r="CI16" s="127">
        <f t="shared" ca="1" si="4"/>
        <v>50.899569366683288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37.081789568345329</v>
      </c>
      <c r="DT16" s="295">
        <f t="shared" ca="1" si="55"/>
        <v>50.802735873115708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45.064696832579187</v>
      </c>
      <c r="M17" s="574">
        <f>Transport!J30</f>
        <v>45.064696832579187</v>
      </c>
      <c r="N17" s="120"/>
      <c r="O17">
        <f t="shared" si="8"/>
        <v>1</v>
      </c>
      <c r="P17" s="241">
        <f t="shared" si="9"/>
        <v>39.691862911618763</v>
      </c>
      <c r="Q17" s="73">
        <f t="shared" si="10"/>
        <v>39.691862911618763</v>
      </c>
      <c r="S17">
        <f t="shared" si="11"/>
        <v>1</v>
      </c>
      <c r="T17" s="73">
        <f t="shared" si="12"/>
        <v>41.43325922780074</v>
      </c>
      <c r="U17" s="73">
        <f t="shared" si="13"/>
        <v>41.43325922780074</v>
      </c>
      <c r="V17" s="2">
        <v>11</v>
      </c>
      <c r="X17" s="121">
        <f>Transport!$A30</f>
        <v>44593</v>
      </c>
      <c r="Y17" s="73">
        <f t="shared" si="0"/>
        <v>45.064696832579187</v>
      </c>
      <c r="Z17" s="15">
        <f t="shared" si="14"/>
        <v>3.8080991646492124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41.889090811141337</v>
      </c>
      <c r="AE17" s="127">
        <f t="shared" ca="1" si="18"/>
        <v>3.8916178326140334</v>
      </c>
      <c r="AF17" s="127">
        <f t="shared" ca="1" si="19"/>
        <v>48.99008019490995</v>
      </c>
      <c r="AH17" s="121">
        <f>Transport!$A30</f>
        <v>44593</v>
      </c>
      <c r="AI17" s="73">
        <f t="shared" si="20"/>
        <v>39.691862911618763</v>
      </c>
      <c r="AJ17" s="15">
        <f t="shared" si="21"/>
        <v>3.6811462022422106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40.492608224664316</v>
      </c>
      <c r="AO17" s="127">
        <f t="shared" ca="1" si="25"/>
        <v>3.9170039676701323</v>
      </c>
      <c r="AP17" s="127">
        <f t="shared" ca="1" si="56"/>
        <v>50.249669392817673</v>
      </c>
      <c r="AR17" s="121">
        <f>Transport!$A30</f>
        <v>44593</v>
      </c>
      <c r="AS17" s="73">
        <f t="shared" ref="AS17:AS40" si="57">$P17</f>
        <v>39.691862911618763</v>
      </c>
      <c r="AT17" s="15">
        <f t="shared" si="26"/>
        <v>3.6811462022422106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40.492608224664316</v>
      </c>
      <c r="AY17" s="127">
        <f t="shared" ca="1" si="30"/>
        <v>3.8011032081754457</v>
      </c>
      <c r="AZ17" s="127">
        <f t="shared" ca="1" si="1"/>
        <v>44.750526417688754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3.9841447897343265</v>
      </c>
      <c r="BJ17" s="127">
        <f t="shared" ca="1" si="2"/>
        <v>53.739311409446401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3.2848412265280391</v>
      </c>
      <c r="BT17" s="127">
        <f t="shared" ca="1" si="3"/>
        <v>26.704743973350336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3.9185879326347464</v>
      </c>
      <c r="CI17" s="127">
        <f t="shared" ca="1" si="4"/>
        <v>50.329326178743848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45.064696832579187</v>
      </c>
      <c r="DT17" s="295">
        <f t="shared" ca="1" si="55"/>
        <v>50.249669392817673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36.92910233393178</v>
      </c>
      <c r="M18" s="574">
        <f>Transport!J31</f>
        <v>36.92910233393178</v>
      </c>
      <c r="N18" s="120"/>
      <c r="O18">
        <f t="shared" si="8"/>
        <v>1</v>
      </c>
      <c r="P18" s="241">
        <f t="shared" si="9"/>
        <v>40.66518366453861</v>
      </c>
      <c r="Q18" s="73">
        <f t="shared" si="10"/>
        <v>40.66518366453861</v>
      </c>
      <c r="S18">
        <f t="shared" si="11"/>
        <v>1</v>
      </c>
      <c r="T18" s="73">
        <f t="shared" si="12"/>
        <v>40.633633165262971</v>
      </c>
      <c r="U18" s="73">
        <f t="shared" si="13"/>
        <v>40.633633165262971</v>
      </c>
      <c r="V18" s="2">
        <v>12</v>
      </c>
      <c r="X18" s="121">
        <f>Transport!$A31</f>
        <v>44621</v>
      </c>
      <c r="Y18" s="73">
        <f t="shared" si="0"/>
        <v>36.92910233393178</v>
      </c>
      <c r="Z18" s="15">
        <f t="shared" si="14"/>
        <v>3.6089999213373045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43.307999056047656</v>
      </c>
      <c r="AE18" s="127">
        <f t="shared" ca="1" si="18"/>
        <v>3.8817941509806433</v>
      </c>
      <c r="AF18" s="127">
        <f t="shared" ca="1" si="19"/>
        <v>48.511173409169444</v>
      </c>
      <c r="AH18" s="121">
        <f>Transport!$A31</f>
        <v>44621</v>
      </c>
      <c r="AI18" s="73">
        <f t="shared" si="20"/>
        <v>40.66518366453861</v>
      </c>
      <c r="AJ18" s="15">
        <f t="shared" si="21"/>
        <v>3.7053722881347562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44.464467457617076</v>
      </c>
      <c r="AO18" s="127">
        <f t="shared" ca="1" si="25"/>
        <v>3.9060577264360044</v>
      </c>
      <c r="AP18" s="127">
        <f t="shared" ca="1" si="56"/>
        <v>49.70262389793259</v>
      </c>
      <c r="AR18" s="121">
        <f>Transport!$A31</f>
        <v>44621</v>
      </c>
      <c r="AS18" s="73">
        <f t="shared" si="57"/>
        <v>40.66518366453861</v>
      </c>
      <c r="AT18" s="15">
        <f t="shared" si="26"/>
        <v>3.7053722881347562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44.464467457617076</v>
      </c>
      <c r="AY18" s="127">
        <f t="shared" ca="1" si="30"/>
        <v>3.7985168943105903</v>
      </c>
      <c r="AZ18" s="127">
        <f t="shared" ca="1" si="1"/>
        <v>44.634937050378376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3.9704738810142697</v>
      </c>
      <c r="BJ18" s="127">
        <f t="shared" ca="1" si="2"/>
        <v>53.009645153019228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3.3084604178186394</v>
      </c>
      <c r="BT18" s="127">
        <f t="shared" ca="1" si="3"/>
        <v>27.342996259706176</v>
      </c>
      <c r="BZ18" s="583">
        <f t="shared" si="42"/>
        <v>0</v>
      </c>
      <c r="CA18" s="121">
        <f>Transport!$A31</f>
        <v>44621</v>
      </c>
      <c r="CB18" s="73">
        <f t="shared" si="43"/>
        <v>0</v>
      </c>
      <c r="CC18" s="15">
        <f t="shared" si="44"/>
        <v>0</v>
      </c>
      <c r="CD18" s="98">
        <f t="shared" si="45"/>
        <v>0</v>
      </c>
      <c r="CE18" s="128">
        <f>IF(CD18&gt;0,12,0)</f>
        <v>0</v>
      </c>
      <c r="CF18" s="128">
        <f t="shared" si="46"/>
        <v>0</v>
      </c>
      <c r="CG18" s="15">
        <f t="shared" si="47"/>
        <v>0</v>
      </c>
      <c r="CH18" s="127">
        <f t="shared" ca="1" si="48"/>
        <v>3.907321402128308</v>
      </c>
      <c r="CI18" s="127">
        <f t="shared" ca="1" si="4"/>
        <v>49.765471596787464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36.92910233393178</v>
      </c>
      <c r="DT18" s="295">
        <f t="shared" ca="1" si="55"/>
        <v>49.70262389793259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40.001751827104876</v>
      </c>
      <c r="M19" s="574">
        <f>Transport!J32</f>
        <v>40.001751827104876</v>
      </c>
      <c r="N19" s="120"/>
      <c r="O19">
        <f t="shared" si="8"/>
        <v>1</v>
      </c>
      <c r="P19" s="241">
        <f t="shared" si="9"/>
        <v>38.527446849537903</v>
      </c>
      <c r="Q19" s="73">
        <f t="shared" si="10"/>
        <v>38.527446849537903</v>
      </c>
      <c r="S19">
        <f t="shared" si="11"/>
        <v>1</v>
      </c>
      <c r="T19" s="73">
        <f t="shared" si="12"/>
        <v>42.106135998577123</v>
      </c>
      <c r="U19" s="73">
        <f t="shared" si="13"/>
        <v>42.106135998577123</v>
      </c>
      <c r="V19" s="2">
        <v>13</v>
      </c>
      <c r="X19" s="121">
        <f>Transport!$A32</f>
        <v>44652</v>
      </c>
      <c r="Y19" s="73">
        <f t="shared" si="0"/>
        <v>40.001751827104876</v>
      </c>
      <c r="Z19" s="15">
        <f t="shared" si="14"/>
        <v>3.6889232488325554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47.956002234823217</v>
      </c>
      <c r="AE19" s="127">
        <f t="shared" ca="1" si="18"/>
        <v>3.8719704693472532</v>
      </c>
      <c r="AF19" s="127">
        <f t="shared" ca="1" si="19"/>
        <v>48.036948218325612</v>
      </c>
      <c r="AH19" s="121">
        <f>Transport!$A32</f>
        <v>44652</v>
      </c>
      <c r="AI19" s="73">
        <f t="shared" si="20"/>
        <v>38.527446849537903</v>
      </c>
      <c r="AJ19" s="15">
        <f t="shared" si="21"/>
        <v>3.651370892480351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47.467821602244562</v>
      </c>
      <c r="AO19" s="127">
        <f t="shared" ca="1" si="25"/>
        <v>3.895111485201876</v>
      </c>
      <c r="AP19" s="127">
        <f t="shared" ca="1" si="56"/>
        <v>49.16153384070688</v>
      </c>
      <c r="AR19" s="121">
        <f>Transport!$A32</f>
        <v>44652</v>
      </c>
      <c r="AS19" s="73">
        <f t="shared" si="57"/>
        <v>38.527446849537903</v>
      </c>
      <c r="AT19" s="15">
        <f t="shared" si="26"/>
        <v>3.651370892480351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47.467821602244562</v>
      </c>
      <c r="AY19" s="127">
        <f t="shared" ca="1" si="30"/>
        <v>3.7959305804457348</v>
      </c>
      <c r="AZ19" s="127">
        <f t="shared" ca="1" si="1"/>
        <v>44.519646247194615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3.9568029722942133</v>
      </c>
      <c r="BJ19" s="127">
        <f t="shared" ca="1" si="2"/>
        <v>52.28988622200815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3.3320796091092397</v>
      </c>
      <c r="BT19" s="127">
        <f t="shared" ca="1" si="3"/>
        <v>27.996502988547778</v>
      </c>
      <c r="BZ19" s="583">
        <f t="shared" si="42"/>
        <v>0</v>
      </c>
      <c r="CA19" s="121">
        <f>Transport!$A32</f>
        <v>44652</v>
      </c>
      <c r="CB19" s="73">
        <f t="shared" si="43"/>
        <v>0</v>
      </c>
      <c r="CC19" s="15">
        <f t="shared" si="44"/>
        <v>0</v>
      </c>
      <c r="CD19" s="98">
        <f t="shared" si="45"/>
        <v>0</v>
      </c>
      <c r="CE19" s="128">
        <f>IF(CD19&gt;0,13,0)</f>
        <v>0</v>
      </c>
      <c r="CF19" s="128">
        <f t="shared" si="46"/>
        <v>0</v>
      </c>
      <c r="CG19" s="15">
        <f t="shared" si="47"/>
        <v>0</v>
      </c>
      <c r="CH19" s="127">
        <f t="shared" ca="1" si="48"/>
        <v>3.8960548716218701</v>
      </c>
      <c r="CI19" s="127">
        <f t="shared" ca="1" si="4"/>
        <v>49.207934047339428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40.001751827104876</v>
      </c>
      <c r="DT19" s="295">
        <f t="shared" ca="1" si="55"/>
        <v>49.16153384070688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40.001751827104876</v>
      </c>
      <c r="EA19" s="127">
        <f ca="1">+AZ19</f>
        <v>44.519646247194615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38.651486387577066</v>
      </c>
      <c r="M20" s="574">
        <f>Transport!J33</f>
        <v>38.651486387577066</v>
      </c>
      <c r="N20" s="120"/>
      <c r="O20">
        <f t="shared" si="8"/>
        <v>1</v>
      </c>
      <c r="P20" s="241">
        <f t="shared" si="9"/>
        <v>41.575403418907172</v>
      </c>
      <c r="Q20" s="73">
        <f t="shared" si="10"/>
        <v>41.575403418907172</v>
      </c>
      <c r="S20">
        <f t="shared" si="11"/>
        <v>1</v>
      </c>
      <c r="T20" s="73">
        <f t="shared" si="12"/>
        <v>42.224036231560753</v>
      </c>
      <c r="U20" s="73">
        <f t="shared" si="13"/>
        <v>42.224036231560753</v>
      </c>
      <c r="V20" s="2">
        <v>14</v>
      </c>
      <c r="X20" s="121">
        <f>Transport!$A33</f>
        <v>44682</v>
      </c>
      <c r="Y20" s="73">
        <f t="shared" si="0"/>
        <v>38.651486387577066</v>
      </c>
      <c r="Z20" s="15">
        <f t="shared" si="14"/>
        <v>3.6545852319285492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51.164193246999687</v>
      </c>
      <c r="AE20" s="127">
        <f t="shared" ca="1" si="18"/>
        <v>3.8621467877138631</v>
      </c>
      <c r="AF20" s="127">
        <f t="shared" ca="1" si="19"/>
        <v>47.567358857040759</v>
      </c>
      <c r="AH20" s="121">
        <f>Transport!$A33</f>
        <v>44682</v>
      </c>
      <c r="AI20" s="73">
        <f t="shared" si="20"/>
        <v>41.575403418907172</v>
      </c>
      <c r="AJ20" s="15">
        <f t="shared" si="21"/>
        <v>3.7275087284331687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52.185122198064363</v>
      </c>
      <c r="AO20" s="127">
        <f t="shared" ca="1" si="25"/>
        <v>3.8841652439677481</v>
      </c>
      <c r="AP20" s="127">
        <f t="shared" ca="1" si="56"/>
        <v>48.626334386975884</v>
      </c>
      <c r="AR20" s="121">
        <f>Transport!$A33</f>
        <v>44682</v>
      </c>
      <c r="AS20" s="73">
        <f t="shared" si="57"/>
        <v>41.575403418907172</v>
      </c>
      <c r="AT20" s="15">
        <f t="shared" si="26"/>
        <v>3.7275087284331687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52.185122198064363</v>
      </c>
      <c r="AY20" s="127">
        <f t="shared" ca="1" si="30"/>
        <v>3.7933442665808794</v>
      </c>
      <c r="AZ20" s="127">
        <f t="shared" ref="AZ20:AZ42" ca="1" si="59">EXP(AY20)</f>
        <v>44.404653236954609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3.9431320635741565</v>
      </c>
      <c r="BJ20" s="127">
        <f t="shared" ca="1" si="2"/>
        <v>51.57990009587575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3.35569880039984</v>
      </c>
      <c r="BT20" s="127">
        <f t="shared" ca="1" si="3"/>
        <v>28.665628746137543</v>
      </c>
      <c r="BZ20" s="583">
        <f t="shared" si="42"/>
        <v>1</v>
      </c>
      <c r="CA20" s="121">
        <f>Transport!$A33</f>
        <v>44682</v>
      </c>
      <c r="CB20" s="73">
        <f t="shared" si="43"/>
        <v>41.575403418907172</v>
      </c>
      <c r="CC20" s="15">
        <f t="shared" si="44"/>
        <v>3.7275087284331687</v>
      </c>
      <c r="CD20" s="98">
        <f t="shared" si="45"/>
        <v>1</v>
      </c>
      <c r="CE20" s="128">
        <f>IF(CD20&gt;0,14,0)</f>
        <v>14</v>
      </c>
      <c r="CF20" s="128">
        <f t="shared" si="46"/>
        <v>196</v>
      </c>
      <c r="CG20" s="15">
        <f t="shared" si="47"/>
        <v>52.185122198064363</v>
      </c>
      <c r="CH20" s="127">
        <f t="shared" ca="1" si="48"/>
        <v>3.8847883411154318</v>
      </c>
      <c r="CI20" s="127">
        <f t="shared" ca="1" si="4"/>
        <v>48.65664275878413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38.651486387577066</v>
      </c>
      <c r="DT20" s="295">
        <f t="shared" ca="1" si="55"/>
        <v>48.626334386975884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38.651486387577066</v>
      </c>
      <c r="EA20" s="127">
        <f t="shared" ref="EA20:EA41" ca="1" si="61">+AZ20</f>
        <v>44.404653236954609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46.072972042039574</v>
      </c>
      <c r="M21" s="574">
        <f>Transport!J34</f>
        <v>46.072972042039574</v>
      </c>
      <c r="N21" s="120"/>
      <c r="O21">
        <f t="shared" si="8"/>
        <v>1</v>
      </c>
      <c r="P21" s="241">
        <f t="shared" si="9"/>
        <v>43.547088332615637</v>
      </c>
      <c r="Q21" s="73">
        <f t="shared" si="10"/>
        <v>43.547088332615637</v>
      </c>
      <c r="S21">
        <f t="shared" si="11"/>
        <v>1</v>
      </c>
      <c r="T21" s="73">
        <f t="shared" si="12"/>
        <v>46.839594654292881</v>
      </c>
      <c r="U21" s="73">
        <f t="shared" si="13"/>
        <v>46.839594654292881</v>
      </c>
      <c r="V21" s="2">
        <v>15</v>
      </c>
      <c r="X21" s="121">
        <f>Transport!$A34</f>
        <v>44713</v>
      </c>
      <c r="Y21" s="73">
        <f t="shared" si="0"/>
        <v>46.072972042039574</v>
      </c>
      <c r="Z21" s="15">
        <f t="shared" si="14"/>
        <v>3.8302264883070256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57.453397324605383</v>
      </c>
      <c r="AE21" s="127">
        <f t="shared" ca="1" si="18"/>
        <v>3.852323106080473</v>
      </c>
      <c r="AF21" s="127">
        <f t="shared" ca="1" si="19"/>
        <v>47.102360007360211</v>
      </c>
      <c r="AH21" s="121">
        <f>Transport!$A34</f>
        <v>44713</v>
      </c>
      <c r="AI21" s="73">
        <f t="shared" si="20"/>
        <v>43.547088332615637</v>
      </c>
      <c r="AJ21" s="15">
        <f t="shared" si="21"/>
        <v>3.7738428430293296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56.607642645439945</v>
      </c>
      <c r="AO21" s="127">
        <f t="shared" ca="1" si="25"/>
        <v>3.8732190027336197</v>
      </c>
      <c r="AP21" s="127">
        <f t="shared" ca="1" si="56"/>
        <v>48.096961408395174</v>
      </c>
      <c r="AR21" s="121">
        <f>Transport!$A34</f>
        <v>44713</v>
      </c>
      <c r="AS21" s="73">
        <f t="shared" si="57"/>
        <v>43.547088332615637</v>
      </c>
      <c r="AT21" s="15">
        <f t="shared" si="26"/>
        <v>3.7738428430293296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56.607642645439945</v>
      </c>
      <c r="AY21" s="127">
        <f t="shared" ca="1" si="30"/>
        <v>3.790757952716024</v>
      </c>
      <c r="AZ21" s="127">
        <f t="shared" ca="1" si="59"/>
        <v>44.289957250467452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3.9294611548541001</v>
      </c>
      <c r="BJ21" s="127">
        <f t="shared" ca="1" si="2"/>
        <v>50.879554080589294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3.3793179916904403</v>
      </c>
      <c r="BT21" s="127">
        <f t="shared" ca="1" si="3"/>
        <v>29.35074683247112</v>
      </c>
      <c r="BZ21" s="583">
        <f t="shared" si="42"/>
        <v>1</v>
      </c>
      <c r="CA21" s="121">
        <f>Transport!$A34</f>
        <v>44713</v>
      </c>
      <c r="CB21" s="73">
        <f t="shared" si="43"/>
        <v>43.547088332615637</v>
      </c>
      <c r="CC21" s="15">
        <f t="shared" si="44"/>
        <v>3.7738428430293296</v>
      </c>
      <c r="CD21" s="98">
        <f t="shared" si="45"/>
        <v>1</v>
      </c>
      <c r="CE21" s="128">
        <f>IF(CD21&gt;0,15,0)</f>
        <v>15</v>
      </c>
      <c r="CF21" s="128">
        <f t="shared" si="46"/>
        <v>225</v>
      </c>
      <c r="CG21" s="15">
        <f t="shared" si="47"/>
        <v>56.607642645439945</v>
      </c>
      <c r="CH21" s="127">
        <f t="shared" ca="1" si="48"/>
        <v>3.8735218106089935</v>
      </c>
      <c r="CI21" s="127">
        <f t="shared" ca="1" si="4"/>
        <v>48.111527752381718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46.072972042039574</v>
      </c>
      <c r="DT21" s="295">
        <f t="shared" ca="1" si="55"/>
        <v>48.096961408395174</v>
      </c>
      <c r="DX21" s="280">
        <f>Transport!$A34</f>
        <v>44713</v>
      </c>
      <c r="DY21" s="13">
        <f t="shared" si="58"/>
        <v>1</v>
      </c>
      <c r="DZ21" s="281">
        <f t="shared" si="60"/>
        <v>46.072972042039574</v>
      </c>
      <c r="EA21" s="127">
        <f t="shared" ca="1" si="61"/>
        <v>44.289957250467452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45.916806568230278</v>
      </c>
      <c r="M22" s="574">
        <f>Transport!J35</f>
        <v>45.916806568230278</v>
      </c>
      <c r="N22" s="120"/>
      <c r="O22">
        <f t="shared" si="8"/>
        <v>1</v>
      </c>
      <c r="P22" s="241">
        <f t="shared" si="9"/>
        <v>45.92062561358361</v>
      </c>
      <c r="Q22" s="73">
        <f t="shared" si="10"/>
        <v>45.92062561358361</v>
      </c>
      <c r="S22">
        <f t="shared" si="11"/>
        <v>1</v>
      </c>
      <c r="T22" s="73">
        <f t="shared" si="12"/>
        <v>49.906110414608172</v>
      </c>
      <c r="U22" s="73">
        <f t="shared" si="13"/>
        <v>49.906110414608172</v>
      </c>
      <c r="V22" s="2">
        <v>16</v>
      </c>
      <c r="X22" s="121">
        <f>Transport!$A35</f>
        <v>44743</v>
      </c>
      <c r="Y22" s="73">
        <f t="shared" si="0"/>
        <v>45.916806568230278</v>
      </c>
      <c r="Z22" s="15">
        <f t="shared" si="14"/>
        <v>3.8268312062182823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61.229299299492517</v>
      </c>
      <c r="AE22" s="127">
        <f t="shared" ca="1" si="18"/>
        <v>3.8424994244470829</v>
      </c>
      <c r="AF22" s="127">
        <f t="shared" ca="1" si="19"/>
        <v>46.641906794338922</v>
      </c>
      <c r="AH22" s="121">
        <f>Transport!$A35</f>
        <v>44743</v>
      </c>
      <c r="AI22" s="73">
        <f t="shared" si="20"/>
        <v>45.92062561358361</v>
      </c>
      <c r="AJ22" s="15">
        <f t="shared" si="21"/>
        <v>3.8269143759076956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61.230630014523129</v>
      </c>
      <c r="AO22" s="127">
        <f t="shared" ca="1" si="25"/>
        <v>3.8622727614994918</v>
      </c>
      <c r="AP22" s="127">
        <f t="shared" ca="1" si="56"/>
        <v>47.573351474756784</v>
      </c>
      <c r="AR22" s="121">
        <f>Transport!$A35</f>
        <v>44743</v>
      </c>
      <c r="AS22" s="73">
        <f t="shared" si="57"/>
        <v>45.92062561358361</v>
      </c>
      <c r="AT22" s="15">
        <f t="shared" si="26"/>
        <v>3.8269143759076956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61.230630014523129</v>
      </c>
      <c r="AY22" s="127">
        <f t="shared" ca="1" si="30"/>
        <v>3.7881716388511686</v>
      </c>
      <c r="AZ22" s="127">
        <f t="shared" ca="1" si="59"/>
        <v>44.175557520529047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3.9157902461340433</v>
      </c>
      <c r="BJ22" s="127">
        <f t="shared" ca="1" si="2"/>
        <v>50.188717283820417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3.4029371829810406</v>
      </c>
      <c r="BT22" s="127">
        <f t="shared" ca="1" si="3"/>
        <v>30.052239469538552</v>
      </c>
      <c r="BZ22" s="583">
        <f t="shared" si="42"/>
        <v>1</v>
      </c>
      <c r="CA22" s="121">
        <f>Transport!$A35</f>
        <v>44743</v>
      </c>
      <c r="CB22" s="73">
        <f t="shared" si="43"/>
        <v>45.92062561358361</v>
      </c>
      <c r="CC22" s="15">
        <f t="shared" si="44"/>
        <v>3.8269143759076956</v>
      </c>
      <c r="CD22" s="98">
        <f t="shared" si="45"/>
        <v>1</v>
      </c>
      <c r="CE22" s="128">
        <f>IF(CD22&gt;0,16,0)</f>
        <v>16</v>
      </c>
      <c r="CF22" s="128">
        <f t="shared" si="46"/>
        <v>256</v>
      </c>
      <c r="CG22" s="15">
        <f t="shared" si="47"/>
        <v>61.230630014523129</v>
      </c>
      <c r="CH22" s="127">
        <f t="shared" ca="1" si="48"/>
        <v>3.8622552801025551</v>
      </c>
      <c r="CI22" s="127">
        <f t="shared" ca="1" si="4"/>
        <v>47.572519833385194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45.916806568230278</v>
      </c>
      <c r="DT22" s="295">
        <f t="shared" ca="1" si="55"/>
        <v>47.573351474756784</v>
      </c>
      <c r="DX22" s="280">
        <f>Transport!$A35</f>
        <v>44743</v>
      </c>
      <c r="DY22" s="13">
        <f t="shared" si="58"/>
        <v>1</v>
      </c>
      <c r="DZ22" s="281">
        <f t="shared" si="60"/>
        <v>45.916806568230278</v>
      </c>
      <c r="EA22" s="127">
        <f t="shared" ca="1" si="61"/>
        <v>44.175557520529047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45.772098230480971</v>
      </c>
      <c r="M23" s="574">
        <f>Transport!J36</f>
        <v>45.772098230480971</v>
      </c>
      <c r="N23" s="120"/>
      <c r="O23">
        <f t="shared" si="8"/>
        <v>1</v>
      </c>
      <c r="P23" s="241">
        <f t="shared" si="9"/>
        <v>52.103785889678591</v>
      </c>
      <c r="Q23" s="73">
        <f t="shared" si="10"/>
        <v>52.103785889678591</v>
      </c>
      <c r="S23">
        <f t="shared" si="11"/>
        <v>1</v>
      </c>
      <c r="T23" s="73">
        <f t="shared" si="12"/>
        <v>50.746250010747154</v>
      </c>
      <c r="U23" s="73">
        <f t="shared" si="13"/>
        <v>50.746250010747154</v>
      </c>
      <c r="V23" s="2">
        <v>17</v>
      </c>
      <c r="X23" s="121">
        <f>Transport!$A36</f>
        <v>44774</v>
      </c>
      <c r="Y23" s="73">
        <f t="shared" si="0"/>
        <v>45.772098230480971</v>
      </c>
      <c r="Z23" s="15">
        <f t="shared" si="14"/>
        <v>3.823674696535508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65.002469841103633</v>
      </c>
      <c r="AE23" s="127">
        <f t="shared" ca="1" si="18"/>
        <v>3.8326757428136928</v>
      </c>
      <c r="AF23" s="127">
        <f t="shared" ca="1" si="19"/>
        <v>46.185954781710741</v>
      </c>
      <c r="AH23" s="121">
        <f>Transport!$A36</f>
        <v>44774</v>
      </c>
      <c r="AI23" s="73">
        <f t="shared" si="20"/>
        <v>52.103785889678591</v>
      </c>
      <c r="AJ23" s="15">
        <f t="shared" si="21"/>
        <v>3.9532376119480515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67.205039403116871</v>
      </c>
      <c r="AO23" s="127">
        <f t="shared" ca="1" si="25"/>
        <v>3.8513265202653635</v>
      </c>
      <c r="AP23" s="127">
        <f t="shared" ca="1" si="56"/>
        <v>47.055441846388739</v>
      </c>
      <c r="AR23" s="121">
        <f>Transport!$A36</f>
        <v>44774</v>
      </c>
      <c r="AS23" s="73">
        <f t="shared" si="57"/>
        <v>52.103785889678591</v>
      </c>
      <c r="AT23" s="15">
        <f t="shared" si="26"/>
        <v>3.9532376119480515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67.205039403116871</v>
      </c>
      <c r="AY23" s="127">
        <f t="shared" ca="1" si="30"/>
        <v>3.7855853249863136</v>
      </c>
      <c r="AZ23" s="127">
        <f t="shared" ca="1" si="59"/>
        <v>44.061453281916968</v>
      </c>
      <c r="BB23" s="121">
        <f>Transport!$A36</f>
        <v>44774</v>
      </c>
      <c r="BC23" s="73">
        <f t="shared" ref="BC23:BC40" si="62">$P23</f>
        <v>52.103785889678591</v>
      </c>
      <c r="BD23" s="15">
        <f t="shared" si="31"/>
        <v>3.9532376119480515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67.205039403116871</v>
      </c>
      <c r="BI23" s="127">
        <f t="shared" ca="1" si="35"/>
        <v>3.9021193374139869</v>
      </c>
      <c r="BJ23" s="127">
        <f t="shared" ca="1" si="2"/>
        <v>49.507260590481984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3.4265563742716405</v>
      </c>
      <c r="BT23" s="127">
        <f t="shared" ca="1" si="3"/>
        <v>30.770498014562879</v>
      </c>
      <c r="BZ23" s="583">
        <f t="shared" si="42"/>
        <v>1</v>
      </c>
      <c r="CA23" s="121">
        <f>Transport!$A36</f>
        <v>44774</v>
      </c>
      <c r="CB23" s="73">
        <f t="shared" si="43"/>
        <v>52.103785889678591</v>
      </c>
      <c r="CC23" s="15">
        <f t="shared" si="44"/>
        <v>3.9532376119480515</v>
      </c>
      <c r="CD23" s="98">
        <f t="shared" si="45"/>
        <v>1</v>
      </c>
      <c r="CE23" s="128">
        <f>IF(CD23&gt;0,17,0)</f>
        <v>17</v>
      </c>
      <c r="CF23" s="128">
        <f t="shared" si="46"/>
        <v>289</v>
      </c>
      <c r="CG23" s="15">
        <f t="shared" si="47"/>
        <v>67.205039403116871</v>
      </c>
      <c r="CH23" s="127">
        <f t="shared" ca="1" si="48"/>
        <v>3.8509887495961168</v>
      </c>
      <c r="CI23" s="127">
        <f t="shared" ca="1" si="4"/>
        <v>47.039550582257128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45.772098230480971</v>
      </c>
      <c r="DT23" s="295">
        <f t="shared" ca="1" si="55"/>
        <v>47.055441846388739</v>
      </c>
      <c r="DX23" s="280">
        <f>Transport!$A36</f>
        <v>44774</v>
      </c>
      <c r="DY23" s="13">
        <f t="shared" si="58"/>
        <v>1</v>
      </c>
      <c r="DZ23" s="281">
        <f t="shared" si="60"/>
        <v>45.772098230480971</v>
      </c>
      <c r="EA23" s="127">
        <f t="shared" ca="1" si="61"/>
        <v>44.061453281916968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64.622452870324537</v>
      </c>
      <c r="M24" s="574">
        <f>Transport!J37</f>
        <v>64.622452870324537</v>
      </c>
      <c r="N24" s="120"/>
      <c r="O24">
        <f t="shared" si="8"/>
        <v>1</v>
      </c>
      <c r="P24" s="241">
        <f t="shared" si="9"/>
        <v>56.2651324966007</v>
      </c>
      <c r="Q24" s="73">
        <f t="shared" si="10"/>
        <v>56.2651324966007</v>
      </c>
      <c r="S24">
        <f t="shared" si="11"/>
        <v>1</v>
      </c>
      <c r="T24" s="73">
        <f t="shared" si="12"/>
        <v>54.928860055678207</v>
      </c>
      <c r="U24" s="73">
        <f t="shared" si="13"/>
        <v>54.928860055678207</v>
      </c>
      <c r="V24" s="2">
        <v>18</v>
      </c>
      <c r="X24" s="121">
        <f>Transport!$A37</f>
        <v>44805</v>
      </c>
      <c r="Y24" s="73">
        <f t="shared" si="0"/>
        <v>64.622452870324537</v>
      </c>
      <c r="Z24" s="15">
        <f t="shared" si="14"/>
        <v>4.1685619180529949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75.034114524953907</v>
      </c>
      <c r="AE24" s="127">
        <f t="shared" ca="1" si="18"/>
        <v>3.8228520611803027</v>
      </c>
      <c r="AF24" s="127">
        <f t="shared" ca="1" si="19"/>
        <v>45.73445996760011</v>
      </c>
      <c r="AH24" s="121">
        <f>Transport!$A37</f>
        <v>44805</v>
      </c>
      <c r="AI24" s="73">
        <f t="shared" si="20"/>
        <v>56.2651324966007</v>
      </c>
      <c r="AJ24" s="15">
        <f t="shared" si="21"/>
        <v>4.0300750270663466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72.541350487194237</v>
      </c>
      <c r="AO24" s="127">
        <f t="shared" ca="1" si="25"/>
        <v>3.8403802790312356</v>
      </c>
      <c r="AP24" s="127">
        <f t="shared" ca="1" si="56"/>
        <v>46.543170466637669</v>
      </c>
      <c r="AR24" s="121">
        <f>Transport!$A37</f>
        <v>44805</v>
      </c>
      <c r="AS24" s="73">
        <f t="shared" si="57"/>
        <v>56.2651324966007</v>
      </c>
      <c r="AT24" s="15">
        <f t="shared" si="26"/>
        <v>4.0300750270663466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72.541350487194237</v>
      </c>
      <c r="AY24" s="127">
        <f t="shared" ca="1" si="30"/>
        <v>3.7829990111214582</v>
      </c>
      <c r="AZ24" s="127">
        <f t="shared" ca="1" si="59"/>
        <v>43.94764377138528</v>
      </c>
      <c r="BB24" s="121">
        <f>Transport!$A37</f>
        <v>44805</v>
      </c>
      <c r="BC24" s="73">
        <f t="shared" si="62"/>
        <v>56.2651324966007</v>
      </c>
      <c r="BD24" s="15">
        <f t="shared" si="31"/>
        <v>4.0300750270663466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72.541350487194237</v>
      </c>
      <c r="BI24" s="127">
        <f t="shared" ca="1" si="35"/>
        <v>3.88844842869393</v>
      </c>
      <c r="BJ24" s="127">
        <f t="shared" ca="1" si="2"/>
        <v>48.835056638596747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3.4501755655622408</v>
      </c>
      <c r="BT24" s="127">
        <f t="shared" ca="1" si="3"/>
        <v>31.50592317833533</v>
      </c>
      <c r="BZ24" s="583">
        <f t="shared" si="42"/>
        <v>1</v>
      </c>
      <c r="CA24" s="121">
        <f>Transport!$A37</f>
        <v>44805</v>
      </c>
      <c r="CB24" s="73">
        <f t="shared" si="43"/>
        <v>56.2651324966007</v>
      </c>
      <c r="CC24" s="15">
        <f t="shared" si="44"/>
        <v>4.0300750270663466</v>
      </c>
      <c r="CD24" s="98">
        <f t="shared" si="45"/>
        <v>1</v>
      </c>
      <c r="CE24" s="128">
        <f>IF(CD24&gt;0,18,0)</f>
        <v>18</v>
      </c>
      <c r="CF24" s="128">
        <f t="shared" si="46"/>
        <v>324</v>
      </c>
      <c r="CG24" s="15">
        <f t="shared" si="47"/>
        <v>72.541350487194237</v>
      </c>
      <c r="CH24" s="127">
        <f t="shared" ca="1" si="48"/>
        <v>3.8397222190896789</v>
      </c>
      <c r="CI24" s="127">
        <f t="shared" ca="1" si="4"/>
        <v>46.512552345984787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64.622452870324537</v>
      </c>
      <c r="DT24" s="295">
        <f t="shared" ca="1" si="55"/>
        <v>46.543170466637669</v>
      </c>
      <c r="DX24" s="280">
        <f>Transport!$A37</f>
        <v>44805</v>
      </c>
      <c r="DY24" s="13">
        <f t="shared" si="58"/>
        <v>1</v>
      </c>
      <c r="DZ24" s="281">
        <f t="shared" si="60"/>
        <v>64.622452870324537</v>
      </c>
      <c r="EA24" s="127">
        <f t="shared" ca="1" si="61"/>
        <v>43.94764377138528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58.400846388996591</v>
      </c>
      <c r="M25" s="574">
        <f>Transport!J38</f>
        <v>58.400846388996591</v>
      </c>
      <c r="N25" s="120"/>
      <c r="O25">
        <f t="shared" si="8"/>
        <v>1</v>
      </c>
      <c r="P25" s="241">
        <f t="shared" si="9"/>
        <v>55.571874407910684</v>
      </c>
      <c r="Q25" s="73">
        <f t="shared" si="10"/>
        <v>55.571874407910684</v>
      </c>
      <c r="S25">
        <f t="shared" si="11"/>
        <v>1</v>
      </c>
      <c r="T25" s="73">
        <f t="shared" si="12"/>
        <v>52.692461249451775</v>
      </c>
      <c r="U25" s="73">
        <f t="shared" si="13"/>
        <v>52.692461249451775</v>
      </c>
      <c r="V25" s="2">
        <v>19</v>
      </c>
      <c r="X25" s="121">
        <f>Transport!$A38</f>
        <v>44835</v>
      </c>
      <c r="Y25" s="73">
        <f t="shared" si="0"/>
        <v>58.400846388996591</v>
      </c>
      <c r="Z25" s="15">
        <f t="shared" si="14"/>
        <v>4.0673303826914298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77.279277271137161</v>
      </c>
      <c r="AE25" s="127">
        <f t="shared" ca="1" si="18"/>
        <v>3.8130283795469126</v>
      </c>
      <c r="AF25" s="127">
        <f t="shared" ca="1" si="19"/>
        <v>45.287378780275645</v>
      </c>
      <c r="AH25" s="121">
        <f>Transport!$A38</f>
        <v>44835</v>
      </c>
      <c r="AI25" s="73">
        <f t="shared" si="20"/>
        <v>55.571874407910684</v>
      </c>
      <c r="AJ25" s="15">
        <f t="shared" si="21"/>
        <v>4.0176772172954101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76.33586712861279</v>
      </c>
      <c r="AO25" s="127">
        <f t="shared" ca="1" si="25"/>
        <v>3.8294340377971072</v>
      </c>
      <c r="AP25" s="127">
        <f t="shared" ca="1" si="56"/>
        <v>46.036475954432916</v>
      </c>
      <c r="AR25" s="121">
        <f>Transport!$A38</f>
        <v>44835</v>
      </c>
      <c r="AS25" s="73">
        <f t="shared" si="57"/>
        <v>55.571874407910684</v>
      </c>
      <c r="AT25" s="15">
        <f t="shared" si="26"/>
        <v>4.0176772172954101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76.33586712861279</v>
      </c>
      <c r="AY25" s="127">
        <f t="shared" ca="1" si="30"/>
        <v>3.7804126972566028</v>
      </c>
      <c r="AZ25" s="127">
        <f t="shared" ca="1" si="59"/>
        <v>43.834128227659562</v>
      </c>
      <c r="BB25" s="121">
        <f>Transport!$A38</f>
        <v>44835</v>
      </c>
      <c r="BC25" s="73">
        <f t="shared" si="62"/>
        <v>55.571874407910684</v>
      </c>
      <c r="BD25" s="15">
        <f t="shared" si="31"/>
        <v>4.0176772172954101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76.33586712861279</v>
      </c>
      <c r="BI25" s="127">
        <f t="shared" ca="1" si="35"/>
        <v>3.8747775199738737</v>
      </c>
      <c r="BJ25" s="127">
        <f ca="1">EXP(BI25)</f>
        <v>48.171979795493975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3.4737947568528411</v>
      </c>
      <c r="BT25" s="127">
        <f ca="1">EXP(BS25)</f>
        <v>32.258925248768627</v>
      </c>
      <c r="BZ25" s="583">
        <f t="shared" si="42"/>
        <v>1</v>
      </c>
      <c r="CA25" s="121">
        <f>Transport!$A38</f>
        <v>44835</v>
      </c>
      <c r="CB25" s="73">
        <f t="shared" si="43"/>
        <v>55.571874407910684</v>
      </c>
      <c r="CC25" s="15">
        <f t="shared" si="44"/>
        <v>4.0176772172954101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76.33586712861279</v>
      </c>
      <c r="CH25" s="127">
        <f t="shared" ca="1" si="48"/>
        <v>3.8284556885832406</v>
      </c>
      <c r="CI25" s="127">
        <f ca="1">EXP(CH25)</f>
        <v>45.991458229492402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58.400846388996591</v>
      </c>
      <c r="DT25" s="295">
        <f t="shared" ca="1" si="55"/>
        <v>46.036475954432916</v>
      </c>
      <c r="DX25" s="280">
        <f>Transport!$A38</f>
        <v>44835</v>
      </c>
      <c r="DY25" s="13">
        <f t="shared" si="58"/>
        <v>1</v>
      </c>
      <c r="DZ25" s="281">
        <f t="shared" si="60"/>
        <v>58.400846388996591</v>
      </c>
      <c r="EA25" s="127">
        <f t="shared" ca="1" si="61"/>
        <v>43.834128227659562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58.400846388996591</v>
      </c>
      <c r="EF25" s="127">
        <f ca="1">+BJ25</f>
        <v>48.171979795493975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43.692323964410917</v>
      </c>
      <c r="M26" s="574">
        <f>Transport!J39</f>
        <v>43.692323964410917</v>
      </c>
      <c r="N26" s="120"/>
      <c r="O26">
        <f t="shared" si="8"/>
        <v>1</v>
      </c>
      <c r="P26" s="241">
        <f t="shared" si="9"/>
        <v>57.753934221677831</v>
      </c>
      <c r="Q26" s="73">
        <f t="shared" si="10"/>
        <v>57.753934221677831</v>
      </c>
      <c r="S26">
        <f t="shared" si="11"/>
        <v>1</v>
      </c>
      <c r="T26" s="73">
        <f t="shared" si="12"/>
        <v>50.518164726304597</v>
      </c>
      <c r="U26" s="73">
        <f t="shared" si="13"/>
        <v>50.518164726304597</v>
      </c>
      <c r="V26" s="2">
        <v>20</v>
      </c>
      <c r="X26" s="121">
        <f>Transport!$A39</f>
        <v>44866</v>
      </c>
      <c r="Y26" s="73">
        <f t="shared" si="0"/>
        <v>43.692323964410917</v>
      </c>
      <c r="Z26" s="15">
        <f t="shared" si="14"/>
        <v>3.7771724336844432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75.543448673688857</v>
      </c>
      <c r="AE26" s="127">
        <f t="shared" ca="1" si="18"/>
        <v>3.8032046979135226</v>
      </c>
      <c r="AF26" s="127">
        <f t="shared" ca="1" si="19"/>
        <v>44.844668073945179</v>
      </c>
      <c r="AH26" s="121">
        <f>Transport!$A39</f>
        <v>44866</v>
      </c>
      <c r="AI26" s="73">
        <f t="shared" si="20"/>
        <v>57.753934221677831</v>
      </c>
      <c r="AJ26" s="15">
        <f t="shared" si="21"/>
        <v>4.0561914721321957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81.12382944264391</v>
      </c>
      <c r="AO26" s="127">
        <f t="shared" ca="1" si="25"/>
        <v>3.8184877965629793</v>
      </c>
      <c r="AP26" s="127">
        <f t="shared" ca="1" si="56"/>
        <v>45.535297596931969</v>
      </c>
      <c r="AR26" s="121">
        <f>Transport!$A39</f>
        <v>44866</v>
      </c>
      <c r="AS26" s="73">
        <f t="shared" si="57"/>
        <v>57.753934221677831</v>
      </c>
      <c r="AT26" s="15">
        <f t="shared" si="26"/>
        <v>4.0561914721321957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81.12382944264391</v>
      </c>
      <c r="AY26" s="127">
        <f t="shared" ca="1" si="30"/>
        <v>3.7778263833917474</v>
      </c>
      <c r="AZ26" s="127">
        <f t="shared" ca="1" si="59"/>
        <v>43.720905891431705</v>
      </c>
      <c r="BB26" s="121">
        <f>Transport!$A39</f>
        <v>44866</v>
      </c>
      <c r="BC26" s="73">
        <f t="shared" si="62"/>
        <v>57.753934221677831</v>
      </c>
      <c r="BD26" s="15">
        <f t="shared" si="31"/>
        <v>4.0561914721321957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81.12382944264391</v>
      </c>
      <c r="BI26" s="127">
        <f t="shared" ca="1" si="35"/>
        <v>3.8611066112538168</v>
      </c>
      <c r="BJ26" s="127">
        <f t="shared" ref="BJ26:BJ42" ca="1" si="65">EXP(BI26)</f>
        <v>47.517906134328967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3.4974139481434414</v>
      </c>
      <c r="BT26" s="127">
        <f t="shared" ref="BT26:BT42" ca="1" si="66">EXP(BS26)</f>
        <v>33.029924319793444</v>
      </c>
      <c r="BZ26" s="583">
        <f t="shared" si="42"/>
        <v>1</v>
      </c>
      <c r="CA26" s="121">
        <f>Transport!$A39</f>
        <v>44866</v>
      </c>
      <c r="CB26" s="73">
        <f t="shared" si="43"/>
        <v>57.753934221677831</v>
      </c>
      <c r="CC26" s="15">
        <f t="shared" si="44"/>
        <v>4.0561914721321957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81.12382944264391</v>
      </c>
      <c r="CH26" s="127">
        <f t="shared" ca="1" si="48"/>
        <v>3.8171891580768023</v>
      </c>
      <c r="CI26" s="127">
        <f t="shared" ref="CI26:CI42" ca="1" si="67">EXP(CH26)</f>
        <v>45.476202087149943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43.692323964410917</v>
      </c>
      <c r="DT26" s="295">
        <f t="shared" ca="1" si="55"/>
        <v>45.535297596931969</v>
      </c>
      <c r="DX26" s="280">
        <f>Transport!$A39</f>
        <v>44866</v>
      </c>
      <c r="DY26" s="13">
        <f t="shared" si="58"/>
        <v>1</v>
      </c>
      <c r="DZ26" s="281">
        <f t="shared" si="60"/>
        <v>43.692323964410917</v>
      </c>
      <c r="EA26" s="127">
        <f t="shared" ca="1" si="61"/>
        <v>43.720905891431705</v>
      </c>
      <c r="EC26" s="280">
        <f>Transport!$A39</f>
        <v>44866</v>
      </c>
      <c r="ED26" s="13">
        <f t="shared" si="63"/>
        <v>1</v>
      </c>
      <c r="EE26" s="281">
        <f t="shared" si="64"/>
        <v>43.692323964410917</v>
      </c>
      <c r="EF26" s="127">
        <f t="shared" ref="EF26:EF41" ca="1" si="69">+BJ26</f>
        <v>47.517906134328967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5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71.168632311625956</v>
      </c>
      <c r="M27" s="574">
        <f>Transport!J40</f>
        <v>71.168632311625956</v>
      </c>
      <c r="N27" s="120"/>
      <c r="O27">
        <f t="shared" si="8"/>
        <v>1</v>
      </c>
      <c r="P27" s="241">
        <f t="shared" si="9"/>
        <v>49.119790002302857</v>
      </c>
      <c r="Q27" s="73">
        <f t="shared" si="10"/>
        <v>49.119790002302857</v>
      </c>
      <c r="S27">
        <f t="shared" si="11"/>
        <v>1</v>
      </c>
      <c r="T27" s="73">
        <f t="shared" si="12"/>
        <v>45.540775764981809</v>
      </c>
      <c r="U27" s="73">
        <f t="shared" si="13"/>
        <v>45.540775764981809</v>
      </c>
      <c r="V27" s="2">
        <v>21</v>
      </c>
      <c r="X27" s="121">
        <f>Transport!$A40</f>
        <v>44896</v>
      </c>
      <c r="Y27" s="73">
        <f t="shared" si="0"/>
        <v>71.168632311625956</v>
      </c>
      <c r="Z27" s="15">
        <f t="shared" si="14"/>
        <v>4.2650521639230137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89.566095442383286</v>
      </c>
      <c r="AE27" s="127">
        <f t="shared" ca="1" si="18"/>
        <v>3.7933810162801329</v>
      </c>
      <c r="AF27" s="127">
        <f t="shared" ca="1" si="19"/>
        <v>44.406285124592024</v>
      </c>
      <c r="AH27" s="121">
        <f>Transport!$A40</f>
        <v>44896</v>
      </c>
      <c r="AI27" s="73">
        <f t="shared" si="20"/>
        <v>49.119790002302857</v>
      </c>
      <c r="AJ27" s="15">
        <f t="shared" si="21"/>
        <v>3.8942620086323307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81.779502181278943</v>
      </c>
      <c r="AO27" s="127">
        <f t="shared" ca="1" si="25"/>
        <v>3.807541555328851</v>
      </c>
      <c r="AP27" s="127">
        <f t="shared" ca="1" si="56"/>
        <v>45.039575342245563</v>
      </c>
      <c r="AR27" s="121">
        <f>Transport!$A40</f>
        <v>44896</v>
      </c>
      <c r="AS27" s="73">
        <f t="shared" si="57"/>
        <v>49.119790002302857</v>
      </c>
      <c r="AT27" s="15">
        <f t="shared" si="26"/>
        <v>3.8942620086323307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81.779502181278943</v>
      </c>
      <c r="AY27" s="127">
        <f t="shared" ca="1" si="30"/>
        <v>3.775240069526892</v>
      </c>
      <c r="AZ27" s="127">
        <f t="shared" ca="1" si="59"/>
        <v>43.607976005354892</v>
      </c>
      <c r="BB27" s="121">
        <f>Transport!$A40</f>
        <v>44896</v>
      </c>
      <c r="BC27" s="73">
        <f t="shared" si="62"/>
        <v>49.119790002302857</v>
      </c>
      <c r="BD27" s="15">
        <f t="shared" si="31"/>
        <v>3.8942620086323307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81.779502181278943</v>
      </c>
      <c r="BI27" s="127">
        <f t="shared" ca="1" si="35"/>
        <v>3.8474357025337604</v>
      </c>
      <c r="BJ27" s="127">
        <f t="shared" ca="1" si="65"/>
        <v>46.872713410921691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3.5210331394340417</v>
      </c>
      <c r="BT27" s="127">
        <f t="shared" ca="1" si="66"/>
        <v>33.81935052572549</v>
      </c>
      <c r="BZ27" s="583">
        <f t="shared" si="42"/>
        <v>1</v>
      </c>
      <c r="CA27" s="121">
        <f>Transport!$A40</f>
        <v>44896</v>
      </c>
      <c r="CB27" s="73">
        <f t="shared" si="43"/>
        <v>49.119790002302857</v>
      </c>
      <c r="CC27" s="15">
        <f t="shared" si="44"/>
        <v>3.8942620086323307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81.779502181278943</v>
      </c>
      <c r="CH27" s="127">
        <f t="shared" ca="1" si="48"/>
        <v>3.8059226275703639</v>
      </c>
      <c r="CI27" s="127">
        <f t="shared" ca="1" si="67"/>
        <v>44.966718514376751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71.168632311625956</v>
      </c>
      <c r="DT27" s="295">
        <f t="shared" ca="1" si="55"/>
        <v>45.039575342245563</v>
      </c>
      <c r="DX27" s="280">
        <f>Transport!$A40</f>
        <v>44896</v>
      </c>
      <c r="DY27" s="13">
        <f t="shared" si="58"/>
        <v>1</v>
      </c>
      <c r="DZ27" s="281">
        <f t="shared" si="60"/>
        <v>71.168632311625956</v>
      </c>
      <c r="EA27" s="127">
        <f t="shared" ca="1" si="61"/>
        <v>43.607976005354892</v>
      </c>
      <c r="EC27" s="280">
        <f>Transport!$A40</f>
        <v>44896</v>
      </c>
      <c r="ED27" s="13">
        <f t="shared" si="63"/>
        <v>1</v>
      </c>
      <c r="EE27" s="281">
        <f t="shared" si="64"/>
        <v>71.168632311625956</v>
      </c>
      <c r="EF27" s="127">
        <f t="shared" ca="1" si="69"/>
        <v>46.872713410921691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11</v>
      </c>
      <c r="D28" s="584">
        <v>2023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32.49841373087169</v>
      </c>
      <c r="M28" s="574">
        <f>Transport!J41</f>
        <v>32.49841373087169</v>
      </c>
      <c r="N28" s="120"/>
      <c r="O28">
        <f t="shared" si="8"/>
        <v>1</v>
      </c>
      <c r="P28" s="241">
        <f t="shared" si="9"/>
        <v>45.464455044698504</v>
      </c>
      <c r="Q28" s="73">
        <f t="shared" si="10"/>
        <v>45.464455044698504</v>
      </c>
      <c r="S28">
        <f t="shared" si="11"/>
        <v>1</v>
      </c>
      <c r="T28" s="73">
        <f t="shared" ca="1" si="12"/>
        <v>41.600505205086627</v>
      </c>
      <c r="U28" s="73">
        <f t="shared" ca="1" si="13"/>
        <v>41.600505205086627</v>
      </c>
      <c r="V28" s="2">
        <v>22</v>
      </c>
      <c r="X28" s="121">
        <f>Transport!$A41</f>
        <v>44927</v>
      </c>
      <c r="Y28" s="73">
        <f t="shared" si="0"/>
        <v>32.49841373087169</v>
      </c>
      <c r="Z28" s="15">
        <f t="shared" si="14"/>
        <v>3.481191279863658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76.58620815700047</v>
      </c>
      <c r="AE28" s="127">
        <f t="shared" ca="1" si="18"/>
        <v>3.7835573346467428</v>
      </c>
      <c r="AF28" s="127">
        <f t="shared" ca="1" si="19"/>
        <v>43.972187625851774</v>
      </c>
      <c r="AH28" s="121">
        <f>Transport!$A41</f>
        <v>44927</v>
      </c>
      <c r="AI28" s="73">
        <f t="shared" si="20"/>
        <v>45.464455044698504</v>
      </c>
      <c r="AJ28" s="15">
        <f t="shared" si="21"/>
        <v>3.8169308128462474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83.97247788261744</v>
      </c>
      <c r="AO28" s="127">
        <f t="shared" ca="1" si="25"/>
        <v>3.7965953140947226</v>
      </c>
      <c r="AP28" s="127">
        <f t="shared" ca="1" si="56"/>
        <v>44.549249792242335</v>
      </c>
      <c r="AR28" s="121">
        <f>Transport!$A41</f>
        <v>44927</v>
      </c>
      <c r="AS28" s="73">
        <f t="shared" si="57"/>
        <v>45.464455044698504</v>
      </c>
      <c r="AT28" s="15">
        <f t="shared" si="26"/>
        <v>3.8169308128462474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83.97247788261744</v>
      </c>
      <c r="AY28" s="127">
        <f t="shared" ca="1" si="30"/>
        <v>3.7726537556620365</v>
      </c>
      <c r="AZ28" s="127">
        <f t="shared" ca="1" si="59"/>
        <v>43.4953378140385</v>
      </c>
      <c r="BB28" s="121">
        <f>Transport!$A41</f>
        <v>44927</v>
      </c>
      <c r="BC28" s="73">
        <f t="shared" si="62"/>
        <v>45.464455044698504</v>
      </c>
      <c r="BD28" s="15">
        <f t="shared" si="31"/>
        <v>3.8169308128462474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83.97247788261744</v>
      </c>
      <c r="BI28" s="127">
        <f t="shared" ca="1" si="35"/>
        <v>3.8337647938137036</v>
      </c>
      <c r="BJ28" s="127">
        <f t="shared" ca="1" si="65"/>
        <v>46.236281040909617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3.5446523307246416</v>
      </c>
      <c r="BT28" s="127">
        <f t="shared" ca="1" si="66"/>
        <v>34.627644281234033</v>
      </c>
      <c r="BZ28" s="583">
        <f t="shared" si="42"/>
        <v>1</v>
      </c>
      <c r="CA28" s="121">
        <f>Transport!$A41</f>
        <v>44927</v>
      </c>
      <c r="CB28" s="73">
        <f t="shared" si="43"/>
        <v>45.464455044698504</v>
      </c>
      <c r="CC28" s="15">
        <f t="shared" si="44"/>
        <v>3.8169308128462474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83.97247788261744</v>
      </c>
      <c r="CH28" s="127">
        <f t="shared" ca="1" si="48"/>
        <v>3.7946560970639256</v>
      </c>
      <c r="CI28" s="127">
        <f t="shared" ca="1" si="67"/>
        <v>44.462942839339355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32.49841373087169</v>
      </c>
      <c r="DT28" s="295">
        <f t="shared" ca="1" si="55"/>
        <v>44.549249792242335</v>
      </c>
      <c r="DX28" s="280">
        <f>Transport!$A41</f>
        <v>44927</v>
      </c>
      <c r="DY28" s="13">
        <f t="shared" si="58"/>
        <v>1</v>
      </c>
      <c r="DZ28" s="281">
        <f t="shared" si="60"/>
        <v>32.49841373087169</v>
      </c>
      <c r="EA28" s="127">
        <f t="shared" ca="1" si="61"/>
        <v>43.4953378140385</v>
      </c>
      <c r="EC28" s="280">
        <f>Transport!$A41</f>
        <v>44927</v>
      </c>
      <c r="ED28" s="13">
        <f t="shared" si="63"/>
        <v>1</v>
      </c>
      <c r="EE28" s="281">
        <f t="shared" si="64"/>
        <v>32.49841373087169</v>
      </c>
      <c r="EF28" s="127">
        <f t="shared" ca="1" si="69"/>
        <v>46.236281040909617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32.72631909159788</v>
      </c>
      <c r="M29" s="574">
        <f>Transport!J42</f>
        <v>32.72631909159788</v>
      </c>
      <c r="N29" s="120"/>
      <c r="O29">
        <f t="shared" si="8"/>
        <v>1</v>
      </c>
      <c r="P29" s="241">
        <f t="shared" si="9"/>
        <v>33.327617308285802</v>
      </c>
      <c r="Q29" s="73">
        <f t="shared" si="10"/>
        <v>33.327617308285802</v>
      </c>
      <c r="S29">
        <f t="shared" ca="1" si="11"/>
        <v>1</v>
      </c>
      <c r="T29" s="73">
        <f t="shared" ca="1" si="12"/>
        <v>42.272434250083897</v>
      </c>
      <c r="U29" s="73">
        <f t="shared" ca="1" si="13"/>
        <v>42.272434250083897</v>
      </c>
      <c r="V29" s="2">
        <v>23</v>
      </c>
      <c r="X29" s="121">
        <f>Transport!$A42</f>
        <v>44958</v>
      </c>
      <c r="Y29" s="73">
        <f t="shared" si="0"/>
        <v>32.72631909159788</v>
      </c>
      <c r="Z29" s="15">
        <f t="shared" si="14"/>
        <v>3.4881796193593977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80.228131245266141</v>
      </c>
      <c r="AE29" s="127">
        <f t="shared" ca="1" si="18"/>
        <v>3.7737336530133527</v>
      </c>
      <c r="AF29" s="127">
        <f t="shared" ca="1" si="19"/>
        <v>43.542333684929602</v>
      </c>
      <c r="AH29" s="121">
        <f>Transport!$A42</f>
        <v>44958</v>
      </c>
      <c r="AI29" s="73">
        <f t="shared" si="20"/>
        <v>33.327617308285802</v>
      </c>
      <c r="AJ29" s="15">
        <f t="shared" si="21"/>
        <v>3.5063864018640505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80.646887242873163</v>
      </c>
      <c r="AO29" s="127">
        <f t="shared" ca="1" si="25"/>
        <v>3.7856490728605947</v>
      </c>
      <c r="AP29" s="127">
        <f t="shared" ca="1" si="56"/>
        <v>44.06426219543161</v>
      </c>
      <c r="AR29" s="121">
        <f>Transport!$A42</f>
        <v>44958</v>
      </c>
      <c r="AS29" s="73">
        <f t="shared" si="57"/>
        <v>33.327617308285802</v>
      </c>
      <c r="AT29" s="15">
        <f t="shared" si="26"/>
        <v>3.5063864018640505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80.646887242873163</v>
      </c>
      <c r="AY29" s="127">
        <f t="shared" ca="1" si="30"/>
        <v>3.7700674417971816</v>
      </c>
      <c r="AZ29" s="127">
        <f t="shared" ca="1" si="59"/>
        <v>43.382990564043077</v>
      </c>
      <c r="BB29" s="121">
        <f>Transport!$A42</f>
        <v>44958</v>
      </c>
      <c r="BC29" s="73">
        <f t="shared" si="62"/>
        <v>33.327617308285802</v>
      </c>
      <c r="BD29" s="15">
        <f t="shared" si="31"/>
        <v>3.5063864018640505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80.646887242873163</v>
      </c>
      <c r="BI29" s="127">
        <f t="shared" ca="1" si="35"/>
        <v>3.8200938850936472</v>
      </c>
      <c r="BJ29" s="127">
        <f t="shared" ca="1" si="65"/>
        <v>45.608490077211052</v>
      </c>
      <c r="BL29" s="121">
        <f>Transport!$A42</f>
        <v>44958</v>
      </c>
      <c r="BM29" s="73">
        <f t="shared" ref="BM29:BM40" si="70">$P29</f>
        <v>33.327617308285802</v>
      </c>
      <c r="BN29" s="15">
        <f t="shared" si="36"/>
        <v>3.5063864018640505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80.646887242873163</v>
      </c>
      <c r="BS29" s="127">
        <f t="shared" ca="1" si="40"/>
        <v>3.5682715220152419</v>
      </c>
      <c r="BT29" s="127">
        <f t="shared" ca="1" si="66"/>
        <v>35.455256527045854</v>
      </c>
      <c r="BZ29" s="583">
        <f t="shared" si="42"/>
        <v>1</v>
      </c>
      <c r="CA29" s="121">
        <f>Transport!$A42</f>
        <v>44958</v>
      </c>
      <c r="CB29" s="73">
        <f t="shared" si="43"/>
        <v>33.327617308285802</v>
      </c>
      <c r="CC29" s="15">
        <f t="shared" si="44"/>
        <v>3.5063864018640505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80.646887242873163</v>
      </c>
      <c r="CH29" s="127">
        <f t="shared" ca="1" si="48"/>
        <v>3.7833895665574877</v>
      </c>
      <c r="CI29" s="127">
        <f t="shared" ca="1" si="67"/>
        <v>43.964811114742304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32.72631909159788</v>
      </c>
      <c r="DT29" s="295">
        <f t="shared" ca="1" si="55"/>
        <v>44.06426219543161</v>
      </c>
      <c r="DX29" s="280">
        <f>Transport!$A42</f>
        <v>44958</v>
      </c>
      <c r="DY29" s="13">
        <f t="shared" si="58"/>
        <v>1</v>
      </c>
      <c r="DZ29" s="281">
        <f t="shared" si="60"/>
        <v>32.72631909159788</v>
      </c>
      <c r="EA29" s="127">
        <f t="shared" ca="1" si="61"/>
        <v>43.382990564043077</v>
      </c>
      <c r="EC29" s="280">
        <f>Transport!$A42</f>
        <v>44958</v>
      </c>
      <c r="ED29" s="13">
        <f t="shared" si="63"/>
        <v>1</v>
      </c>
      <c r="EE29" s="281">
        <f t="shared" si="64"/>
        <v>32.72631909159788</v>
      </c>
      <c r="EF29" s="127">
        <f t="shared" ca="1" si="69"/>
        <v>45.608490077211052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34.758119102387823</v>
      </c>
      <c r="M30" s="574">
        <f>Transport!J43</f>
        <v>34.758119102387823</v>
      </c>
      <c r="N30" s="120"/>
      <c r="O30">
        <f t="shared" ca="1" si="8"/>
        <v>1</v>
      </c>
      <c r="P30" s="241">
        <f t="shared" ca="1" si="9"/>
        <v>34.081220407870397</v>
      </c>
      <c r="Q30" s="73">
        <f t="shared" ca="1" si="10"/>
        <v>34.081220407870397</v>
      </c>
      <c r="S30">
        <f t="shared" ca="1" si="11"/>
        <v>1</v>
      </c>
      <c r="T30" s="73">
        <f t="shared" ca="1" si="12"/>
        <v>36.588316688252789</v>
      </c>
      <c r="U30" s="73">
        <f t="shared" ca="1" si="13"/>
        <v>36.588316688252789</v>
      </c>
      <c r="V30" s="2">
        <v>24</v>
      </c>
      <c r="X30" s="121">
        <f>Transport!$A43</f>
        <v>44986</v>
      </c>
      <c r="Y30" s="73">
        <f t="shared" si="0"/>
        <v>34.758119102387823</v>
      </c>
      <c r="Z30" s="15">
        <f t="shared" si="14"/>
        <v>3.5484131879546532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85.161916510911681</v>
      </c>
      <c r="AE30" s="127">
        <f t="shared" ca="1" si="18"/>
        <v>3.7639099713799626</v>
      </c>
      <c r="AF30" s="127">
        <f t="shared" ca="1" si="19"/>
        <v>43.116681818557339</v>
      </c>
      <c r="AH30" s="121">
        <f>Transport!$A43</f>
        <v>44986</v>
      </c>
      <c r="AI30" s="73">
        <f t="shared" ca="1" si="20"/>
        <v>34.081220407870397</v>
      </c>
      <c r="AJ30" s="15">
        <f t="shared" ca="1" si="21"/>
        <v>3.5287465114100427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84.689916273841021</v>
      </c>
      <c r="AO30" s="127">
        <f t="shared" ca="1" si="25"/>
        <v>3.7747028316264668</v>
      </c>
      <c r="AP30" s="127">
        <f t="shared" ca="1" si="56"/>
        <v>43.584554439923643</v>
      </c>
      <c r="AR30" s="121">
        <f>Transport!$A43</f>
        <v>44986</v>
      </c>
      <c r="AS30" s="73">
        <f t="shared" ca="1" si="57"/>
        <v>34.081220407870397</v>
      </c>
      <c r="AT30" s="15">
        <f t="shared" ca="1" si="26"/>
        <v>3.5287465114100427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84.689916273841021</v>
      </c>
      <c r="AY30" s="127">
        <f t="shared" ca="1" si="30"/>
        <v>3.7674811279323261</v>
      </c>
      <c r="AZ30" s="127">
        <f t="shared" ca="1" si="59"/>
        <v>43.270933503875227</v>
      </c>
      <c r="BB30" s="121">
        <f>Transport!$A43</f>
        <v>44986</v>
      </c>
      <c r="BC30" s="73">
        <f t="shared" ca="1" si="62"/>
        <v>34.081220407870397</v>
      </c>
      <c r="BD30" s="15">
        <f t="shared" ca="1" si="31"/>
        <v>3.5287465114100427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84.689916273841021</v>
      </c>
      <c r="BI30" s="127">
        <f t="shared" ca="1" si="35"/>
        <v>3.8064229763735904</v>
      </c>
      <c r="BJ30" s="127">
        <f t="shared" ca="1" si="65"/>
        <v>44.989223187794146</v>
      </c>
      <c r="BL30" s="121">
        <f>Transport!$A43</f>
        <v>44986</v>
      </c>
      <c r="BM30" s="73">
        <f t="shared" ca="1" si="70"/>
        <v>34.081220407870397</v>
      </c>
      <c r="BN30" s="15">
        <f t="shared" ca="1" si="36"/>
        <v>3.5287465114100427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84.689916273841021</v>
      </c>
      <c r="BS30" s="127">
        <f t="shared" ca="1" si="40"/>
        <v>3.5918907133058422</v>
      </c>
      <c r="BT30" s="127">
        <f t="shared" ca="1" si="66"/>
        <v>36.302648981521457</v>
      </c>
      <c r="BZ30" s="583">
        <f t="shared" si="42"/>
        <v>1</v>
      </c>
      <c r="CA30" s="121">
        <f>Transport!$A43</f>
        <v>44986</v>
      </c>
      <c r="CB30" s="73">
        <f t="shared" ca="1" si="43"/>
        <v>34.081220407870397</v>
      </c>
      <c r="CC30" s="15">
        <f t="shared" ca="1" si="44"/>
        <v>3.5287465114100427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84.689916273841021</v>
      </c>
      <c r="CH30" s="127">
        <f t="shared" ca="1" si="48"/>
        <v>3.7721230360510494</v>
      </c>
      <c r="CI30" s="127">
        <f t="shared" ca="1" si="67"/>
        <v>43.472260109710888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34.758119102387823</v>
      </c>
      <c r="DT30" s="295">
        <f t="shared" ca="1" si="55"/>
        <v>43.584554439923643</v>
      </c>
      <c r="DX30" s="280">
        <f>Transport!$A43</f>
        <v>44986</v>
      </c>
      <c r="DY30" s="13">
        <f t="shared" si="58"/>
        <v>1</v>
      </c>
      <c r="DZ30" s="281">
        <f t="shared" si="60"/>
        <v>34.758119102387823</v>
      </c>
      <c r="EA30" s="127">
        <f t="shared" ca="1" si="61"/>
        <v>43.270933503875227</v>
      </c>
      <c r="EC30" s="280">
        <f>Transport!$A43</f>
        <v>44986</v>
      </c>
      <c r="ED30" s="13">
        <f t="shared" si="63"/>
        <v>1</v>
      </c>
      <c r="EE30" s="281">
        <f t="shared" si="64"/>
        <v>34.758119102387823</v>
      </c>
      <c r="EF30" s="127">
        <f t="shared" ca="1" si="69"/>
        <v>44.989223187794146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34.759223029625488</v>
      </c>
      <c r="M31" s="574">
        <f ca="1">Transport!J44</f>
        <v>34.759223029625488</v>
      </c>
      <c r="N31" s="120"/>
      <c r="O31">
        <f t="shared" ca="1" si="8"/>
        <v>1</v>
      </c>
      <c r="P31" s="241">
        <f t="shared" ca="1" si="9"/>
        <v>39.080413455469291</v>
      </c>
      <c r="Q31" s="73">
        <f t="shared" ca="1" si="10"/>
        <v>39.080413455469291</v>
      </c>
      <c r="S31">
        <f t="shared" ca="1" si="11"/>
        <v>1</v>
      </c>
      <c r="T31" s="73">
        <f t="shared" ca="1" si="12"/>
        <v>38.334102145075924</v>
      </c>
      <c r="U31" s="73">
        <f t="shared" ca="1" si="13"/>
        <v>38.334102145075924</v>
      </c>
      <c r="V31" s="2">
        <v>25</v>
      </c>
      <c r="X31" s="121">
        <f>Transport!$A44</f>
        <v>45017</v>
      </c>
      <c r="Y31" s="73">
        <f t="shared" ca="1" si="0"/>
        <v>34.759223029625488</v>
      </c>
      <c r="Z31" s="15">
        <f t="shared" ca="1" si="14"/>
        <v>3.5484449477200273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88.711123693000687</v>
      </c>
      <c r="AE31" s="127">
        <f t="shared" ca="1" si="18"/>
        <v>3.7540862897465725</v>
      </c>
      <c r="AF31" s="127">
        <f t="shared" ca="1" si="19"/>
        <v>42.695190948990096</v>
      </c>
      <c r="AH31" s="121">
        <f>Transport!$A44</f>
        <v>45017</v>
      </c>
      <c r="AI31" s="73">
        <f t="shared" ca="1" si="20"/>
        <v>39.080413455469291</v>
      </c>
      <c r="AJ31" s="15">
        <f t="shared" ca="1" si="21"/>
        <v>3.6656214068389161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91.640535170972896</v>
      </c>
      <c r="AO31" s="127">
        <f t="shared" ca="1" si="25"/>
        <v>3.7637565903923385</v>
      </c>
      <c r="AP31" s="127">
        <f t="shared" ca="1" si="56"/>
        <v>43.110069046466649</v>
      </c>
      <c r="AR31" s="121">
        <f>Transport!$A44</f>
        <v>45017</v>
      </c>
      <c r="AS31" s="73">
        <f t="shared" ca="1" si="57"/>
        <v>39.080413455469291</v>
      </c>
      <c r="AT31" s="15">
        <f t="shared" ca="1" si="26"/>
        <v>3.6656214068389161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91.640535170972896</v>
      </c>
      <c r="AY31" s="127">
        <f t="shared" ca="1" si="30"/>
        <v>3.7648948140674707</v>
      </c>
      <c r="AZ31" s="127">
        <f t="shared" ca="1" si="59"/>
        <v>43.159165883982716</v>
      </c>
      <c r="BB31" s="121">
        <f>Transport!$A44</f>
        <v>45017</v>
      </c>
      <c r="BC31" s="73">
        <f t="shared" ca="1" si="62"/>
        <v>39.080413455469291</v>
      </c>
      <c r="BD31" s="15">
        <f t="shared" ca="1" si="31"/>
        <v>3.6656214068389161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91.640535170972896</v>
      </c>
      <c r="BI31" s="127">
        <f t="shared" ca="1" si="35"/>
        <v>3.792752067653534</v>
      </c>
      <c r="BJ31" s="127">
        <f t="shared" ca="1" si="65"/>
        <v>44.378364633748127</v>
      </c>
      <c r="BL31" s="121">
        <f>Transport!$A44</f>
        <v>45017</v>
      </c>
      <c r="BM31" s="73">
        <f t="shared" ca="1" si="70"/>
        <v>39.080413455469291</v>
      </c>
      <c r="BN31" s="15">
        <f t="shared" ca="1" si="36"/>
        <v>3.6656214068389161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91.640535170972896</v>
      </c>
      <c r="BS31" s="127">
        <f t="shared" ca="1" si="40"/>
        <v>3.6155099045964425</v>
      </c>
      <c r="BT31" s="127">
        <f t="shared" ca="1" si="66"/>
        <v>37.170294398244117</v>
      </c>
      <c r="BZ31" s="583">
        <f t="shared" si="42"/>
        <v>1</v>
      </c>
      <c r="CA31" s="121">
        <f>Transport!$A44</f>
        <v>45017</v>
      </c>
      <c r="CB31" s="73">
        <f t="shared" ca="1" si="43"/>
        <v>39.080413455469291</v>
      </c>
      <c r="CC31" s="15">
        <f t="shared" ca="1" si="44"/>
        <v>3.6656214068389161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91.640535170972896</v>
      </c>
      <c r="CH31" s="127">
        <f t="shared" ca="1" si="48"/>
        <v>3.760856505544611</v>
      </c>
      <c r="CI31" s="127">
        <f t="shared" ca="1" si="67"/>
        <v>42.985227301764958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34.759223029625488</v>
      </c>
      <c r="DT31" s="295">
        <f t="shared" ca="1" si="55"/>
        <v>43.110069046466649</v>
      </c>
      <c r="DX31" s="280">
        <f>Transport!$A44</f>
        <v>45017</v>
      </c>
      <c r="DY31" s="13">
        <f t="shared" ca="1" si="58"/>
        <v>1</v>
      </c>
      <c r="DZ31" s="281">
        <f t="shared" ca="1" si="60"/>
        <v>34.759223029625488</v>
      </c>
      <c r="EA31" s="127">
        <f t="shared" ca="1" si="61"/>
        <v>43.159165883982716</v>
      </c>
      <c r="EC31" s="280">
        <f>Transport!$A44</f>
        <v>45017</v>
      </c>
      <c r="ED31" s="13">
        <f t="shared" ca="1" si="63"/>
        <v>1</v>
      </c>
      <c r="EE31" s="281">
        <f t="shared" ca="1" si="64"/>
        <v>34.759223029625488</v>
      </c>
      <c r="EF31" s="127">
        <f t="shared" ca="1" si="69"/>
        <v>44.378364633748127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34.759223029625488</v>
      </c>
      <c r="EK31" s="127">
        <f t="shared" ref="EK31:EK42" ca="1" si="73">+BT31</f>
        <v>37.170294398244117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47.723898234394554</v>
      </c>
      <c r="M32" s="574">
        <f ca="1">Transport!J45</f>
        <v>47.723898234394554</v>
      </c>
      <c r="N32" s="120"/>
      <c r="O32">
        <f t="shared" ca="1" si="8"/>
        <v>1</v>
      </c>
      <c r="P32" s="241">
        <f t="shared" ca="1" si="9"/>
        <v>39.849016068219775</v>
      </c>
      <c r="Q32" s="73">
        <f t="shared" ca="1" si="10"/>
        <v>39.849016068219775</v>
      </c>
      <c r="S32">
        <f t="shared" ca="1" si="11"/>
        <v>1</v>
      </c>
      <c r="T32" s="73">
        <f t="shared" ca="1" si="12"/>
        <v>39.869906264642104</v>
      </c>
      <c r="U32" s="73">
        <f t="shared" ca="1" si="13"/>
        <v>39.869906264642104</v>
      </c>
      <c r="V32" s="2">
        <v>26</v>
      </c>
      <c r="X32" s="121">
        <f>Transport!$A45</f>
        <v>45047</v>
      </c>
      <c r="Y32" s="73">
        <f t="shared" ca="1" si="0"/>
        <v>47.723898234394554</v>
      </c>
      <c r="Z32" s="15">
        <f t="shared" ca="1" si="14"/>
        <v>3.8654322836333268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100.50123937446649</v>
      </c>
      <c r="AE32" s="127">
        <f t="shared" ca="1" si="18"/>
        <v>3.7442626081131825</v>
      </c>
      <c r="AF32" s="127">
        <f t="shared" ca="1" si="19"/>
        <v>42.277820400042053</v>
      </c>
      <c r="AH32" s="121">
        <f>Transport!$A45</f>
        <v>45047</v>
      </c>
      <c r="AI32" s="73">
        <f t="shared" ca="1" si="20"/>
        <v>39.849016068219775</v>
      </c>
      <c r="AJ32" s="15">
        <f t="shared" ca="1" si="21"/>
        <v>3.6850977140460737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95.812540565197921</v>
      </c>
      <c r="AO32" s="127">
        <f t="shared" ca="1" si="25"/>
        <v>3.7528103491582101</v>
      </c>
      <c r="AP32" s="127">
        <f t="shared" ca="1" si="56"/>
        <v>42.640749161559583</v>
      </c>
      <c r="AR32" s="121">
        <f>Transport!$A45</f>
        <v>45047</v>
      </c>
      <c r="AS32" s="73">
        <f t="shared" ca="1" si="57"/>
        <v>39.849016068219775</v>
      </c>
      <c r="AT32" s="15">
        <f t="shared" ca="1" si="26"/>
        <v>3.6850977140460737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95.812540565197921</v>
      </c>
      <c r="AY32" s="127">
        <f t="shared" ca="1" si="30"/>
        <v>3.7623085002026153</v>
      </c>
      <c r="AZ32" s="127">
        <f t="shared" ca="1" si="59"/>
        <v>43.047686956749331</v>
      </c>
      <c r="BB32" s="121">
        <f>Transport!$A45</f>
        <v>45047</v>
      </c>
      <c r="BC32" s="73">
        <f t="shared" ca="1" si="62"/>
        <v>39.849016068219775</v>
      </c>
      <c r="BD32" s="15">
        <f t="shared" ca="1" si="31"/>
        <v>3.6850977140460737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95.812540565197921</v>
      </c>
      <c r="BI32" s="127">
        <f t="shared" ca="1" si="35"/>
        <v>3.7790811589334772</v>
      </c>
      <c r="BJ32" s="127">
        <f t="shared" ca="1" si="65"/>
        <v>43.775800247651908</v>
      </c>
      <c r="BL32" s="121">
        <f>Transport!$A45</f>
        <v>45047</v>
      </c>
      <c r="BM32" s="73">
        <f t="shared" ca="1" si="70"/>
        <v>39.849016068219775</v>
      </c>
      <c r="BN32" s="15">
        <f t="shared" ca="1" si="36"/>
        <v>3.6850977140460737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95.812540565197921</v>
      </c>
      <c r="BS32" s="127">
        <f t="shared" ca="1" si="40"/>
        <v>3.6391290958870428</v>
      </c>
      <c r="BT32" s="127">
        <f t="shared" ca="1" si="66"/>
        <v>38.058676829765425</v>
      </c>
      <c r="BZ32" s="583">
        <f t="shared" si="42"/>
        <v>1</v>
      </c>
      <c r="CA32" s="121">
        <f>Transport!$A45</f>
        <v>45047</v>
      </c>
      <c r="CB32" s="73">
        <f t="shared" ca="1" si="43"/>
        <v>39.849016068219775</v>
      </c>
      <c r="CC32" s="15">
        <f t="shared" ca="1" si="44"/>
        <v>3.6850977140460737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95.812540565197921</v>
      </c>
      <c r="CH32" s="127">
        <f t="shared" ca="1" si="48"/>
        <v>3.7495899750381727</v>
      </c>
      <c r="CI32" s="127">
        <f t="shared" ca="1" si="67"/>
        <v>42.503650868882509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47.723898234394554</v>
      </c>
      <c r="DT32" s="295">
        <f t="shared" ca="1" si="55"/>
        <v>42.640749161559583</v>
      </c>
      <c r="DX32" s="280">
        <f>Transport!$A45</f>
        <v>45047</v>
      </c>
      <c r="DY32" s="13">
        <f t="shared" ca="1" si="58"/>
        <v>1</v>
      </c>
      <c r="DZ32" s="281">
        <f t="shared" ca="1" si="60"/>
        <v>47.723898234394554</v>
      </c>
      <c r="EA32" s="127">
        <f t="shared" ca="1" si="61"/>
        <v>43.047686956749331</v>
      </c>
      <c r="EC32" s="280">
        <f>Transport!$A45</f>
        <v>45047</v>
      </c>
      <c r="ED32" s="13">
        <f t="shared" ca="1" si="63"/>
        <v>1</v>
      </c>
      <c r="EE32" s="281">
        <f t="shared" ca="1" si="64"/>
        <v>47.723898234394554</v>
      </c>
      <c r="EF32" s="127">
        <f t="shared" ca="1" si="69"/>
        <v>43.775800247651908</v>
      </c>
      <c r="EH32" s="280">
        <f>Transport!$A45</f>
        <v>45047</v>
      </c>
      <c r="EI32" s="13">
        <f t="shared" ca="1" si="71"/>
        <v>1</v>
      </c>
      <c r="EJ32" s="281">
        <f t="shared" ca="1" si="72"/>
        <v>47.723898234394554</v>
      </c>
      <c r="EK32" s="127">
        <f t="shared" ca="1" si="73"/>
        <v>38.058676829765425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37.06392694063927</v>
      </c>
      <c r="M33" s="574">
        <f ca="1">Transport!J46</f>
        <v>37.06392694063927</v>
      </c>
      <c r="N33" s="120"/>
      <c r="O33">
        <f t="shared" ca="1" si="8"/>
        <v>1</v>
      </c>
      <c r="P33" s="241">
        <f t="shared" ca="1" si="9"/>
        <v>42.586983882281437</v>
      </c>
      <c r="Q33" s="73">
        <f t="shared" ca="1" si="10"/>
        <v>42.586983882281437</v>
      </c>
      <c r="S33">
        <f t="shared" ca="1" si="11"/>
        <v>1</v>
      </c>
      <c r="T33" s="73">
        <f t="shared" ca="1" si="12"/>
        <v>39.594648073238886</v>
      </c>
      <c r="U33" s="73">
        <f t="shared" ca="1" si="13"/>
        <v>39.594648073238886</v>
      </c>
      <c r="V33" s="2">
        <v>27</v>
      </c>
      <c r="X33" s="121">
        <f>Transport!$A46</f>
        <v>45078</v>
      </c>
      <c r="Y33" s="73">
        <f t="shared" ca="1" si="0"/>
        <v>37.06392694063927</v>
      </c>
      <c r="Z33" s="15">
        <f t="shared" ca="1" si="14"/>
        <v>3.6126441769446749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97.541392777506218</v>
      </c>
      <c r="AE33" s="127">
        <f t="shared" ca="1" si="18"/>
        <v>3.7344389264797924</v>
      </c>
      <c r="AF33" s="127">
        <f t="shared" ca="1" si="19"/>
        <v>41.864529893160984</v>
      </c>
      <c r="AH33" s="121">
        <f>Transport!$A46</f>
        <v>45078</v>
      </c>
      <c r="AI33" s="73">
        <f t="shared" ca="1" si="20"/>
        <v>42.586983882281437</v>
      </c>
      <c r="AJ33" s="15">
        <f t="shared" ca="1" si="21"/>
        <v>3.7515486639182032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101.29181392579149</v>
      </c>
      <c r="AO33" s="127">
        <f t="shared" ca="1" si="25"/>
        <v>3.7418641079240822</v>
      </c>
      <c r="AP33" s="127">
        <f t="shared" ca="1" si="56"/>
        <v>42.176538550639819</v>
      </c>
      <c r="AR33" s="121">
        <f>Transport!$A46</f>
        <v>45078</v>
      </c>
      <c r="AS33" s="73">
        <f t="shared" ca="1" si="57"/>
        <v>42.586983882281437</v>
      </c>
      <c r="AT33" s="15">
        <f t="shared" ca="1" si="26"/>
        <v>3.7515486639182032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101.29181392579149</v>
      </c>
      <c r="AY33" s="127">
        <f t="shared" ca="1" si="30"/>
        <v>3.7597221863377599</v>
      </c>
      <c r="AZ33" s="127">
        <f t="shared" ca="1" si="59"/>
        <v>42.936495976489958</v>
      </c>
      <c r="BB33" s="121">
        <f>Transport!$A46</f>
        <v>45078</v>
      </c>
      <c r="BC33" s="73">
        <f t="shared" ca="1" si="62"/>
        <v>42.586983882281437</v>
      </c>
      <c r="BD33" s="15">
        <f t="shared" ca="1" si="31"/>
        <v>3.7515486639182032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101.29181392579149</v>
      </c>
      <c r="BI33" s="127">
        <f t="shared" ca="1" si="35"/>
        <v>3.7654102502134208</v>
      </c>
      <c r="BJ33" s="127">
        <f t="shared" ca="1" si="65"/>
        <v>43.181417412236719</v>
      </c>
      <c r="BL33" s="121">
        <f>Transport!$A46</f>
        <v>45078</v>
      </c>
      <c r="BM33" s="73">
        <f t="shared" ca="1" si="70"/>
        <v>42.586983882281437</v>
      </c>
      <c r="BN33" s="15">
        <f t="shared" ca="1" si="36"/>
        <v>3.7515486639182032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101.29181392579149</v>
      </c>
      <c r="BS33" s="127">
        <f t="shared" ca="1" si="40"/>
        <v>3.6627482871776431</v>
      </c>
      <c r="BT33" s="127">
        <f t="shared" ca="1" si="66"/>
        <v>38.968291897654368</v>
      </c>
      <c r="BZ33" s="583">
        <f t="shared" si="42"/>
        <v>1</v>
      </c>
      <c r="CA33" s="121">
        <f>Transport!$A46</f>
        <v>45078</v>
      </c>
      <c r="CB33" s="73">
        <f t="shared" ca="1" si="43"/>
        <v>42.586983882281437</v>
      </c>
      <c r="CC33" s="15">
        <f t="shared" ca="1" si="44"/>
        <v>3.7515486639182032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101.29181392579149</v>
      </c>
      <c r="CH33" s="127">
        <f t="shared" ca="1" si="48"/>
        <v>3.7383234445317344</v>
      </c>
      <c r="CI33" s="127">
        <f t="shared" ca="1" si="67"/>
        <v>42.027469681652242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37.06392694063927</v>
      </c>
      <c r="DT33" s="295">
        <f t="shared" ca="1" si="55"/>
        <v>42.176538550639819</v>
      </c>
      <c r="DX33" s="280">
        <f>Transport!$A46</f>
        <v>45078</v>
      </c>
      <c r="DY33" s="13">
        <f t="shared" ca="1" si="58"/>
        <v>1</v>
      </c>
      <c r="DZ33" s="281">
        <f t="shared" ca="1" si="60"/>
        <v>37.06392694063927</v>
      </c>
      <c r="EA33" s="127">
        <f t="shared" ca="1" si="61"/>
        <v>42.936495976489958</v>
      </c>
      <c r="EC33" s="280">
        <f>Transport!$A46</f>
        <v>45078</v>
      </c>
      <c r="ED33" s="13">
        <f t="shared" ca="1" si="63"/>
        <v>1</v>
      </c>
      <c r="EE33" s="281">
        <f t="shared" ca="1" si="64"/>
        <v>37.06392694063927</v>
      </c>
      <c r="EF33" s="127">
        <f t="shared" ca="1" si="69"/>
        <v>43.181417412236719</v>
      </c>
      <c r="EH33" s="280">
        <f>Transport!$A46</f>
        <v>45078</v>
      </c>
      <c r="EI33" s="13">
        <f t="shared" ca="1" si="71"/>
        <v>1</v>
      </c>
      <c r="EJ33" s="281">
        <f t="shared" ca="1" si="72"/>
        <v>37.06392694063927</v>
      </c>
      <c r="EK33" s="127">
        <f t="shared" ca="1" si="73"/>
        <v>38.968291897654368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42.973126471810502</v>
      </c>
      <c r="M34" s="574">
        <f ca="1">Transport!J47</f>
        <v>42.973126471810502</v>
      </c>
      <c r="N34" s="120"/>
      <c r="O34">
        <f t="shared" ca="1" si="8"/>
        <v>1</v>
      </c>
      <c r="P34" s="241">
        <f t="shared" ca="1" si="9"/>
        <v>40.659399073814932</v>
      </c>
      <c r="Q34" s="73">
        <f t="shared" ca="1" si="10"/>
        <v>40.659399073814932</v>
      </c>
      <c r="S34">
        <f t="shared" ca="1" si="11"/>
        <v>1</v>
      </c>
      <c r="T34" s="73">
        <f t="shared" ca="1" si="12"/>
        <v>41.138080078208837</v>
      </c>
      <c r="U34" s="73">
        <f t="shared" ca="1" si="13"/>
        <v>41.138080078208837</v>
      </c>
      <c r="V34" s="2">
        <v>28</v>
      </c>
      <c r="X34" s="121">
        <f>Transport!$A47</f>
        <v>45108</v>
      </c>
      <c r="Y34" s="73">
        <f t="shared" ca="1" si="0"/>
        <v>42.973126471810502</v>
      </c>
      <c r="Z34" s="15">
        <f t="shared" ca="1" si="14"/>
        <v>3.7605749545492007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105.29609872737763</v>
      </c>
      <c r="AE34" s="127">
        <f t="shared" ca="1" si="18"/>
        <v>3.7246152448464023</v>
      </c>
      <c r="AF34" s="127">
        <f t="shared" ca="1" si="19"/>
        <v>41.455279543541138</v>
      </c>
      <c r="AH34" s="121">
        <f>Transport!$A47</f>
        <v>45108</v>
      </c>
      <c r="AI34" s="73">
        <f t="shared" ca="1" si="20"/>
        <v>40.659399073814932</v>
      </c>
      <c r="AJ34" s="15">
        <f t="shared" ca="1" si="21"/>
        <v>3.7052300287947468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103.74644080625291</v>
      </c>
      <c r="AO34" s="127">
        <f t="shared" ca="1" si="25"/>
        <v>3.7309178666899538</v>
      </c>
      <c r="AP34" s="127">
        <f t="shared" ca="1" si="56"/>
        <v>41.71738159134501</v>
      </c>
      <c r="AR34" s="121">
        <f>Transport!$A47</f>
        <v>45108</v>
      </c>
      <c r="AS34" s="73">
        <f t="shared" ca="1" si="57"/>
        <v>40.659399073814932</v>
      </c>
      <c r="AT34" s="15">
        <f t="shared" ca="1" si="26"/>
        <v>3.7052300287947468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103.74644080625291</v>
      </c>
      <c r="AY34" s="127">
        <f t="shared" ca="1" si="30"/>
        <v>3.7571358724729045</v>
      </c>
      <c r="AZ34" s="127">
        <f t="shared" ca="1" si="59"/>
        <v>42.825592199445559</v>
      </c>
      <c r="BB34" s="121">
        <f>Transport!$A47</f>
        <v>45108</v>
      </c>
      <c r="BC34" s="73">
        <f t="shared" ca="1" si="62"/>
        <v>40.659399073814932</v>
      </c>
      <c r="BD34" s="15">
        <f t="shared" ca="1" si="31"/>
        <v>3.7052300287947468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103.74644080625291</v>
      </c>
      <c r="BI34" s="127">
        <f t="shared" ca="1" si="35"/>
        <v>3.751739341493364</v>
      </c>
      <c r="BJ34" s="127">
        <f t="shared" ca="1" si="65"/>
        <v>42.595105039338186</v>
      </c>
      <c r="BL34" s="121">
        <f>Transport!$A47</f>
        <v>45108</v>
      </c>
      <c r="BM34" s="73">
        <f t="shared" ca="1" si="70"/>
        <v>40.659399073814932</v>
      </c>
      <c r="BN34" s="15">
        <f t="shared" ca="1" si="36"/>
        <v>3.7052300287947468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103.74644080625291</v>
      </c>
      <c r="BS34" s="127">
        <f t="shared" ca="1" si="40"/>
        <v>3.6863674784682434</v>
      </c>
      <c r="BT34" s="127">
        <f t="shared" ca="1" si="66"/>
        <v>39.8996470690007</v>
      </c>
      <c r="BZ34" s="583">
        <f t="shared" si="42"/>
        <v>1</v>
      </c>
      <c r="CA34" s="121">
        <f>Transport!$A47</f>
        <v>45108</v>
      </c>
      <c r="CB34" s="73">
        <f t="shared" ca="1" si="43"/>
        <v>40.659399073814932</v>
      </c>
      <c r="CC34" s="15">
        <f t="shared" ca="1" si="44"/>
        <v>3.7052300287947468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103.74644080625291</v>
      </c>
      <c r="CH34" s="127">
        <f t="shared" ca="1" si="48"/>
        <v>3.7270569140252965</v>
      </c>
      <c r="CI34" s="127">
        <f t="shared" ca="1" si="67"/>
        <v>41.556623295514058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42.973126471810502</v>
      </c>
      <c r="DT34" s="295">
        <f t="shared" ca="1" si="55"/>
        <v>41.71738159134501</v>
      </c>
      <c r="DX34" s="280">
        <f>Transport!$A47</f>
        <v>45108</v>
      </c>
      <c r="DY34" s="13">
        <f t="shared" ca="1" si="58"/>
        <v>1</v>
      </c>
      <c r="DZ34" s="281">
        <f t="shared" ca="1" si="60"/>
        <v>42.973126471810502</v>
      </c>
      <c r="EA34" s="127">
        <f t="shared" ca="1" si="61"/>
        <v>42.825592199445559</v>
      </c>
      <c r="EC34" s="280">
        <f>Transport!$A47</f>
        <v>45108</v>
      </c>
      <c r="ED34" s="13">
        <f t="shared" ca="1" si="63"/>
        <v>1</v>
      </c>
      <c r="EE34" s="281">
        <f t="shared" ca="1" si="64"/>
        <v>42.973126471810502</v>
      </c>
      <c r="EF34" s="127">
        <f t="shared" ca="1" si="69"/>
        <v>42.595105039338186</v>
      </c>
      <c r="EH34" s="280">
        <f>Transport!$A47</f>
        <v>45108</v>
      </c>
      <c r="EI34" s="13">
        <f t="shared" ca="1" si="71"/>
        <v>1</v>
      </c>
      <c r="EJ34" s="281">
        <f t="shared" ca="1" si="72"/>
        <v>42.973126471810502</v>
      </c>
      <c r="EK34" s="127">
        <f t="shared" ca="1" si="73"/>
        <v>39.8996470690007</v>
      </c>
    </row>
    <row r="35" spans="1:141" x14ac:dyDescent="0.2">
      <c r="B35" s="121">
        <f>+BX12</f>
        <v>44682</v>
      </c>
      <c r="C35" s="121" t="s">
        <v>815</v>
      </c>
      <c r="D35" s="121">
        <f>+BX13</f>
        <v>45231</v>
      </c>
      <c r="E35" s="70">
        <f ca="1">+CB56</f>
        <v>-0.12645738672117501</v>
      </c>
      <c r="F35" s="70">
        <f ca="1">+CB118</f>
        <v>-0.12645738672117501</v>
      </c>
      <c r="G35" s="70">
        <f ca="1">+CB180</f>
        <v>-0.12959651769595726</v>
      </c>
      <c r="H35" s="70">
        <f ca="1">+CB242</f>
        <v>-0.12959651769595726</v>
      </c>
      <c r="J35" s="228">
        <f t="shared" ca="1" si="7"/>
        <v>1</v>
      </c>
      <c r="K35" s="121">
        <f>Transport!$A48</f>
        <v>45139</v>
      </c>
      <c r="L35" s="73">
        <f ca="1">Transport!$F48</f>
        <v>41.941143808995001</v>
      </c>
      <c r="M35" s="574">
        <f ca="1">Transport!J48</f>
        <v>41.941143808995001</v>
      </c>
      <c r="N35" s="120"/>
      <c r="O35">
        <f t="shared" ca="1" si="8"/>
        <v>1</v>
      </c>
      <c r="P35" s="241">
        <f t="shared" ca="1" si="9"/>
        <v>39.340280078257997</v>
      </c>
      <c r="Q35" s="73">
        <f t="shared" ca="1" si="10"/>
        <v>39.340280078257997</v>
      </c>
      <c r="S35">
        <f t="shared" ca="1" si="11"/>
        <v>1</v>
      </c>
      <c r="T35" s="73">
        <f t="shared" ca="1" si="12"/>
        <v>41.708851981824587</v>
      </c>
      <c r="U35" s="73">
        <f t="shared" ca="1" si="13"/>
        <v>41.708851981824587</v>
      </c>
      <c r="V35" s="2">
        <v>29</v>
      </c>
      <c r="X35" s="121">
        <f>Transport!$A48</f>
        <v>45139</v>
      </c>
      <c r="Y35" s="73">
        <f t="shared" ca="1" si="0"/>
        <v>41.941143808995001</v>
      </c>
      <c r="Z35" s="15">
        <f t="shared" ca="1" si="14"/>
        <v>3.7362672976101119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108.35175163069324</v>
      </c>
      <c r="AE35" s="127">
        <f t="shared" ca="1" si="18"/>
        <v>3.7147915632130122</v>
      </c>
      <c r="AF35" s="127">
        <f t="shared" ca="1" si="19"/>
        <v>41.050029856274158</v>
      </c>
      <c r="AH35" s="121">
        <f>Transport!$A48</f>
        <v>45139</v>
      </c>
      <c r="AI35" s="73">
        <f t="shared" ca="1" si="20"/>
        <v>39.340280078257997</v>
      </c>
      <c r="AJ35" s="15">
        <f t="shared" ca="1" si="21"/>
        <v>3.6722489323625656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106.49521903851441</v>
      </c>
      <c r="AO35" s="127">
        <f t="shared" ca="1" si="25"/>
        <v>3.7199716254558259</v>
      </c>
      <c r="AP35" s="127">
        <f t="shared" ca="1" si="56"/>
        <v>41.26322326684847</v>
      </c>
      <c r="AR35" s="121">
        <f>Transport!$A48</f>
        <v>45139</v>
      </c>
      <c r="AS35" s="73">
        <f t="shared" ca="1" si="57"/>
        <v>39.340280078257997</v>
      </c>
      <c r="AT35" s="15">
        <f t="shared" ca="1" si="26"/>
        <v>3.6722489323625656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106.49521903851441</v>
      </c>
      <c r="AY35" s="127">
        <f t="shared" ca="1" si="30"/>
        <v>3.7545495586080491</v>
      </c>
      <c r="AZ35" s="127">
        <f t="shared" ca="1" si="59"/>
        <v>42.714974883778197</v>
      </c>
      <c r="BB35" s="121">
        <f>Transport!$A48</f>
        <v>45139</v>
      </c>
      <c r="BC35" s="73">
        <f t="shared" ca="1" si="62"/>
        <v>39.340280078257997</v>
      </c>
      <c r="BD35" s="15">
        <f t="shared" ca="1" si="31"/>
        <v>3.6722489323625656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106.49521903851441</v>
      </c>
      <c r="BI35" s="127">
        <f t="shared" ca="1" si="35"/>
        <v>3.7380684327733076</v>
      </c>
      <c r="BJ35" s="127">
        <f t="shared" ca="1" si="65"/>
        <v>42.016753549134471</v>
      </c>
      <c r="BL35" s="121">
        <f>Transport!$A48</f>
        <v>45139</v>
      </c>
      <c r="BM35" s="73">
        <f t="shared" ca="1" si="70"/>
        <v>39.340280078257997</v>
      </c>
      <c r="BN35" s="15">
        <f t="shared" ca="1" si="36"/>
        <v>3.6722489323625656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106.49521903851441</v>
      </c>
      <c r="BS35" s="127">
        <f t="shared" ca="1" si="40"/>
        <v>3.7099866697588437</v>
      </c>
      <c r="BT35" s="127">
        <f t="shared" ca="1" si="66"/>
        <v>40.85326193952686</v>
      </c>
      <c r="BZ35" s="583">
        <f t="shared" si="42"/>
        <v>1</v>
      </c>
      <c r="CA35" s="121">
        <f>Transport!$A48</f>
        <v>45139</v>
      </c>
      <c r="CB35" s="73">
        <f t="shared" ca="1" si="43"/>
        <v>39.340280078257997</v>
      </c>
      <c r="CC35" s="15">
        <f t="shared" ca="1" si="44"/>
        <v>3.6722489323625656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106.49521903851441</v>
      </c>
      <c r="CH35" s="127">
        <f t="shared" ca="1" si="48"/>
        <v>3.7157903835188582</v>
      </c>
      <c r="CI35" s="127">
        <f t="shared" ca="1" si="67"/>
        <v>41.091051943086391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41.941143808995001</v>
      </c>
      <c r="DT35" s="295">
        <f t="shared" ca="1" si="55"/>
        <v>41.26322326684847</v>
      </c>
      <c r="DX35" s="280">
        <f>Transport!$A48</f>
        <v>45139</v>
      </c>
      <c r="DY35" s="13">
        <f t="shared" ca="1" si="58"/>
        <v>1</v>
      </c>
      <c r="DZ35" s="281">
        <f t="shared" ca="1" si="60"/>
        <v>41.941143808995001</v>
      </c>
      <c r="EA35" s="127">
        <f t="shared" ca="1" si="61"/>
        <v>42.714974883778197</v>
      </c>
      <c r="EC35" s="280">
        <f>Transport!$A48</f>
        <v>45139</v>
      </c>
      <c r="ED35" s="13">
        <f t="shared" ca="1" si="63"/>
        <v>1</v>
      </c>
      <c r="EE35" s="281">
        <f t="shared" ca="1" si="64"/>
        <v>41.941143808995001</v>
      </c>
      <c r="EF35" s="127">
        <f t="shared" ca="1" si="69"/>
        <v>42.016753549134471</v>
      </c>
      <c r="EH35" s="280">
        <f>Transport!$A48</f>
        <v>45139</v>
      </c>
      <c r="EI35" s="13">
        <f t="shared" ca="1" si="71"/>
        <v>1</v>
      </c>
      <c r="EJ35" s="281">
        <f t="shared" ca="1" si="72"/>
        <v>41.941143808995001</v>
      </c>
      <c r="EK35" s="127">
        <f t="shared" ca="1" si="73"/>
        <v>40.85326193952686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33.106569953968474</v>
      </c>
      <c r="M36" s="574">
        <f ca="1">Transport!J49</f>
        <v>33.106569953968474</v>
      </c>
      <c r="N36" s="120"/>
      <c r="O36">
        <f t="shared" ca="1" si="8"/>
        <v>1</v>
      </c>
      <c r="P36" s="241">
        <f t="shared" ca="1" si="9"/>
        <v>39.689176274136216</v>
      </c>
      <c r="Q36" s="73">
        <f t="shared" ca="1" si="10"/>
        <v>39.689176274136216</v>
      </c>
      <c r="S36">
        <f t="shared" ca="1" si="11"/>
        <v>1</v>
      </c>
      <c r="T36" s="73">
        <f t="shared" ca="1" si="12"/>
        <v>42.845574818283183</v>
      </c>
      <c r="U36" s="73">
        <f t="shared" ca="1" si="13"/>
        <v>42.845574818283183</v>
      </c>
      <c r="V36" s="2">
        <v>30</v>
      </c>
      <c r="X36" s="121">
        <f>Transport!$A49</f>
        <v>45170</v>
      </c>
      <c r="Y36" s="73">
        <f t="shared" ca="1" si="0"/>
        <v>33.106569953968474</v>
      </c>
      <c r="Z36" s="15">
        <f t="shared" ca="1" si="14"/>
        <v>3.4997317507221748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104.99195252166524</v>
      </c>
      <c r="AE36" s="127">
        <f t="shared" ca="1" si="18"/>
        <v>3.7049678815796221</v>
      </c>
      <c r="AF36" s="127">
        <f t="shared" ca="1" si="19"/>
        <v>40.648741722537594</v>
      </c>
      <c r="AH36" s="121">
        <f>Transport!$A49</f>
        <v>45170</v>
      </c>
      <c r="AI36" s="73">
        <f t="shared" ca="1" si="20"/>
        <v>39.689176274136216</v>
      </c>
      <c r="AJ36" s="15">
        <f t="shared" ca="1" si="21"/>
        <v>3.6810785125895897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110.43235537768768</v>
      </c>
      <c r="AO36" s="127">
        <f t="shared" ca="1" si="25"/>
        <v>3.7090253842216976</v>
      </c>
      <c r="AP36" s="127">
        <f t="shared" ca="1" si="56"/>
        <v>40.814009159266817</v>
      </c>
      <c r="AR36" s="121">
        <f>Transport!$A49</f>
        <v>45170</v>
      </c>
      <c r="AS36" s="73">
        <f t="shared" ca="1" si="57"/>
        <v>39.689176274136216</v>
      </c>
      <c r="AT36" s="15">
        <f t="shared" ca="1" si="26"/>
        <v>3.6810785125895897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110.43235537768768</v>
      </c>
      <c r="AY36" s="127">
        <f t="shared" ca="1" si="30"/>
        <v>3.7519632447431941</v>
      </c>
      <c r="AZ36" s="127">
        <f t="shared" ca="1" si="59"/>
        <v>42.604643289566113</v>
      </c>
      <c r="BB36" s="121">
        <f>Transport!$A49</f>
        <v>45170</v>
      </c>
      <c r="BC36" s="73">
        <f t="shared" ca="1" si="62"/>
        <v>39.689176274136216</v>
      </c>
      <c r="BD36" s="15">
        <f t="shared" ca="1" si="31"/>
        <v>3.6810785125895897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110.43235537768768</v>
      </c>
      <c r="BI36" s="127">
        <f t="shared" ca="1" si="35"/>
        <v>3.7243975240532512</v>
      </c>
      <c r="BJ36" s="127">
        <f t="shared" ca="1" si="65"/>
        <v>41.446254849666026</v>
      </c>
      <c r="BL36" s="121">
        <f>Transport!$A49</f>
        <v>45170</v>
      </c>
      <c r="BM36" s="73">
        <f t="shared" ca="1" si="70"/>
        <v>39.689176274136216</v>
      </c>
      <c r="BN36" s="15">
        <f t="shared" ca="1" si="36"/>
        <v>3.6810785125895897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110.43235537768768</v>
      </c>
      <c r="BS36" s="127">
        <f t="shared" ca="1" si="40"/>
        <v>3.7336058610494436</v>
      </c>
      <c r="BT36" s="127">
        <f t="shared" ca="1" si="66"/>
        <v>41.829668523466303</v>
      </c>
      <c r="BZ36" s="583">
        <f t="shared" si="42"/>
        <v>1</v>
      </c>
      <c r="CA36" s="121">
        <f>Transport!$A49</f>
        <v>45170</v>
      </c>
      <c r="CB36" s="73">
        <f t="shared" ca="1" si="43"/>
        <v>39.689176274136216</v>
      </c>
      <c r="CC36" s="15">
        <f t="shared" ca="1" si="44"/>
        <v>3.6810785125895897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110.43235537768768</v>
      </c>
      <c r="CH36" s="127">
        <f t="shared" ca="1" si="48"/>
        <v>3.7045238530124198</v>
      </c>
      <c r="CI36" s="127">
        <f t="shared" ca="1" si="67"/>
        <v>40.630696526579698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33.106569953968474</v>
      </c>
      <c r="DT36" s="295">
        <f t="shared" ca="1" si="55"/>
        <v>40.814009159266817</v>
      </c>
      <c r="DX36" s="280">
        <f>Transport!$A49</f>
        <v>45170</v>
      </c>
      <c r="DY36" s="13">
        <f t="shared" ca="1" si="58"/>
        <v>1</v>
      </c>
      <c r="DZ36" s="281">
        <f t="shared" ca="1" si="60"/>
        <v>33.106569953968474</v>
      </c>
      <c r="EA36" s="127">
        <f t="shared" ca="1" si="61"/>
        <v>42.604643289566113</v>
      </c>
      <c r="EC36" s="280">
        <f>Transport!$A49</f>
        <v>45170</v>
      </c>
      <c r="ED36" s="13">
        <f t="shared" ca="1" si="63"/>
        <v>1</v>
      </c>
      <c r="EE36" s="281">
        <f t="shared" ca="1" si="64"/>
        <v>33.106569953968474</v>
      </c>
      <c r="EF36" s="127">
        <f t="shared" ca="1" si="69"/>
        <v>41.446254849666026</v>
      </c>
      <c r="EH36" s="280">
        <f>Transport!$A49</f>
        <v>45170</v>
      </c>
      <c r="EI36" s="13">
        <f t="shared" ca="1" si="71"/>
        <v>1</v>
      </c>
      <c r="EJ36" s="281">
        <f t="shared" ca="1" si="72"/>
        <v>33.106569953968474</v>
      </c>
      <c r="EK36" s="127">
        <f t="shared" ca="1" si="73"/>
        <v>41.829668523466303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44.019815059445179</v>
      </c>
      <c r="M37" s="574">
        <f ca="1">Transport!J50</f>
        <v>44.019815059445179</v>
      </c>
      <c r="N37" s="120"/>
      <c r="O37">
        <f t="shared" ca="1" si="8"/>
        <v>1</v>
      </c>
      <c r="P37" s="241">
        <f t="shared" ca="1" si="9"/>
        <v>42.758304889834243</v>
      </c>
      <c r="Q37" s="73">
        <f t="shared" ca="1" si="10"/>
        <v>42.758304889834243</v>
      </c>
      <c r="S37">
        <f t="shared" ca="1" si="11"/>
        <v>1</v>
      </c>
      <c r="T37" s="73">
        <f t="shared" ca="1" si="12"/>
        <v>43.484949572981428</v>
      </c>
      <c r="U37" s="73">
        <f t="shared" ca="1" si="13"/>
        <v>43.484949572981428</v>
      </c>
      <c r="V37" s="2">
        <v>31</v>
      </c>
      <c r="X37" s="121">
        <f>Transport!$A50</f>
        <v>45200</v>
      </c>
      <c r="Y37" s="73">
        <f t="shared" ca="1" si="0"/>
        <v>44.019815059445179</v>
      </c>
      <c r="Z37" s="15">
        <f t="shared" ca="1" si="14"/>
        <v>3.7846398748047374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117.32383611894686</v>
      </c>
      <c r="AE37" s="127">
        <f t="shared" ca="1" si="18"/>
        <v>3.695144199946232</v>
      </c>
      <c r="AF37" s="127">
        <f t="shared" ca="1" si="19"/>
        <v>40.25137641582068</v>
      </c>
      <c r="AH37" s="121">
        <f>Transport!$A50</f>
        <v>45200</v>
      </c>
      <c r="AI37" s="73">
        <f t="shared" ca="1" si="20"/>
        <v>42.758304889834243</v>
      </c>
      <c r="AJ37" s="15">
        <f t="shared" ca="1" si="21"/>
        <v>3.7555634429443612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116.42246673127519</v>
      </c>
      <c r="AO37" s="127">
        <f t="shared" ca="1" si="25"/>
        <v>3.6980791429875697</v>
      </c>
      <c r="AP37" s="127">
        <f t="shared" ca="1" si="56"/>
        <v>40.369685443139709</v>
      </c>
      <c r="AR37" s="121">
        <f>Transport!$A50</f>
        <v>45200</v>
      </c>
      <c r="AS37" s="73">
        <f t="shared" ca="1" si="57"/>
        <v>42.758304889834243</v>
      </c>
      <c r="AT37" s="15">
        <f t="shared" ca="1" si="26"/>
        <v>3.7555634429443612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116.42246673127519</v>
      </c>
      <c r="AY37" s="127">
        <f t="shared" ca="1" si="30"/>
        <v>3.7493769308783387</v>
      </c>
      <c r="AZ37" s="127">
        <f t="shared" ca="1" si="59"/>
        <v>42.494596678798679</v>
      </c>
      <c r="BB37" s="121">
        <f>Transport!$A50</f>
        <v>45200</v>
      </c>
      <c r="BC37" s="73">
        <f t="shared" ca="1" si="62"/>
        <v>42.758304889834243</v>
      </c>
      <c r="BD37" s="15">
        <f t="shared" ca="1" si="31"/>
        <v>3.7555634429443612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116.42246673127519</v>
      </c>
      <c r="BI37" s="127">
        <f t="shared" ca="1" si="35"/>
        <v>3.7107266153331944</v>
      </c>
      <c r="BJ37" s="127">
        <f t="shared" ca="1" si="65"/>
        <v>40.883502316633638</v>
      </c>
      <c r="BL37" s="121">
        <f>Transport!$A50</f>
        <v>45200</v>
      </c>
      <c r="BM37" s="73">
        <f t="shared" ca="1" si="70"/>
        <v>42.758304889834243</v>
      </c>
      <c r="BN37" s="15">
        <f t="shared" ca="1" si="36"/>
        <v>3.7555634429443612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116.42246673127519</v>
      </c>
      <c r="BS37" s="127">
        <f t="shared" ca="1" si="40"/>
        <v>3.7572250523400439</v>
      </c>
      <c r="BT37" s="127">
        <f t="shared" ca="1" si="66"/>
        <v>42.829411550370139</v>
      </c>
      <c r="BZ37" s="583">
        <f t="shared" si="42"/>
        <v>1</v>
      </c>
      <c r="CA37" s="121">
        <f>Transport!$A50</f>
        <v>45200</v>
      </c>
      <c r="CB37" s="73">
        <f t="shared" ca="1" si="43"/>
        <v>42.758304889834243</v>
      </c>
      <c r="CC37" s="15">
        <f t="shared" ca="1" si="44"/>
        <v>3.7555634429443612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116.42246673127519</v>
      </c>
      <c r="CH37" s="127">
        <f t="shared" ca="1" si="48"/>
        <v>3.6932573225059815</v>
      </c>
      <c r="CI37" s="127">
        <f t="shared" ca="1" si="67"/>
        <v>40.175498610294717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44.019815059445179</v>
      </c>
      <c r="DT37" s="295">
        <f t="shared" ca="1" si="55"/>
        <v>40.369685443139709</v>
      </c>
      <c r="DX37" s="280">
        <f>Transport!$A50</f>
        <v>45200</v>
      </c>
      <c r="DY37" s="13">
        <f t="shared" ca="1" si="58"/>
        <v>1</v>
      </c>
      <c r="DZ37" s="281">
        <f t="shared" ca="1" si="60"/>
        <v>44.019815059445179</v>
      </c>
      <c r="EA37" s="127">
        <f t="shared" ca="1" si="61"/>
        <v>42.494596678798679</v>
      </c>
      <c r="EC37" s="280">
        <f>Transport!$A50</f>
        <v>45200</v>
      </c>
      <c r="ED37" s="13">
        <f t="shared" ca="1" si="63"/>
        <v>1</v>
      </c>
      <c r="EE37" s="281">
        <f t="shared" ca="1" si="64"/>
        <v>44.019815059445179</v>
      </c>
      <c r="EF37" s="127">
        <f t="shared" ca="1" si="69"/>
        <v>40.883502316633638</v>
      </c>
      <c r="EH37" s="280">
        <f>Transport!$A50</f>
        <v>45200</v>
      </c>
      <c r="EI37" s="13">
        <f t="shared" ca="1" si="71"/>
        <v>1</v>
      </c>
      <c r="EJ37" s="281">
        <f t="shared" ca="1" si="72"/>
        <v>44.019815059445179</v>
      </c>
      <c r="EK37" s="127">
        <f t="shared" ca="1" si="73"/>
        <v>42.829411550370139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51.148529656089053</v>
      </c>
      <c r="M38" s="574">
        <f ca="1">Transport!J51</f>
        <v>51.148529656089053</v>
      </c>
      <c r="N38" s="120"/>
      <c r="O38">
        <f t="shared" ca="1" si="8"/>
        <v>1</v>
      </c>
      <c r="P38" s="241">
        <f t="shared" ca="1" si="9"/>
        <v>46.350869558308368</v>
      </c>
      <c r="Q38" s="73">
        <f t="shared" ca="1" si="10"/>
        <v>46.350869558308368</v>
      </c>
      <c r="S38">
        <f t="shared" ca="1" si="11"/>
        <v>1</v>
      </c>
      <c r="T38" s="73">
        <f t="shared" ca="1" si="12"/>
        <v>42.307684108216954</v>
      </c>
      <c r="U38" s="73">
        <f t="shared" ca="1" si="13"/>
        <v>42.307684108216954</v>
      </c>
      <c r="V38" s="2">
        <v>32</v>
      </c>
      <c r="X38" s="121">
        <f>Transport!$A51</f>
        <v>45231</v>
      </c>
      <c r="Y38" s="73">
        <f t="shared" ca="1" si="0"/>
        <v>51.148529656089053</v>
      </c>
      <c r="Z38" s="15">
        <f t="shared" ca="1" si="14"/>
        <v>3.9347337462579599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125.91147988025472</v>
      </c>
      <c r="AE38" s="127">
        <f t="shared" ca="1" si="18"/>
        <v>3.6853205183128419</v>
      </c>
      <c r="AF38" s="127">
        <f t="shared" ca="1" si="19"/>
        <v>39.857895588187034</v>
      </c>
      <c r="AH38" s="121">
        <f>Transport!$A51</f>
        <v>45231</v>
      </c>
      <c r="AI38" s="73">
        <f t="shared" ca="1" si="20"/>
        <v>46.350869558308368</v>
      </c>
      <c r="AJ38" s="15">
        <f t="shared" ca="1" si="21"/>
        <v>3.8362400525329368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122.75968168105398</v>
      </c>
      <c r="AO38" s="127">
        <f t="shared" ca="1" si="25"/>
        <v>3.6871329017534413</v>
      </c>
      <c r="AP38" s="127">
        <f t="shared" ca="1" si="56"/>
        <v>39.930198878980249</v>
      </c>
      <c r="AR38" s="121">
        <f>Transport!$A51</f>
        <v>45231</v>
      </c>
      <c r="AS38" s="73">
        <f t="shared" ca="1" si="57"/>
        <v>46.350869558308368</v>
      </c>
      <c r="AT38" s="15">
        <f t="shared" ca="1" si="26"/>
        <v>3.8362400525329368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122.75968168105398</v>
      </c>
      <c r="AY38" s="127">
        <f t="shared" ca="1" si="30"/>
        <v>3.7467906170134833</v>
      </c>
      <c r="AZ38" s="127">
        <f t="shared" ca="1" si="59"/>
        <v>42.384834315371585</v>
      </c>
      <c r="BB38" s="121">
        <f>Transport!$A51</f>
        <v>45231</v>
      </c>
      <c r="BC38" s="73">
        <f t="shared" ca="1" si="62"/>
        <v>46.350869558308368</v>
      </c>
      <c r="BD38" s="15">
        <f t="shared" ca="1" si="31"/>
        <v>3.8362400525329368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122.75968168105398</v>
      </c>
      <c r="BI38" s="127">
        <f t="shared" ca="1" si="35"/>
        <v>3.6970557066131375</v>
      </c>
      <c r="BJ38" s="127">
        <f t="shared" ca="1" si="65"/>
        <v>40.328390773470737</v>
      </c>
      <c r="BL38" s="121">
        <f>Transport!$A51</f>
        <v>45231</v>
      </c>
      <c r="BM38" s="73">
        <f t="shared" ca="1" si="70"/>
        <v>46.350869558308368</v>
      </c>
      <c r="BN38" s="15">
        <f t="shared" ca="1" si="36"/>
        <v>3.8362400525329368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122.75968168105398</v>
      </c>
      <c r="BS38" s="127">
        <f t="shared" ca="1" si="40"/>
        <v>3.7808442436306442</v>
      </c>
      <c r="BT38" s="127">
        <f t="shared" ca="1" si="66"/>
        <v>43.853048769007344</v>
      </c>
      <c r="BZ38" s="583">
        <f t="shared" si="42"/>
        <v>1</v>
      </c>
      <c r="CA38" s="121">
        <f>Transport!$A51</f>
        <v>45231</v>
      </c>
      <c r="CB38" s="73">
        <f t="shared" ca="1" si="43"/>
        <v>46.350869558308368</v>
      </c>
      <c r="CC38" s="15">
        <f t="shared" ca="1" si="44"/>
        <v>3.8362400525329368</v>
      </c>
      <c r="CD38" s="98">
        <f t="shared" ca="1" si="45"/>
        <v>1</v>
      </c>
      <c r="CE38" s="128">
        <f ca="1">IF(CD38&gt;0,32,0)</f>
        <v>32</v>
      </c>
      <c r="CF38" s="128">
        <f t="shared" ca="1" si="46"/>
        <v>1024</v>
      </c>
      <c r="CG38" s="15">
        <f t="shared" ca="1" si="47"/>
        <v>122.75968168105398</v>
      </c>
      <c r="CH38" s="127">
        <f t="shared" ca="1" si="48"/>
        <v>3.6819907919995432</v>
      </c>
      <c r="CI38" s="127">
        <f t="shared" ca="1" si="67"/>
        <v>39.725400413204923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51.148529656089053</v>
      </c>
      <c r="DT38" s="295">
        <f t="shared" ca="1" si="55"/>
        <v>39.930198878980249</v>
      </c>
      <c r="DX38" s="280">
        <f>Transport!$A51</f>
        <v>45231</v>
      </c>
      <c r="DY38" s="13">
        <f t="shared" ca="1" si="58"/>
        <v>1</v>
      </c>
      <c r="DZ38" s="281">
        <f t="shared" ca="1" si="60"/>
        <v>51.148529656089053</v>
      </c>
      <c r="EA38" s="127">
        <f t="shared" ca="1" si="61"/>
        <v>42.384834315371585</v>
      </c>
      <c r="EC38" s="280">
        <f>Transport!$A51</f>
        <v>45231</v>
      </c>
      <c r="ED38" s="13">
        <f t="shared" ca="1" si="63"/>
        <v>1</v>
      </c>
      <c r="EE38" s="281">
        <f t="shared" ca="1" si="64"/>
        <v>51.148529656089053</v>
      </c>
      <c r="EF38" s="127">
        <f t="shared" ca="1" si="69"/>
        <v>40.328390773470737</v>
      </c>
      <c r="EH38" s="280">
        <f>Transport!$A51</f>
        <v>45231</v>
      </c>
      <c r="EI38" s="13">
        <f t="shared" ca="1" si="71"/>
        <v>1</v>
      </c>
      <c r="EJ38" s="281">
        <f t="shared" ca="1" si="72"/>
        <v>51.148529656089053</v>
      </c>
      <c r="EK38" s="127">
        <f t="shared" ca="1" si="73"/>
        <v>43.853048769007344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43.884263959390864</v>
      </c>
      <c r="M39" s="574">
        <f ca="1">Transport!J52</f>
        <v>43.884263959390864</v>
      </c>
      <c r="N39" s="120"/>
      <c r="O39">
        <f t="shared" ca="1" si="8"/>
        <v>1</v>
      </c>
      <c r="P39" s="241">
        <f t="shared" ca="1" si="9"/>
        <v>47.28072287182664</v>
      </c>
      <c r="Q39" s="73">
        <f t="shared" ca="1" si="10"/>
        <v>47.28072287182664</v>
      </c>
      <c r="S39">
        <f t="shared" ca="1" si="11"/>
        <v>1</v>
      </c>
      <c r="T39" s="73">
        <f t="shared" ca="1" si="12"/>
        <v>43.211595904755143</v>
      </c>
      <c r="U39" s="73">
        <f t="shared" ca="1" si="13"/>
        <v>43.211595904755143</v>
      </c>
      <c r="V39" s="2">
        <v>33</v>
      </c>
      <c r="X39" s="121">
        <f>Transport!$A52</f>
        <v>45261</v>
      </c>
      <c r="Y39" s="73">
        <f t="shared" ca="1" si="0"/>
        <v>43.884263959390864</v>
      </c>
      <c r="Z39" s="15">
        <f t="shared" ca="1" si="14"/>
        <v>3.7815558038717749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124.79134152776857</v>
      </c>
      <c r="AE39" s="127">
        <f t="shared" ca="1" si="18"/>
        <v>3.6754968366794518</v>
      </c>
      <c r="AF39" s="127">
        <f t="shared" ca="1" si="19"/>
        <v>39.46826126657384</v>
      </c>
      <c r="AH39" s="121">
        <f>Transport!$A52</f>
        <v>45261</v>
      </c>
      <c r="AI39" s="73">
        <f t="shared" ca="1" si="20"/>
        <v>47.28072287182664</v>
      </c>
      <c r="AJ39" s="15">
        <f t="shared" ca="1" si="21"/>
        <v>3.8561026621481949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127.25138785089042</v>
      </c>
      <c r="AO39" s="127">
        <f t="shared" ca="1" si="25"/>
        <v>3.6761866605193134</v>
      </c>
      <c r="AP39" s="127">
        <f t="shared" ca="1" si="56"/>
        <v>39.495496806895893</v>
      </c>
      <c r="AR39" s="121">
        <f>Transport!$A52</f>
        <v>45261</v>
      </c>
      <c r="AS39" s="73">
        <f t="shared" ca="1" si="57"/>
        <v>47.28072287182664</v>
      </c>
      <c r="AT39" s="15">
        <f t="shared" ca="1" si="26"/>
        <v>3.8561026621481949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127.25138785089042</v>
      </c>
      <c r="AY39" s="127">
        <f t="shared" ca="1" si="30"/>
        <v>3.7442043031486278</v>
      </c>
      <c r="AZ39" s="127">
        <f t="shared" ca="1" si="59"/>
        <v>42.275355465081851</v>
      </c>
      <c r="BB39" s="121">
        <f>Transport!$A52</f>
        <v>45261</v>
      </c>
      <c r="BC39" s="73">
        <f t="shared" ca="1" si="62"/>
        <v>47.28072287182664</v>
      </c>
      <c r="BD39" s="15">
        <f t="shared" ca="1" si="31"/>
        <v>3.8561026621481949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127.25138785089042</v>
      </c>
      <c r="BI39" s="127">
        <f t="shared" ca="1" si="35"/>
        <v>3.6833847978930812</v>
      </c>
      <c r="BJ39" s="127">
        <f t="shared" ca="1" si="65"/>
        <v>39.780816471686201</v>
      </c>
      <c r="BL39" s="121">
        <f>Transport!$A52</f>
        <v>45261</v>
      </c>
      <c r="BM39" s="73">
        <f t="shared" ca="1" si="70"/>
        <v>47.28072287182664</v>
      </c>
      <c r="BN39" s="15">
        <f t="shared" ca="1" si="36"/>
        <v>3.8561026621481949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127.25138785089042</v>
      </c>
      <c r="BS39" s="127">
        <f t="shared" ca="1" si="40"/>
        <v>3.8044634349212445</v>
      </c>
      <c r="BT39" s="127">
        <f t="shared" ca="1" si="66"/>
        <v>44.901151258528479</v>
      </c>
      <c r="BZ39" s="583">
        <f t="shared" si="42"/>
        <v>0</v>
      </c>
      <c r="CA39" s="121">
        <f>Transport!$A52</f>
        <v>45261</v>
      </c>
      <c r="CB39" s="73">
        <f t="shared" ca="1" si="43"/>
        <v>0</v>
      </c>
      <c r="CC39" s="15">
        <f t="shared" ca="1" si="44"/>
        <v>0</v>
      </c>
      <c r="CD39" s="98">
        <f t="shared" ca="1" si="45"/>
        <v>0</v>
      </c>
      <c r="CE39" s="128">
        <f ca="1">IF(CD39&gt;0,33,0)</f>
        <v>0</v>
      </c>
      <c r="CF39" s="128">
        <f t="shared" ca="1" si="46"/>
        <v>0</v>
      </c>
      <c r="CG39" s="15">
        <f t="shared" ca="1" si="47"/>
        <v>0</v>
      </c>
      <c r="CH39" s="127">
        <f t="shared" ca="1" si="48"/>
        <v>3.6707242614931053</v>
      </c>
      <c r="CI39" s="127">
        <f t="shared" ca="1" si="67"/>
        <v>39.280344801622014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43.884263959390864</v>
      </c>
      <c r="DT39" s="295">
        <f t="shared" ca="1" si="55"/>
        <v>39.495496806895893</v>
      </c>
      <c r="DX39" s="280">
        <f>Transport!$A52</f>
        <v>45261</v>
      </c>
      <c r="DY39" s="13">
        <f t="shared" ca="1" si="58"/>
        <v>1</v>
      </c>
      <c r="DZ39" s="281">
        <f t="shared" ca="1" si="60"/>
        <v>43.884263959390864</v>
      </c>
      <c r="EA39" s="127">
        <f t="shared" ca="1" si="61"/>
        <v>42.275355465081851</v>
      </c>
      <c r="EC39" s="280">
        <f>Transport!$A52</f>
        <v>45261</v>
      </c>
      <c r="ED39" s="13">
        <f t="shared" ca="1" si="63"/>
        <v>1</v>
      </c>
      <c r="EE39" s="281">
        <f t="shared" ca="1" si="64"/>
        <v>43.884263959390864</v>
      </c>
      <c r="EF39" s="127">
        <f t="shared" ca="1" si="69"/>
        <v>39.780816471686201</v>
      </c>
      <c r="EH39" s="280">
        <f>Transport!$A52</f>
        <v>45261</v>
      </c>
      <c r="EI39" s="13">
        <f t="shared" ca="1" si="71"/>
        <v>1</v>
      </c>
      <c r="EJ39" s="281">
        <f t="shared" ca="1" si="72"/>
        <v>43.884263959390864</v>
      </c>
      <c r="EK39" s="127">
        <f t="shared" ca="1" si="73"/>
        <v>44.901151258528479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46.809375000000003</v>
      </c>
      <c r="M40" s="574">
        <f ca="1">Transport!J53</f>
        <v>46.809375000000003</v>
      </c>
      <c r="N40" s="120"/>
      <c r="O40">
        <f t="shared" ca="1" si="8"/>
        <v>1</v>
      </c>
      <c r="P40" s="241">
        <f t="shared" ca="1" si="9"/>
        <v>41.857063326599679</v>
      </c>
      <c r="Q40" s="73">
        <f t="shared" ca="1" si="10"/>
        <v>41.857063326599679</v>
      </c>
      <c r="S40">
        <f t="shared" ca="1" si="11"/>
        <v>1</v>
      </c>
      <c r="T40" s="73">
        <f t="shared" ca="1" si="12"/>
        <v>43.049952073817124</v>
      </c>
      <c r="U40" s="73">
        <f t="shared" ca="1" si="13"/>
        <v>43.049952073817124</v>
      </c>
      <c r="V40" s="2">
        <v>34</v>
      </c>
      <c r="X40" s="121">
        <f>Transport!$A53</f>
        <v>45292</v>
      </c>
      <c r="Y40" s="73">
        <f t="shared" ca="1" si="0"/>
        <v>46.809375000000003</v>
      </c>
      <c r="Z40" s="15">
        <f t="shared" ca="1" si="14"/>
        <v>3.8460835033749468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130.76683911474819</v>
      </c>
      <c r="AE40" s="127">
        <f t="shared" ca="1" si="18"/>
        <v>3.6656731550460617</v>
      </c>
      <c r="AF40" s="127">
        <f t="shared" ca="1" si="19"/>
        <v>39.082435849127286</v>
      </c>
      <c r="AH40" s="121">
        <f>Transport!$A53</f>
        <v>45292</v>
      </c>
      <c r="AI40" s="73">
        <f t="shared" ca="1" si="20"/>
        <v>41.857063326599679</v>
      </c>
      <c r="AJ40" s="15">
        <f t="shared" ca="1" si="21"/>
        <v>3.7342605599128422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126.96485903703663</v>
      </c>
      <c r="AO40" s="127">
        <f t="shared" ca="1" si="25"/>
        <v>3.6652404192851851</v>
      </c>
      <c r="AP40" s="127">
        <f t="shared" ca="1" si="56"/>
        <v>39.065527140278554</v>
      </c>
      <c r="AR40" s="121">
        <f>Transport!$A53</f>
        <v>45292</v>
      </c>
      <c r="AS40" s="73">
        <f t="shared" ca="1" si="57"/>
        <v>41.857063326599679</v>
      </c>
      <c r="AT40" s="15">
        <f t="shared" ca="1" si="26"/>
        <v>3.7342605599128422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126.96485903703663</v>
      </c>
      <c r="AY40" s="127">
        <f t="shared" ca="1" si="30"/>
        <v>3.7416179892837724</v>
      </c>
      <c r="AZ40" s="127">
        <f t="shared" ca="1" si="59"/>
        <v>42.166159395622913</v>
      </c>
      <c r="BB40" s="121">
        <f>Transport!$A53</f>
        <v>45292</v>
      </c>
      <c r="BC40" s="73">
        <f t="shared" ca="1" si="62"/>
        <v>41.857063326599679</v>
      </c>
      <c r="BD40" s="15">
        <f t="shared" ca="1" si="31"/>
        <v>3.7342605599128422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126.96485903703663</v>
      </c>
      <c r="BI40" s="127">
        <f t="shared" ca="1" si="35"/>
        <v>3.6697138891730248</v>
      </c>
      <c r="BJ40" s="127">
        <f t="shared" ca="1" si="65"/>
        <v>39.240677071474082</v>
      </c>
      <c r="BL40" s="121">
        <f>Transport!$A53</f>
        <v>45292</v>
      </c>
      <c r="BM40" s="73">
        <f t="shared" ca="1" si="70"/>
        <v>41.857063326599679</v>
      </c>
      <c r="BN40" s="15">
        <f t="shared" ca="1" si="36"/>
        <v>3.7342605599128422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126.96485903703663</v>
      </c>
      <c r="BS40" s="127">
        <f t="shared" ca="1" si="40"/>
        <v>3.8280826262118448</v>
      </c>
      <c r="BT40" s="127">
        <f t="shared" ca="1" si="66"/>
        <v>45.974303747066259</v>
      </c>
      <c r="BZ40" s="583">
        <f t="shared" si="42"/>
        <v>0</v>
      </c>
      <c r="CA40" s="121">
        <f>Transport!$A53</f>
        <v>45292</v>
      </c>
      <c r="CB40" s="73">
        <f t="shared" ca="1" si="43"/>
        <v>0</v>
      </c>
      <c r="CC40" s="15">
        <f t="shared" ca="1" si="44"/>
        <v>0</v>
      </c>
      <c r="CD40" s="98">
        <f t="shared" ca="1" si="45"/>
        <v>0</v>
      </c>
      <c r="CE40" s="128">
        <f ca="1">IF(CD40&gt;0,34,0)</f>
        <v>0</v>
      </c>
      <c r="CF40" s="128">
        <f t="shared" ca="1" si="46"/>
        <v>0</v>
      </c>
      <c r="CG40" s="15">
        <f t="shared" ca="1" si="47"/>
        <v>0</v>
      </c>
      <c r="CH40" s="127">
        <f t="shared" ca="1" si="48"/>
        <v>3.6594577309866669</v>
      </c>
      <c r="CI40" s="127">
        <f t="shared" ca="1" si="67"/>
        <v>38.840275281943541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46.809375000000003</v>
      </c>
      <c r="DT40" s="295">
        <f t="shared" ca="1" si="55"/>
        <v>39.065527140278554</v>
      </c>
      <c r="DX40" s="280">
        <f>Transport!$A53</f>
        <v>45292</v>
      </c>
      <c r="DY40" s="13">
        <f t="shared" ca="1" si="58"/>
        <v>1</v>
      </c>
      <c r="DZ40" s="281">
        <f t="shared" ca="1" si="60"/>
        <v>46.809375000000003</v>
      </c>
      <c r="EA40" s="127">
        <f t="shared" ca="1" si="61"/>
        <v>42.166159395622913</v>
      </c>
      <c r="EC40" s="280">
        <f>Transport!$A53</f>
        <v>45292</v>
      </c>
      <c r="ED40" s="13">
        <f t="shared" ca="1" si="63"/>
        <v>1</v>
      </c>
      <c r="EE40" s="281">
        <f t="shared" ca="1" si="64"/>
        <v>46.809375000000003</v>
      </c>
      <c r="EF40" s="127">
        <f t="shared" ca="1" si="69"/>
        <v>39.240677071474082</v>
      </c>
      <c r="EH40" s="280">
        <f>Transport!$A53</f>
        <v>45292</v>
      </c>
      <c r="EI40" s="13">
        <f t="shared" ca="1" si="71"/>
        <v>1</v>
      </c>
      <c r="EJ40" s="281">
        <f t="shared" ca="1" si="72"/>
        <v>46.809375000000003</v>
      </c>
      <c r="EK40" s="127">
        <f t="shared" ca="1" si="73"/>
        <v>45.974303747066259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34.877551020408163</v>
      </c>
      <c r="M41" s="574">
        <f ca="1">Transport!J54</f>
        <v>34.877551020408163</v>
      </c>
      <c r="N41" s="120"/>
      <c r="O41">
        <f t="shared" ca="1" si="8"/>
        <v>1</v>
      </c>
      <c r="P41" s="241">
        <f t="shared" ca="1" si="9"/>
        <v>40.072322251201911</v>
      </c>
      <c r="Q41" s="73">
        <f t="shared" ca="1" si="10"/>
        <v>40.072322251201911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34.877551020408163</v>
      </c>
      <c r="Z41" s="15">
        <f t="shared" ca="1" si="14"/>
        <v>3.5518433850049642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124.31451847517374</v>
      </c>
      <c r="AE41" s="127">
        <f t="shared" ca="1" si="18"/>
        <v>3.6558494734126716</v>
      </c>
      <c r="AF41" s="127">
        <f t="shared" ca="1" si="19"/>
        <v>38.700382101573716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3.6542941780510572</v>
      </c>
      <c r="AP41" s="127">
        <f t="shared" ca="1" si="56"/>
        <v>38.640238359563618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3.739031675418917</v>
      </c>
      <c r="AZ41" s="127">
        <f t="shared" ca="1" si="59"/>
        <v>42.057245376579736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3.6560429804529679</v>
      </c>
      <c r="BJ41" s="127">
        <f t="shared" ca="1" si="65"/>
        <v>38.70787162258668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3.8517018175024447</v>
      </c>
      <c r="BT41" s="127">
        <f t="shared" ca="1" si="66"/>
        <v>47.073104937950738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3.6481912004802286</v>
      </c>
      <c r="CI41" s="127">
        <f t="shared" ca="1" si="67"/>
        <v>38.405135993481927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34.877551020408163</v>
      </c>
      <c r="DT41" s="295">
        <f t="shared" ca="1" si="55"/>
        <v>38.640238359563618</v>
      </c>
      <c r="DX41" s="280">
        <f>Transport!$A54</f>
        <v>45323</v>
      </c>
      <c r="DY41" s="13">
        <f t="shared" ca="1" si="58"/>
        <v>1</v>
      </c>
      <c r="DZ41" s="281">
        <f t="shared" ca="1" si="60"/>
        <v>34.877551020408163</v>
      </c>
      <c r="EA41" s="127">
        <f t="shared" ca="1" si="61"/>
        <v>42.057245376579736</v>
      </c>
      <c r="EC41" s="280">
        <f>Transport!$A54</f>
        <v>45323</v>
      </c>
      <c r="ED41" s="13">
        <f t="shared" ca="1" si="63"/>
        <v>1</v>
      </c>
      <c r="EE41" s="281">
        <f t="shared" ca="1" si="64"/>
        <v>34.877551020408163</v>
      </c>
      <c r="EF41" s="127">
        <f t="shared" ca="1" si="69"/>
        <v>38.70787162258668</v>
      </c>
      <c r="EH41" s="280">
        <f>Transport!$A54</f>
        <v>45323</v>
      </c>
      <c r="EI41" s="13">
        <f t="shared" ca="1" si="71"/>
        <v>1</v>
      </c>
      <c r="EJ41" s="281">
        <f t="shared" ca="1" si="72"/>
        <v>34.877551020408163</v>
      </c>
      <c r="EK41" s="127">
        <f t="shared" ca="1" si="73"/>
        <v>47.073104937950738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38.530040733197559</v>
      </c>
      <c r="M42" s="574">
        <f ca="1">Transport!J55</f>
        <v>38.530040733197559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38.530040733197559</v>
      </c>
      <c r="Z42" s="15">
        <f t="shared" ca="1" si="14"/>
        <v>3.6514382158188612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131.45177576947901</v>
      </c>
      <c r="AE42" s="127">
        <f t="shared" ca="1" si="18"/>
        <v>3.646025791779282</v>
      </c>
      <c r="AF42" s="127">
        <f t="shared" ca="1" si="19"/>
        <v>38.322063153626395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3.6433479368169288</v>
      </c>
      <c r="AP42" s="127">
        <f t="shared" ca="1" si="56"/>
        <v>38.219579506056668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3.736445361554062</v>
      </c>
      <c r="AZ42" s="127">
        <f t="shared" ca="1" si="59"/>
        <v>41.948612679423938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3.6423720717329111</v>
      </c>
      <c r="BJ42" s="127">
        <f t="shared" ca="1" si="65"/>
        <v>38.182300545467307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3.875321008793045</v>
      </c>
      <c r="BT42" s="127">
        <f t="shared" ca="1" si="66"/>
        <v>48.198167843721258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3.6369246699737903</v>
      </c>
      <c r="CI42" s="127">
        <f t="shared" ca="1" si="67"/>
        <v>37.974871701373672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38.530040733197559</v>
      </c>
      <c r="DT42" s="296">
        <f ca="1">+DT41/DT40*DT41</f>
        <v>38.219579506056689</v>
      </c>
      <c r="DX42" s="280">
        <f>Transport!$A55</f>
        <v>45352</v>
      </c>
      <c r="DY42" s="13">
        <f t="shared" ca="1" si="58"/>
        <v>1</v>
      </c>
      <c r="DZ42" s="281">
        <f t="shared" ca="1" si="60"/>
        <v>38.530040733197559</v>
      </c>
      <c r="EA42" s="296">
        <f ca="1">+EA41/EA40*EA41</f>
        <v>41.948612679423924</v>
      </c>
      <c r="EC42" s="280">
        <f>Transport!$A55</f>
        <v>45352</v>
      </c>
      <c r="ED42" s="13">
        <f t="shared" ca="1" si="63"/>
        <v>1</v>
      </c>
      <c r="EE42" s="281">
        <f t="shared" ca="1" si="64"/>
        <v>38.530040733197559</v>
      </c>
      <c r="EF42" s="296">
        <f ca="1">+EF41/EF40*EF41</f>
        <v>38.182300545467299</v>
      </c>
      <c r="EH42" s="280">
        <f>Transport!$A55</f>
        <v>45352</v>
      </c>
      <c r="EI42" s="13">
        <f t="shared" ca="1" si="71"/>
        <v>1</v>
      </c>
      <c r="EJ42" s="281">
        <f t="shared" ca="1" si="72"/>
        <v>38.530040733197559</v>
      </c>
      <c r="EK42" s="127">
        <f t="shared" ca="1" si="73"/>
        <v>48.198167843721258</v>
      </c>
    </row>
    <row r="43" spans="1:141" x14ac:dyDescent="0.2">
      <c r="X43" s="121" t="s">
        <v>86</v>
      </c>
      <c r="Y43" s="73">
        <f t="shared" ref="Y43:AD43" ca="1" si="74">SUM(Y7:Y42)</f>
        <v>1686.3619537214856</v>
      </c>
      <c r="Z43" s="15">
        <f t="shared" ca="1" si="74"/>
        <v>137.44584793308988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2504.5831836164425</v>
      </c>
      <c r="AE43" s="66"/>
      <c r="AF43" s="120"/>
      <c r="AH43" s="121" t="s">
        <v>86</v>
      </c>
      <c r="AI43" s="73">
        <f t="shared" ref="AI43:AN43" ca="1" si="75">SUM(AI7:AI42)</f>
        <v>1560.6145387469642</v>
      </c>
      <c r="AJ43" s="15">
        <f t="shared" ca="1" si="75"/>
        <v>126.73254920803078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2248.4347319720423</v>
      </c>
      <c r="AO43" s="66"/>
      <c r="AP43" s="120"/>
      <c r="AR43" s="121" t="s">
        <v>86</v>
      </c>
      <c r="AS43" s="73">
        <f t="shared" ref="AS43:AX43" ca="1" si="76">SUM(AS7:AS42)</f>
        <v>1053.0676500485756</v>
      </c>
      <c r="AT43" s="15">
        <f t="shared" ca="1" si="76"/>
        <v>90.512654369510614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2033.5604623694053</v>
      </c>
      <c r="AY43" s="66"/>
      <c r="AZ43" s="120"/>
      <c r="BB43" s="121" t="s">
        <v>86</v>
      </c>
      <c r="BC43" s="73">
        <f t="shared" ref="BC43:BH43" ca="1" si="77">SUM(BC7:BC42)</f>
        <v>803.14003925777388</v>
      </c>
      <c r="BD43" s="15">
        <f t="shared" ca="1" si="77"/>
        <v>68.1464990392831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1731.1121702268517</v>
      </c>
      <c r="BI43" s="66"/>
      <c r="BJ43" s="120"/>
      <c r="BL43" s="121" t="s">
        <v>86</v>
      </c>
      <c r="BM43" s="73">
        <f t="shared" ref="BM43:BR43" ca="1" si="78">SUM(BM7:BM42)</f>
        <v>486.86106719490482</v>
      </c>
      <c r="BN43" s="15">
        <f t="shared" ca="1" si="78"/>
        <v>44.378124889362525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1268.1541037013876</v>
      </c>
      <c r="BS43" s="66"/>
      <c r="BT43" s="120"/>
      <c r="CA43" s="121" t="s">
        <v>86</v>
      </c>
      <c r="CB43" s="73">
        <f t="shared" ref="CB43:CG43" ca="1" si="79">SUM(CB7:CB42)</f>
        <v>845.04537042445395</v>
      </c>
      <c r="CC43" s="15">
        <f t="shared" ca="1" si="79"/>
        <v>71.884401764592255</v>
      </c>
      <c r="CD43" s="98">
        <f t="shared" ca="1" si="79"/>
        <v>19</v>
      </c>
      <c r="CE43" s="128">
        <f t="shared" ca="1" si="79"/>
        <v>437</v>
      </c>
      <c r="CF43" s="7">
        <f t="shared" ca="1" si="79"/>
        <v>10621</v>
      </c>
      <c r="CG43" s="15">
        <f t="shared" ca="1" si="79"/>
        <v>1646.9193181969522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3.8179402203636079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69.571755100456741</v>
      </c>
      <c r="AH44" s="7" t="s">
        <v>176</v>
      </c>
      <c r="AI44" s="7"/>
      <c r="AJ44" s="15">
        <f ca="1">+AJ43/AK43</f>
        <v>3.8403802790312356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68.134385817334618</v>
      </c>
      <c r="AR44" s="7" t="s">
        <v>176</v>
      </c>
      <c r="AS44" s="7"/>
      <c r="AT44" s="15">
        <f ca="1">+AT43/AU43</f>
        <v>3.771360598729609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84.731685932058554</v>
      </c>
      <c r="BB44" s="7" t="s">
        <v>176</v>
      </c>
      <c r="BC44" s="7"/>
      <c r="BD44" s="15">
        <f ca="1">+BD43/BE43</f>
        <v>3.7859166132935056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96.172898345936204</v>
      </c>
      <c r="BL44" s="7" t="s">
        <v>176</v>
      </c>
      <c r="BM44" s="7"/>
      <c r="BN44" s="15">
        <f ca="1">+BN43/BO43</f>
        <v>3.6981770741135436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105.67950864178231</v>
      </c>
      <c r="CA44" s="7" t="s">
        <v>176</v>
      </c>
      <c r="CB44" s="7"/>
      <c r="CC44" s="15">
        <f ca="1">+CC43/CD43</f>
        <v>3.7833895665574873</v>
      </c>
      <c r="CD44" s="7"/>
      <c r="CE44" s="7">
        <f ca="1">+CE43/CD43</f>
        <v>23</v>
      </c>
      <c r="CF44" s="7">
        <f ca="1">+CF43/CD43</f>
        <v>559</v>
      </c>
      <c r="CG44" s="15">
        <f ca="1">+CG43/CD43</f>
        <v>86.679964115629062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19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137.44584793308988</v>
      </c>
      <c r="AH47" t="s">
        <v>254</v>
      </c>
      <c r="AI47" s="66">
        <f ca="1">AJ43</f>
        <v>126.73254920803078</v>
      </c>
      <c r="AR47" t="s">
        <v>254</v>
      </c>
      <c r="AS47" s="66">
        <f ca="1">AT43</f>
        <v>90.512654369510614</v>
      </c>
      <c r="BB47" t="s">
        <v>254</v>
      </c>
      <c r="BC47" s="66">
        <f ca="1">BD43</f>
        <v>68.1464990392831</v>
      </c>
      <c r="BL47" t="s">
        <v>254</v>
      </c>
      <c r="BM47" s="66">
        <f ca="1">BN43</f>
        <v>44.378124889362525</v>
      </c>
      <c r="CA47" t="s">
        <v>254</v>
      </c>
      <c r="CB47" s="66">
        <f ca="1">CC43</f>
        <v>71.884401764592255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46.843387603374602</v>
      </c>
      <c r="DX47" s="250" t="s">
        <v>245</v>
      </c>
      <c r="DY47" s="232"/>
      <c r="DZ47" s="293">
        <f ca="1">SUMPRODUCT(DY7:DY42,DZ7:DZ42)/DY44</f>
        <v>43.796653599317182</v>
      </c>
      <c r="EC47" s="250" t="s">
        <v>245</v>
      </c>
      <c r="ED47" s="232"/>
      <c r="EE47" s="293">
        <f ca="1">SUMPRODUCT(ED7:ED42,EE7:EE42)/ED44</f>
        <v>42.78233991432527</v>
      </c>
      <c r="EH47" s="250" t="s">
        <v>245</v>
      </c>
      <c r="EI47" s="232"/>
      <c r="EJ47" s="293">
        <f ca="1">SUMPRODUCT(EI7:EI42,EJ7:EJ42)/EI44</f>
        <v>41.403121988997015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2340.5790406719238</v>
      </c>
      <c r="DX48" s="250" t="s">
        <v>521</v>
      </c>
      <c r="DY48" s="232"/>
      <c r="DZ48" s="293">
        <f ca="1">SUMPRODUCT(DY7:DY42,DZ7:DZ42,DZ7:DZ42)/DY44</f>
        <v>2010.3919433610247</v>
      </c>
      <c r="EC48" s="250" t="s">
        <v>521</v>
      </c>
      <c r="ED48" s="232"/>
      <c r="EE48" s="293">
        <f ca="1">SUMPRODUCT(ED7:ED42,EE7:EE42,EE7:EE42)/ED44</f>
        <v>1925.1728234360723</v>
      </c>
      <c r="EH48" s="250" t="s">
        <v>521</v>
      </c>
      <c r="EI48" s="232"/>
      <c r="EJ48" s="293">
        <f ca="1">SUMPRODUCT(EI7:EI42,EJ7:EJ42,EJ7:EJ42)/EI44</f>
        <v>1744.4310720446583</v>
      </c>
    </row>
    <row r="49" spans="24:140" x14ac:dyDescent="0.2">
      <c r="X49" s="1" t="s">
        <v>255</v>
      </c>
      <c r="Y49" s="59">
        <f ca="1">+AD44</f>
        <v>69.571755100456741</v>
      </c>
      <c r="AA49" t="s">
        <v>244</v>
      </c>
      <c r="AH49" s="1" t="s">
        <v>255</v>
      </c>
      <c r="AI49" s="59">
        <f ca="1">+AN44</f>
        <v>68.134385817334618</v>
      </c>
      <c r="AK49" t="s">
        <v>244</v>
      </c>
      <c r="AR49" s="1" t="s">
        <v>255</v>
      </c>
      <c r="AS49" s="59">
        <f ca="1">+AX44</f>
        <v>84.731685932058554</v>
      </c>
      <c r="AU49" t="s">
        <v>244</v>
      </c>
      <c r="BB49" s="1" t="s">
        <v>255</v>
      </c>
      <c r="BC49" s="59">
        <f ca="1">+BH44</f>
        <v>96.172898345936204</v>
      </c>
      <c r="BE49" t="s">
        <v>244</v>
      </c>
      <c r="BL49" s="1" t="s">
        <v>255</v>
      </c>
      <c r="BM49" s="59">
        <f ca="1">+BR44</f>
        <v>105.67950864178231</v>
      </c>
      <c r="BO49" t="s">
        <v>244</v>
      </c>
      <c r="CA49" s="1" t="s">
        <v>255</v>
      </c>
      <c r="CB49" s="59">
        <f ca="1">+CG44</f>
        <v>86.679964115629062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43.491355894087782</v>
      </c>
      <c r="DX49" s="250" t="s">
        <v>522</v>
      </c>
      <c r="DY49" s="232"/>
      <c r="DZ49" s="293">
        <f ca="1">SUMPRODUCT(DY7:DY42,EA7:EA42)/DY44</f>
        <v>43.221939433989228</v>
      </c>
      <c r="EC49" s="250" t="s">
        <v>522</v>
      </c>
      <c r="ED49" s="232"/>
      <c r="EE49" s="293">
        <f ca="1">SUMPRODUCT(ED7:ED42,EF7:EF42)/ED44</f>
        <v>42.995213787764087</v>
      </c>
      <c r="EH49" s="250" t="s">
        <v>522</v>
      </c>
      <c r="EI49" s="232"/>
      <c r="EJ49" s="293">
        <f ca="1">SUMPRODUCT(EI7:EI42,EK7:EK42)/EI44</f>
        <v>42.467419063691828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23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2025.8064547922154</v>
      </c>
      <c r="DX50" s="250" t="s">
        <v>523</v>
      </c>
      <c r="DY50" s="232"/>
      <c r="DZ50" s="293">
        <f ca="1">SUMPRODUCT(DY7:DY42,EA7:EA42,EA7:EA42)/DY44</f>
        <v>1868.7347761733606</v>
      </c>
      <c r="EC50" s="250" t="s">
        <v>523</v>
      </c>
      <c r="ED50" s="232"/>
      <c r="EE50" s="293">
        <f ca="1">SUMPRODUCT(ED7:ED42,EF7:EF42,EF7:EF42)/ED44</f>
        <v>1857.8782920277849</v>
      </c>
      <c r="EH50" s="250" t="s">
        <v>523</v>
      </c>
      <c r="EI50" s="232"/>
      <c r="EJ50" s="293">
        <f ca="1">SUMPRODUCT(EI7:EI42,EK7:EK42,EK7:EK42)/EI44</f>
        <v>1815.4543682222054</v>
      </c>
    </row>
    <row r="51" spans="24:140" x14ac:dyDescent="0.2">
      <c r="X51" s="1" t="s">
        <v>256</v>
      </c>
      <c r="Y51" s="59">
        <f ca="1">Y47/Y46</f>
        <v>3.8179402203636079</v>
      </c>
      <c r="AH51" s="1" t="s">
        <v>256</v>
      </c>
      <c r="AI51" s="59">
        <f ca="1">AI47/AI46</f>
        <v>3.8403802790312356</v>
      </c>
      <c r="AR51" s="1" t="s">
        <v>256</v>
      </c>
      <c r="AS51" s="59">
        <f ca="1">AS47/AS46</f>
        <v>3.771360598729609</v>
      </c>
      <c r="BB51" s="1" t="s">
        <v>256</v>
      </c>
      <c r="BC51" s="59">
        <f ca="1">BC47/BC46</f>
        <v>3.7859166132935056</v>
      </c>
      <c r="BL51" s="1" t="s">
        <v>256</v>
      </c>
      <c r="BM51" s="59">
        <f ca="1">BM47/BM46</f>
        <v>3.6981770741135436</v>
      </c>
      <c r="CA51" s="1" t="s">
        <v>256</v>
      </c>
      <c r="CB51" s="59">
        <f ca="1">CB47/CB46</f>
        <v>3.7833895665574873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2052.2784171777566</v>
      </c>
      <c r="DX51" s="250" t="s">
        <v>524</v>
      </c>
      <c r="DY51" s="232"/>
      <c r="DZ51" s="293">
        <f ca="1">SUMPRODUCT(DY7:DY42,DZ7:DZ42,EA7:EA42)/DY44</f>
        <v>1894.7071376983658</v>
      </c>
      <c r="EC51" s="250" t="s">
        <v>524</v>
      </c>
      <c r="ED51" s="232"/>
      <c r="EE51" s="293">
        <f ca="1">SUMPRODUCT(ED7:ED42,EE7:EE42,EF7:EF42)/ED44</f>
        <v>1847.0817546790588</v>
      </c>
      <c r="EH51" s="250" t="s">
        <v>524</v>
      </c>
      <c r="EI51" s="232"/>
      <c r="EJ51" s="293">
        <f ca="1">SUMPRODUCT(EI7:EI42,EJ7:EJ42,EK7:EK42)/EI44</f>
        <v>1759.6029155528101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559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0.10698834167810307</v>
      </c>
      <c r="DX52" s="232" t="s">
        <v>525</v>
      </c>
      <c r="DY52" s="232"/>
      <c r="DZ52" s="262">
        <f ca="1">(DZ51-DZ47*DZ49)/SQRT((DZ48-DZ47^2)*(DZ50-DZ49^2))</f>
        <v>0.23289905646753167</v>
      </c>
      <c r="EC52" s="232" t="s">
        <v>525</v>
      </c>
      <c r="ED52" s="232"/>
      <c r="EE52" s="262">
        <f ca="1">(EE51-EE47*EE49)/SQRT((EE48-EE47^2)*(EE50-EE49^2))</f>
        <v>0.25758363712413374</v>
      </c>
      <c r="EH52" s="232" t="s">
        <v>525</v>
      </c>
      <c r="EI52" s="232"/>
      <c r="EJ52" s="262">
        <f ca="1">(EJ51-EJ47*EJ49)/SQRT((EJ48-EJ47^2)*(EJ50-EJ49^2))</f>
        <v>6.9361046143616018E-2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529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-9.8236816333900599E-3</v>
      </c>
      <c r="AH54" s="28" t="s">
        <v>247</v>
      </c>
      <c r="AI54" s="66">
        <f ca="1">(AI49-AI51*AI50)/(AI52-AI53)</f>
        <v>-1.0946241234128139E-2</v>
      </c>
      <c r="AR54" s="28" t="s">
        <v>247</v>
      </c>
      <c r="AS54" s="66">
        <f ca="1">(AS49-AS51*AS50)/(AS52-AS53)</f>
        <v>-2.5863138648553482E-3</v>
      </c>
      <c r="BB54" s="28" t="s">
        <v>247</v>
      </c>
      <c r="BC54" s="66">
        <f ca="1">(BC49-BC51*BC50)/(BC52-BC53)</f>
        <v>-1.36709087200566E-2</v>
      </c>
      <c r="BL54" s="28" t="s">
        <v>247</v>
      </c>
      <c r="BM54" s="66">
        <f ca="1">(BM49-BM51*BM50)/(BM52-BM53)</f>
        <v>2.3619191290600236E-2</v>
      </c>
      <c r="CA54" s="28" t="s">
        <v>247</v>
      </c>
      <c r="CB54" s="66">
        <f ca="1">(CB49-CB51*CB50)/(CB52-CB53)</f>
        <v>-1.1266530506438244E-2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12.094464788155548</v>
      </c>
      <c r="DX54" s="250" t="s">
        <v>595</v>
      </c>
      <c r="DZ54" s="281">
        <f ca="1">SQRT(DZ48-DZ47^2)</f>
        <v>9.6044300644255909</v>
      </c>
      <c r="EC54" s="250" t="s">
        <v>595</v>
      </c>
      <c r="EE54" s="281">
        <f ca="1">SQRT(EE48-EE47^2)</f>
        <v>9.7387994584139133</v>
      </c>
      <c r="EH54" s="250" t="s">
        <v>595</v>
      </c>
      <c r="EJ54" s="281">
        <f ca="1">SQRT(EJ48-EJ47^2)</f>
        <v>5.4965954561792296</v>
      </c>
    </row>
    <row r="55" spans="24:140" x14ac:dyDescent="0.2">
      <c r="X55" s="28" t="s">
        <v>248</v>
      </c>
      <c r="Y55" s="66">
        <f ca="1">Y51-Y54*Y50</f>
        <v>3.9996783305813239</v>
      </c>
      <c r="AH55" s="28" t="s">
        <v>248</v>
      </c>
      <c r="AI55" s="66">
        <f ca="1">AI51-AI54*AI50</f>
        <v>4.0374126212455419</v>
      </c>
      <c r="AR55" s="28" t="s">
        <v>248</v>
      </c>
      <c r="AS55" s="66">
        <f ca="1">AS51-AS54*AS50</f>
        <v>3.8295526606888544</v>
      </c>
      <c r="BB55" s="28" t="s">
        <v>248</v>
      </c>
      <c r="BC55" s="66">
        <f ca="1">BC51-BC54*BC50</f>
        <v>4.134524785654949</v>
      </c>
      <c r="BL55" s="28" t="s">
        <v>248</v>
      </c>
      <c r="BM55" s="66">
        <f ca="1">BM51-BM54*BM50</f>
        <v>3.0250301223314366</v>
      </c>
      <c r="CA55" s="28" t="s">
        <v>248</v>
      </c>
      <c r="CB55" s="66">
        <f ca="1">CB51-CB54*CB50</f>
        <v>4.0425197682055671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-0.11120101229281854</v>
      </c>
      <c r="AH56" t="s">
        <v>249</v>
      </c>
      <c r="AI56" s="126">
        <f ca="1">EXP(12*AI54+AI55)/EXP(AI55)-1</f>
        <v>-0.12309349040752426</v>
      </c>
      <c r="AR56" t="s">
        <v>249</v>
      </c>
      <c r="AS56" s="126">
        <f ca="1">EXP(12*AS54+AS55)/EXP(AS55)-1</f>
        <v>-3.0559100933952976E-2</v>
      </c>
      <c r="BB56" t="s">
        <v>249</v>
      </c>
      <c r="BC56" s="126">
        <f ca="1">EXP(12*BC54+BC55)/EXP(BC55)-1</f>
        <v>-0.15130118192780007</v>
      </c>
      <c r="BL56" t="s">
        <v>249</v>
      </c>
      <c r="BM56" s="126">
        <f ca="1">EXP(12*BM54+BM55)/EXP(BM55)-1</f>
        <v>0.32767633205650593</v>
      </c>
      <c r="CA56" t="s">
        <v>249</v>
      </c>
      <c r="CB56" s="126">
        <f ca="1">EXP(12*CB54+CB55)/EXP(CB55)-1</f>
        <v>-0.12645738672117501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-11.1</v>
      </c>
      <c r="AH57" t="s">
        <v>250</v>
      </c>
      <c r="AI57" t="str">
        <f ca="1">FIXED(AI56*100,1,TRUE)</f>
        <v>-12.3</v>
      </c>
      <c r="AR57" t="s">
        <v>250</v>
      </c>
      <c r="AS57" t="str">
        <f ca="1">FIXED(AS56*100,1,TRUE)</f>
        <v>-3.1</v>
      </c>
      <c r="BB57" t="s">
        <v>250</v>
      </c>
      <c r="BC57" t="str">
        <f ca="1">FIXED(BC56*100,1,TRUE)</f>
        <v>-15.1</v>
      </c>
      <c r="BL57" t="s">
        <v>250</v>
      </c>
      <c r="BM57" t="str">
        <f ca="1">FIXED(BM56*100,1,TRUE)</f>
        <v>32.8</v>
      </c>
      <c r="CA57" t="s">
        <v>250</v>
      </c>
      <c r="CB57" t="str">
        <f ca="1">FIXED(CB56*100,1,TRUE)</f>
        <v>-12.6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42.919151732377529</v>
      </c>
      <c r="Z69" s="15">
        <f>IF(Y69=0,0,LN(Y69))</f>
        <v>3.7593181536430866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3.7593181536430866</v>
      </c>
      <c r="AE69" s="127">
        <f ca="1">Y$116*$V69+Y$117</f>
        <v>3.9898546489479338</v>
      </c>
      <c r="AF69" s="127">
        <f ca="1">EXP(AE69)</f>
        <v>54.047032999267529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4.0264663800114135</v>
      </c>
      <c r="AP69" s="127">
        <f ca="1">EXP(AO69)</f>
        <v>56.062457403302531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3.8269663468239989</v>
      </c>
      <c r="AZ69" s="127">
        <f ca="1">EXP(AY69)</f>
        <v>45.923012212590315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4.1208538769348921</v>
      </c>
      <c r="BJ69" s="127">
        <f ca="1">EXP(BI69)</f>
        <v>61.611828729517271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3.0486493136220369</v>
      </c>
      <c r="BT69" s="127">
        <f ca="1">EXP(BS69)</f>
        <v>21.086843466722463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4.0312532376991292</v>
      </c>
      <c r="CI69" s="127">
        <f ca="1">EXP(CH69)</f>
        <v>56.331463742379341</v>
      </c>
      <c r="DQ69" s="121">
        <f>+$X69</f>
        <v>44287</v>
      </c>
      <c r="DR69" s="98">
        <f>IF($Y69&gt;0,1,0)</f>
        <v>1</v>
      </c>
      <c r="DS69" s="73">
        <f>+Y69</f>
        <v>42.919151732377529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59.249342218400699</v>
      </c>
      <c r="Z70" s="15">
        <f t="shared" ref="Z70:Z104" si="84">IF(Y70=0,0,LN(Y70))</f>
        <v>4.0817546781544705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8.1635093563089409</v>
      </c>
      <c r="AE70" s="127">
        <f t="shared" ref="AE70:AE104" ca="1" si="88">Y$116*$V70+Y$117</f>
        <v>3.9800309673145438</v>
      </c>
      <c r="AF70" s="127">
        <f ca="1">EXP(AE70)</f>
        <v>53.518691531984537</v>
      </c>
      <c r="AH70" s="121">
        <f t="shared" ref="AH70:AH104" si="89">+X70</f>
        <v>44317</v>
      </c>
      <c r="AI70" s="73">
        <f t="shared" si="81"/>
        <v>63.902008841356043</v>
      </c>
      <c r="AJ70" s="15">
        <f t="shared" ref="AJ70:AJ104" si="90">IF(AI70=0,0,LN(AI70))</f>
        <v>4.1573507981562665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8.314701596312533</v>
      </c>
      <c r="AO70" s="127">
        <f t="shared" ref="AO70:AO104" ca="1" si="94">AI$116*$V70+AI$117</f>
        <v>4.0155201387772852</v>
      </c>
      <c r="AP70" s="127">
        <f ca="1">EXP(AO70)</f>
        <v>55.452130706127321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3.8243800329591435</v>
      </c>
      <c r="AZ70" s="127">
        <f ca="1">EXP(AY70)</f>
        <v>45.804394347023894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4.1071829682148362</v>
      </c>
      <c r="BJ70" s="127">
        <f ca="1">EXP(BI70)</f>
        <v>60.775270328569967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3.0722685049126373</v>
      </c>
      <c r="BT70" s="127">
        <f ca="1">EXP(BS70)</f>
        <v>21.590826057534578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4.0199867071926905</v>
      </c>
      <c r="CI70" s="127">
        <f ca="1">EXP(CH70)</f>
        <v>55.700365407650068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59.249342218400699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89.537532573289894</v>
      </c>
      <c r="Z71" s="15">
        <f t="shared" si="84"/>
        <v>4.4946578957354486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13.483973687206346</v>
      </c>
      <c r="AE71" s="127">
        <f t="shared" ca="1" si="88"/>
        <v>3.9702072856811537</v>
      </c>
      <c r="AF71" s="127">
        <f ca="1">EXP(AE71)</f>
        <v>52.995514912623065</v>
      </c>
      <c r="AH71" s="121">
        <f t="shared" si="89"/>
        <v>44348</v>
      </c>
      <c r="AI71" s="73">
        <f t="shared" si="81"/>
        <v>64.265644554897719</v>
      </c>
      <c r="AJ71" s="15">
        <f t="shared" si="90"/>
        <v>4.1630251891530916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12.489075567459274</v>
      </c>
      <c r="AO71" s="127">
        <f t="shared" ca="1" si="94"/>
        <v>4.0045738975431577</v>
      </c>
      <c r="AP71" s="127">
        <f ca="1">EXP(AO71)</f>
        <v>54.848448360529638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3.8217937190942881</v>
      </c>
      <c r="AZ71" s="127">
        <f ca="1">EXP(AY71)</f>
        <v>45.686082868110994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4.0935120594947794</v>
      </c>
      <c r="BJ71" s="127">
        <f ca="1">EXP(BI71)</f>
        <v>59.9500706224159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3.0958876962032376</v>
      </c>
      <c r="BT71" s="127">
        <f ca="1">EXP(BS71)</f>
        <v>22.106854000333232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4.0087201766862526</v>
      </c>
      <c r="CI71" s="127">
        <f ca="1">EXP(CH71)</f>
        <v>55.076337457420699</v>
      </c>
      <c r="DQ71" s="121">
        <f t="shared" si="121"/>
        <v>44348</v>
      </c>
      <c r="DR71" s="98">
        <f t="shared" si="122"/>
        <v>1</v>
      </c>
      <c r="DS71" s="73">
        <f t="shared" si="123"/>
        <v>89.537532573289894</v>
      </c>
      <c r="DT71" s="295">
        <f t="shared" ref="DT71:DT103" ca="1" si="127">+AP71</f>
        <v>54.848448360529638</v>
      </c>
      <c r="DU71" s="295">
        <f t="shared" ref="DU71:DU104" ca="1" si="128">+DS71-DT71</f>
        <v>34.689084212760257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44.010058873002535</v>
      </c>
      <c r="Z72" s="15">
        <f t="shared" si="84"/>
        <v>3.7844182185408632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15.137672874163453</v>
      </c>
      <c r="AE72" s="127">
        <f t="shared" ca="1" si="88"/>
        <v>3.9603836040477636</v>
      </c>
      <c r="AF72" s="127">
        <f ca="1">EXP(AE72)</f>
        <v>52.477452651763478</v>
      </c>
      <c r="AH72" s="121">
        <f t="shared" si="89"/>
        <v>44378</v>
      </c>
      <c r="AI72" s="73">
        <f t="shared" si="81"/>
        <v>64.621219816593239</v>
      </c>
      <c r="AJ72" s="15">
        <f t="shared" si="90"/>
        <v>4.1685428369837911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16.674171347935165</v>
      </c>
      <c r="AO72" s="127">
        <f t="shared" ca="1" si="94"/>
        <v>3.9936276563090294</v>
      </c>
      <c r="AP72" s="127">
        <f ca="1">EXP(AO72)</f>
        <v>54.251338032449453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3.8192074052294331</v>
      </c>
      <c r="AZ72" s="127">
        <f ca="1">EXP(AY72)</f>
        <v>45.568076984463424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4.0798411507747225</v>
      </c>
      <c r="BJ72" s="127">
        <f ca="1">EXP(BI72)</f>
        <v>59.136075383989507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3.1195068874938374</v>
      </c>
      <c r="BT72" s="127">
        <f ca="1">EXP(BS72)</f>
        <v>22.635215183047727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3.9974536461798142</v>
      </c>
      <c r="CI72" s="127">
        <f ca="1">EXP(CH72)</f>
        <v>54.459300680046589</v>
      </c>
      <c r="DQ72" s="121">
        <f t="shared" si="121"/>
        <v>44378</v>
      </c>
      <c r="DR72" s="98">
        <f t="shared" si="122"/>
        <v>1</v>
      </c>
      <c r="DS72" s="73">
        <f t="shared" si="123"/>
        <v>44.010058873002535</v>
      </c>
      <c r="DT72" s="295">
        <f t="shared" ca="1" si="127"/>
        <v>54.251338032449453</v>
      </c>
      <c r="DU72" s="295">
        <f t="shared" ca="1" si="128"/>
        <v>-10.241279159446918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60.316068003487331</v>
      </c>
      <c r="Z73" s="15">
        <f t="shared" si="84"/>
        <v>4.0995985359564475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20.497992679782236</v>
      </c>
      <c r="AE73" s="127">
        <f t="shared" ca="1" si="88"/>
        <v>3.9505599224143735</v>
      </c>
      <c r="AF73" s="127">
        <f t="shared" ref="AF73:AF104" ca="1" si="129">EXP(AE73)</f>
        <v>51.964454753549852</v>
      </c>
      <c r="AH73" s="121">
        <f t="shared" si="89"/>
        <v>44409</v>
      </c>
      <c r="AI73" s="73">
        <f t="shared" si="81"/>
        <v>50.56411228030089</v>
      </c>
      <c r="AJ73" s="15">
        <f t="shared" si="90"/>
        <v>3.9232420811889681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19.616210405944841</v>
      </c>
      <c r="AO73" s="127">
        <f t="shared" ca="1" si="94"/>
        <v>3.982681415074901</v>
      </c>
      <c r="AP73" s="127">
        <f t="shared" ref="AP73:AP104" ca="1" si="130">EXP(AO73)</f>
        <v>53.660728175295205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3.8166210913645777</v>
      </c>
      <c r="AZ73" s="127">
        <f t="shared" ref="AZ73:AZ104" ca="1" si="131">EXP(AY73)</f>
        <v>45.450375906737044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4.0661702420546657</v>
      </c>
      <c r="BJ73" s="127">
        <f t="shared" ref="BJ73:BJ104" ca="1" si="132">EXP(BI73)</f>
        <v>58.333132480302702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3.1431260787844377</v>
      </c>
      <c r="BT73" s="127">
        <f t="shared" ref="BT73:BT104" ca="1" si="133">EXP(BS73)</f>
        <v>23.176204374224913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3.9861871156733759</v>
      </c>
      <c r="CI73" s="127">
        <f t="shared" ref="CI73:CI104" ca="1" si="134">EXP(CH73)</f>
        <v>53.849176751315085</v>
      </c>
      <c r="DQ73" s="121">
        <f t="shared" si="121"/>
        <v>44409</v>
      </c>
      <c r="DR73" s="98">
        <f t="shared" si="122"/>
        <v>1</v>
      </c>
      <c r="DS73" s="73">
        <f t="shared" si="123"/>
        <v>60.316068003487331</v>
      </c>
      <c r="DT73" s="295">
        <f t="shared" ca="1" si="127"/>
        <v>53.660728175295205</v>
      </c>
      <c r="DU73" s="295">
        <f t="shared" ca="1" si="128"/>
        <v>6.6553398281921261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47.366209964412811</v>
      </c>
      <c r="Z74" s="15">
        <f t="shared" si="84"/>
        <v>3.8579091045393308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23.147454627235984</v>
      </c>
      <c r="AE74" s="127">
        <f t="shared" ca="1" si="88"/>
        <v>3.9407362407809834</v>
      </c>
      <c r="AF74" s="127">
        <f t="shared" ca="1" si="129"/>
        <v>51.456471710865095</v>
      </c>
      <c r="AH74" s="121">
        <f t="shared" si="89"/>
        <v>44440</v>
      </c>
      <c r="AI74" s="73">
        <f t="shared" si="81"/>
        <v>57.633836708962804</v>
      </c>
      <c r="AJ74" s="15">
        <f t="shared" si="90"/>
        <v>4.0541098380887677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24.324659028532608</v>
      </c>
      <c r="AO74" s="127">
        <f t="shared" ca="1" si="94"/>
        <v>3.9717351738407731</v>
      </c>
      <c r="AP74" s="127">
        <f t="shared" ca="1" si="130"/>
        <v>53.076548021370769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3.8140347774997223</v>
      </c>
      <c r="AZ74" s="127">
        <f t="shared" ca="1" si="131"/>
        <v>45.332978847626656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4.0524993333346098</v>
      </c>
      <c r="BJ74" s="127">
        <f t="shared" ca="1" si="132"/>
        <v>57.541091844011859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3.166745270075038</v>
      </c>
      <c r="BT74" s="127">
        <f t="shared" ca="1" si="133"/>
        <v>23.730123387478177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3.9749205851669376</v>
      </c>
      <c r="CI74" s="127">
        <f t="shared" ca="1" si="134"/>
        <v>53.245888224503226</v>
      </c>
      <c r="DQ74" s="121">
        <f t="shared" si="121"/>
        <v>44440</v>
      </c>
      <c r="DR74" s="98">
        <f t="shared" si="122"/>
        <v>1</v>
      </c>
      <c r="DS74" s="73">
        <f t="shared" si="123"/>
        <v>47.366209964412811</v>
      </c>
      <c r="DT74" s="295">
        <f t="shared" ca="1" si="127"/>
        <v>53.076548021370769</v>
      </c>
      <c r="DU74" s="295">
        <f t="shared" ca="1" si="128"/>
        <v>-5.7103380569579585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65.219232158988262</v>
      </c>
      <c r="Z75" s="15">
        <f t="shared" si="84"/>
        <v>4.177754397200613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29.244280780404292</v>
      </c>
      <c r="AE75" s="127">
        <f t="shared" ca="1" si="88"/>
        <v>3.9309125591475933</v>
      </c>
      <c r="AF75" s="127">
        <f t="shared" ca="1" si="129"/>
        <v>50.953454500553235</v>
      </c>
      <c r="AH75" s="121">
        <f t="shared" si="89"/>
        <v>44470</v>
      </c>
      <c r="AI75" s="73">
        <f t="shared" si="81"/>
        <v>56.421265595064227</v>
      </c>
      <c r="AJ75" s="15">
        <f t="shared" si="90"/>
        <v>4.032846136996568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28.229922958975976</v>
      </c>
      <c r="AO75" s="127">
        <f t="shared" ca="1" si="94"/>
        <v>3.9607889326066448</v>
      </c>
      <c r="AP75" s="127">
        <f t="shared" ca="1" si="130"/>
        <v>52.498727573395961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3.8114484636348669</v>
      </c>
      <c r="AZ75" s="127">
        <f t="shared" ca="1" si="131"/>
        <v>45.215885021860608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4.0388284246145529</v>
      </c>
      <c r="BJ75" s="127">
        <f t="shared" ca="1" si="132"/>
        <v>56.75980544537051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3.1903644613656383</v>
      </c>
      <c r="BT75" s="127">
        <f t="shared" ca="1" si="133"/>
        <v>24.29728124986692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3.9636540546604992</v>
      </c>
      <c r="CI75" s="127">
        <f t="shared" ca="1" si="134"/>
        <v>52.649358520546976</v>
      </c>
      <c r="DQ75" s="121">
        <f t="shared" si="121"/>
        <v>44470</v>
      </c>
      <c r="DR75" s="98">
        <f t="shared" si="122"/>
        <v>1</v>
      </c>
      <c r="DS75" s="73">
        <f t="shared" si="123"/>
        <v>65.219232158988262</v>
      </c>
      <c r="DT75" s="295">
        <f t="shared" ca="1" si="127"/>
        <v>52.498727573395961</v>
      </c>
      <c r="DU75" s="295">
        <f t="shared" ca="1" si="128"/>
        <v>12.720504585592302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56.678354661791616</v>
      </c>
      <c r="Z76" s="15">
        <f t="shared" si="84"/>
        <v>4.0373923858512422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32.299139086809937</v>
      </c>
      <c r="AE76" s="127">
        <f t="shared" ca="1" si="88"/>
        <v>3.9210888775142037</v>
      </c>
      <c r="AF76" s="127">
        <f t="shared" ca="1" si="129"/>
        <v>50.45535457868845</v>
      </c>
      <c r="AH76" s="121">
        <f t="shared" si="89"/>
        <v>44501</v>
      </c>
      <c r="AI76" s="73">
        <f t="shared" si="81"/>
        <v>57.589438412682028</v>
      </c>
      <c r="AJ76" s="15">
        <f t="shared" si="90"/>
        <v>4.0533391899982449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32.42671351998596</v>
      </c>
      <c r="AO76" s="127">
        <f t="shared" ca="1" si="94"/>
        <v>3.9498426913725169</v>
      </c>
      <c r="AP76" s="127">
        <f t="shared" ca="1" si="130"/>
        <v>51.927197596119527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3.8088621497700115</v>
      </c>
      <c r="AZ76" s="127">
        <f t="shared" ca="1" si="131"/>
        <v>45.099093646195591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4.0251575158944961</v>
      </c>
      <c r="BJ76" s="127">
        <f t="shared" ca="1" si="132"/>
        <v>55.989127264563422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3.2139836526562386</v>
      </c>
      <c r="BT76" s="127">
        <f t="shared" ca="1" si="133"/>
        <v>24.877994374300329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3.9523875241540614</v>
      </c>
      <c r="CI76" s="127">
        <f t="shared" ca="1" si="134"/>
        <v>52.059511918320631</v>
      </c>
      <c r="DQ76" s="121">
        <f t="shared" si="121"/>
        <v>44501</v>
      </c>
      <c r="DR76" s="98">
        <f t="shared" si="122"/>
        <v>1</v>
      </c>
      <c r="DS76" s="73">
        <f t="shared" si="123"/>
        <v>56.678354661791616</v>
      </c>
      <c r="DT76" s="295">
        <f t="shared" ca="1" si="127"/>
        <v>51.927197596119527</v>
      </c>
      <c r="DU76" s="295">
        <f t="shared" ca="1" si="128"/>
        <v>4.7511570656720892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50.870728417266207</v>
      </c>
      <c r="Z77" s="15">
        <f t="shared" si="84"/>
        <v>3.9292876779235488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35.363589101311938</v>
      </c>
      <c r="AE77" s="127">
        <f t="shared" ca="1" si="88"/>
        <v>3.9112651958808136</v>
      </c>
      <c r="AF77" s="127">
        <f t="shared" ca="1" si="129"/>
        <v>49.962123875890221</v>
      </c>
      <c r="AH77" s="121">
        <f t="shared" si="89"/>
        <v>44531</v>
      </c>
      <c r="AI77" s="73">
        <f t="shared" si="81"/>
        <v>48.210290882467717</v>
      </c>
      <c r="AJ77" s="15">
        <f t="shared" si="90"/>
        <v>3.8755725020535023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34.880152518481523</v>
      </c>
      <c r="AO77" s="127">
        <f t="shared" ca="1" si="94"/>
        <v>3.9388964501383885</v>
      </c>
      <c r="AP77" s="127">
        <f t="shared" ca="1" si="130"/>
        <v>51.36188960802307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3.8062758359051561</v>
      </c>
      <c r="AZ77" s="127">
        <f t="shared" ca="1" si="131"/>
        <v>44.982603939411391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4.0114866071744393</v>
      </c>
      <c r="BJ77" s="127">
        <f t="shared" ca="1" si="132"/>
        <v>55.228913264415723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3.2376028439468389</v>
      </c>
      <c r="BT77" s="127">
        <f t="shared" ca="1" si="133"/>
        <v>25.472586736061615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3.941120993647623</v>
      </c>
      <c r="CI77" s="127">
        <f t="shared" ca="1" si="134"/>
        <v>51.476273545024959</v>
      </c>
      <c r="DQ77" s="121">
        <f t="shared" si="121"/>
        <v>44531</v>
      </c>
      <c r="DR77" s="98">
        <f t="shared" si="122"/>
        <v>1</v>
      </c>
      <c r="DS77" s="73">
        <f t="shared" si="123"/>
        <v>50.870728417266207</v>
      </c>
      <c r="DT77" s="295">
        <f t="shared" ca="1" si="127"/>
        <v>51.36188960802307</v>
      </c>
      <c r="DU77" s="295">
        <f t="shared" ca="1" si="128"/>
        <v>-0.49116119075686271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37.081789568345329</v>
      </c>
      <c r="Z78" s="15">
        <f t="shared" si="84"/>
        <v>3.6131260018940492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36.131260018940495</v>
      </c>
      <c r="AE78" s="127">
        <f t="shared" ca="1" si="88"/>
        <v>3.9014415142474235</v>
      </c>
      <c r="AF78" s="127">
        <f t="shared" ca="1" si="129"/>
        <v>49.473714792684476</v>
      </c>
      <c r="AH78" s="121">
        <f t="shared" si="89"/>
        <v>44562</v>
      </c>
      <c r="AI78" s="73">
        <f t="shared" si="81"/>
        <v>44.339071606063577</v>
      </c>
      <c r="AJ78" s="15">
        <f t="shared" si="90"/>
        <v>3.7918662659009317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37.918662659009314</v>
      </c>
      <c r="AO78" s="127">
        <f t="shared" ca="1" si="94"/>
        <v>3.9279502089042606</v>
      </c>
      <c r="AP78" s="127">
        <f t="shared" ca="1" si="130"/>
        <v>50.802735873115708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3.8036895220403011</v>
      </c>
      <c r="AZ78" s="127">
        <f t="shared" ca="1" si="131"/>
        <v>44.866415122305689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3.9978156984543829</v>
      </c>
      <c r="BJ78" s="127">
        <f t="shared" ca="1" si="132"/>
        <v>54.479021363472945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3.2612220352374388</v>
      </c>
      <c r="BT78" s="127">
        <f t="shared" ca="1" si="133"/>
        <v>26.081390053551303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3.9298544631411847</v>
      </c>
      <c r="CI78" s="127">
        <f t="shared" ca="1" si="134"/>
        <v>50.899569366683288</v>
      </c>
      <c r="DQ78" s="121">
        <f t="shared" si="121"/>
        <v>44562</v>
      </c>
      <c r="DR78" s="98">
        <f t="shared" si="122"/>
        <v>1</v>
      </c>
      <c r="DS78" s="73">
        <f t="shared" si="123"/>
        <v>37.081789568345329</v>
      </c>
      <c r="DT78" s="295">
        <f t="shared" ca="1" si="127"/>
        <v>50.802735873115708</v>
      </c>
      <c r="DU78" s="295">
        <f t="shared" ca="1" si="128"/>
        <v>-13.720946304770379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45.064696832579187</v>
      </c>
      <c r="Z79" s="15">
        <f t="shared" si="84"/>
        <v>3.8080991646492124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41.889090811141337</v>
      </c>
      <c r="AE79" s="127">
        <f t="shared" ca="1" si="88"/>
        <v>3.8916178326140334</v>
      </c>
      <c r="AF79" s="127">
        <f t="shared" ca="1" si="129"/>
        <v>48.99008019490995</v>
      </c>
      <c r="AH79" s="121">
        <f t="shared" si="89"/>
        <v>44593</v>
      </c>
      <c r="AI79" s="73">
        <f t="shared" si="81"/>
        <v>39.691862911618763</v>
      </c>
      <c r="AJ79" s="15">
        <f t="shared" si="90"/>
        <v>3.6811462022422106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40.492608224664316</v>
      </c>
      <c r="AO79" s="127">
        <f t="shared" ca="1" si="94"/>
        <v>3.9170039676701323</v>
      </c>
      <c r="AP79" s="127">
        <f t="shared" ca="1" si="130"/>
        <v>50.249669392817673</v>
      </c>
      <c r="AR79" s="121">
        <f t="shared" si="95"/>
        <v>44593</v>
      </c>
      <c r="AS79" s="73">
        <f>+$AI79</f>
        <v>39.691862911618763</v>
      </c>
      <c r="AT79" s="15">
        <f t="shared" si="96"/>
        <v>3.6811462022422106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40.492608224664316</v>
      </c>
      <c r="AY79" s="127">
        <f t="shared" ca="1" si="100"/>
        <v>3.8011032081754457</v>
      </c>
      <c r="AZ79" s="127">
        <f t="shared" ca="1" si="131"/>
        <v>44.750526417688754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3.9841447897343265</v>
      </c>
      <c r="BJ79" s="127">
        <f t="shared" ca="1" si="132"/>
        <v>53.739311409446401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3.2848412265280391</v>
      </c>
      <c r="BT79" s="127">
        <f t="shared" ca="1" si="133"/>
        <v>26.704743973350336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3.9185879326347464</v>
      </c>
      <c r="CI79" s="127">
        <f t="shared" ca="1" si="134"/>
        <v>50.329326178743848</v>
      </c>
      <c r="DQ79" s="121">
        <f t="shared" si="121"/>
        <v>44593</v>
      </c>
      <c r="DR79" s="98">
        <f t="shared" si="122"/>
        <v>1</v>
      </c>
      <c r="DS79" s="73">
        <f t="shared" si="123"/>
        <v>45.064696832579187</v>
      </c>
      <c r="DT79" s="295">
        <f t="shared" ca="1" si="127"/>
        <v>50.249669392817673</v>
      </c>
      <c r="DU79" s="295">
        <f t="shared" ca="1" si="128"/>
        <v>-5.1849725602384851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36.92910233393178</v>
      </c>
      <c r="Z80" s="15">
        <f t="shared" si="84"/>
        <v>3.6089999213373045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43.307999056047656</v>
      </c>
      <c r="AE80" s="127">
        <f t="shared" ca="1" si="88"/>
        <v>3.8817941509806433</v>
      </c>
      <c r="AF80" s="127">
        <f t="shared" ca="1" si="129"/>
        <v>48.511173409169444</v>
      </c>
      <c r="AH80" s="121">
        <f t="shared" si="89"/>
        <v>44621</v>
      </c>
      <c r="AI80" s="73">
        <f t="shared" si="81"/>
        <v>40.66518366453861</v>
      </c>
      <c r="AJ80" s="15">
        <f t="shared" si="90"/>
        <v>3.7053722881347562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44.464467457617076</v>
      </c>
      <c r="AO80" s="127">
        <f t="shared" ca="1" si="94"/>
        <v>3.9060577264360044</v>
      </c>
      <c r="AP80" s="127">
        <f t="shared" ca="1" si="130"/>
        <v>49.70262389793259</v>
      </c>
      <c r="AR80" s="121">
        <f t="shared" si="95"/>
        <v>44621</v>
      </c>
      <c r="AS80" s="73">
        <f t="shared" ref="AS80:AS102" si="135">+$AI80</f>
        <v>40.66518366453861</v>
      </c>
      <c r="AT80" s="15">
        <f t="shared" si="96"/>
        <v>3.7053722881347562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44.464467457617076</v>
      </c>
      <c r="AY80" s="127">
        <f t="shared" ca="1" si="100"/>
        <v>3.7985168943105903</v>
      </c>
      <c r="AZ80" s="127">
        <f t="shared" ca="1" si="131"/>
        <v>44.634937050378376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3.9704738810142697</v>
      </c>
      <c r="BJ80" s="127">
        <f t="shared" ca="1" si="132"/>
        <v>53.009645153019228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3.3084604178186394</v>
      </c>
      <c r="BT80" s="127">
        <f t="shared" ca="1" si="133"/>
        <v>27.342996259706176</v>
      </c>
      <c r="BZ80" s="583">
        <f t="shared" si="113"/>
        <v>0</v>
      </c>
      <c r="CA80" s="121">
        <f t="shared" si="114"/>
        <v>44621</v>
      </c>
      <c r="CB80" s="127">
        <f t="shared" si="115"/>
        <v>0</v>
      </c>
      <c r="CC80" s="15">
        <f t="shared" si="116"/>
        <v>0</v>
      </c>
      <c r="CD80" s="98">
        <f t="shared" si="117"/>
        <v>0</v>
      </c>
      <c r="CE80" s="128">
        <f>IF(CD80&gt;0,12,0)</f>
        <v>0</v>
      </c>
      <c r="CF80" s="128">
        <f t="shared" si="118"/>
        <v>0</v>
      </c>
      <c r="CG80" s="15">
        <f t="shared" si="119"/>
        <v>0</v>
      </c>
      <c r="CH80" s="127">
        <f t="shared" ca="1" si="120"/>
        <v>3.907321402128308</v>
      </c>
      <c r="CI80" s="127">
        <f t="shared" ca="1" si="134"/>
        <v>49.765471596787464</v>
      </c>
      <c r="DQ80" s="121">
        <f t="shared" si="121"/>
        <v>44621</v>
      </c>
      <c r="DR80" s="98">
        <f t="shared" si="122"/>
        <v>1</v>
      </c>
      <c r="DS80" s="73">
        <f t="shared" si="123"/>
        <v>36.92910233393178</v>
      </c>
      <c r="DT80" s="295">
        <f t="shared" ca="1" si="127"/>
        <v>49.70262389793259</v>
      </c>
      <c r="DU80" s="295">
        <f t="shared" ca="1" si="128"/>
        <v>-12.773521564000809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40.001751827104876</v>
      </c>
      <c r="Z81" s="15">
        <f t="shared" si="84"/>
        <v>3.6889232488325554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47.956002234823217</v>
      </c>
      <c r="AE81" s="127">
        <f t="shared" ca="1" si="88"/>
        <v>3.8719704693472532</v>
      </c>
      <c r="AF81" s="127">
        <f t="shared" ca="1" si="129"/>
        <v>48.036948218325612</v>
      </c>
      <c r="AH81" s="121">
        <f t="shared" si="89"/>
        <v>44652</v>
      </c>
      <c r="AI81" s="73">
        <f t="shared" si="81"/>
        <v>38.527446849537903</v>
      </c>
      <c r="AJ81" s="15">
        <f t="shared" si="90"/>
        <v>3.651370892480351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47.467821602244562</v>
      </c>
      <c r="AO81" s="127">
        <f t="shared" ca="1" si="94"/>
        <v>3.895111485201876</v>
      </c>
      <c r="AP81" s="127">
        <f t="shared" ca="1" si="130"/>
        <v>49.16153384070688</v>
      </c>
      <c r="AR81" s="121">
        <f t="shared" si="95"/>
        <v>44652</v>
      </c>
      <c r="AS81" s="73">
        <f>+$AI81</f>
        <v>38.527446849537903</v>
      </c>
      <c r="AT81" s="15">
        <f t="shared" si="96"/>
        <v>3.651370892480351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47.467821602244562</v>
      </c>
      <c r="AY81" s="127">
        <f t="shared" ca="1" si="100"/>
        <v>3.7959305804457348</v>
      </c>
      <c r="AZ81" s="127">
        <f t="shared" ca="1" si="131"/>
        <v>44.519646247194615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3.9568029722942133</v>
      </c>
      <c r="BJ81" s="127">
        <f t="shared" ca="1" si="132"/>
        <v>52.28988622200815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3.3320796091092397</v>
      </c>
      <c r="BT81" s="127">
        <f t="shared" ca="1" si="133"/>
        <v>27.996502988547778</v>
      </c>
      <c r="BZ81" s="583">
        <f t="shared" si="113"/>
        <v>0</v>
      </c>
      <c r="CA81" s="121">
        <f t="shared" si="114"/>
        <v>44652</v>
      </c>
      <c r="CB81" s="127">
        <f t="shared" si="115"/>
        <v>0</v>
      </c>
      <c r="CC81" s="15">
        <f t="shared" si="116"/>
        <v>0</v>
      </c>
      <c r="CD81" s="98">
        <f t="shared" si="117"/>
        <v>0</v>
      </c>
      <c r="CE81" s="128">
        <f>IF(CD81&gt;0,13,0)</f>
        <v>0</v>
      </c>
      <c r="CF81" s="128">
        <f t="shared" si="118"/>
        <v>0</v>
      </c>
      <c r="CG81" s="15">
        <f t="shared" si="119"/>
        <v>0</v>
      </c>
      <c r="CH81" s="127">
        <f t="shared" ca="1" si="120"/>
        <v>3.8960548716218701</v>
      </c>
      <c r="CI81" s="127">
        <f t="shared" ca="1" si="134"/>
        <v>49.207934047339428</v>
      </c>
      <c r="DQ81" s="121">
        <f t="shared" si="121"/>
        <v>44652</v>
      </c>
      <c r="DR81" s="98">
        <f t="shared" si="122"/>
        <v>1</v>
      </c>
      <c r="DS81" s="73">
        <f t="shared" si="123"/>
        <v>40.001751827104876</v>
      </c>
      <c r="DT81" s="295">
        <f t="shared" ca="1" si="127"/>
        <v>49.16153384070688</v>
      </c>
      <c r="DU81" s="295">
        <f t="shared" ca="1" si="128"/>
        <v>-9.1597820136020047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40.001751827104876</v>
      </c>
      <c r="EA81" s="127">
        <f ca="1">+AZ81</f>
        <v>44.519646247194615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38.651486387577066</v>
      </c>
      <c r="Z82" s="15">
        <f t="shared" si="84"/>
        <v>3.6545852319285492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51.164193246999687</v>
      </c>
      <c r="AE82" s="127">
        <f t="shared" ca="1" si="88"/>
        <v>3.8621467877138631</v>
      </c>
      <c r="AF82" s="127">
        <f t="shared" ca="1" si="129"/>
        <v>47.567358857040759</v>
      </c>
      <c r="AH82" s="121">
        <f t="shared" si="89"/>
        <v>44682</v>
      </c>
      <c r="AI82" s="73">
        <f t="shared" si="81"/>
        <v>41.575403418907172</v>
      </c>
      <c r="AJ82" s="15">
        <f t="shared" si="90"/>
        <v>3.7275087284331687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52.185122198064363</v>
      </c>
      <c r="AO82" s="127">
        <f t="shared" ca="1" si="94"/>
        <v>3.8841652439677481</v>
      </c>
      <c r="AP82" s="127">
        <f t="shared" ca="1" si="130"/>
        <v>48.626334386975884</v>
      </c>
      <c r="AR82" s="121">
        <f t="shared" si="95"/>
        <v>44682</v>
      </c>
      <c r="AS82" s="73">
        <f t="shared" si="135"/>
        <v>41.575403418907172</v>
      </c>
      <c r="AT82" s="15">
        <f t="shared" si="96"/>
        <v>3.7275087284331687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52.185122198064363</v>
      </c>
      <c r="AY82" s="127">
        <f t="shared" ca="1" si="100"/>
        <v>3.7933442665808794</v>
      </c>
      <c r="AZ82" s="127">
        <f t="shared" ca="1" si="131"/>
        <v>44.404653236954609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3.9431320635741565</v>
      </c>
      <c r="BJ82" s="127">
        <f t="shared" ca="1" si="132"/>
        <v>51.57990009587575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3.35569880039984</v>
      </c>
      <c r="BT82" s="127">
        <f t="shared" ca="1" si="133"/>
        <v>28.665628746137543</v>
      </c>
      <c r="BZ82" s="583">
        <f t="shared" si="113"/>
        <v>1</v>
      </c>
      <c r="CA82" s="121">
        <f t="shared" si="114"/>
        <v>44682</v>
      </c>
      <c r="CB82" s="127">
        <f t="shared" si="115"/>
        <v>41.575403418907172</v>
      </c>
      <c r="CC82" s="15">
        <f t="shared" si="116"/>
        <v>3.7275087284331687</v>
      </c>
      <c r="CD82" s="98">
        <f t="shared" si="117"/>
        <v>1</v>
      </c>
      <c r="CE82" s="128">
        <f>IF(CD82&gt;0,14,0)</f>
        <v>14</v>
      </c>
      <c r="CF82" s="128">
        <f t="shared" si="118"/>
        <v>196</v>
      </c>
      <c r="CG82" s="15">
        <f t="shared" si="119"/>
        <v>52.185122198064363</v>
      </c>
      <c r="CH82" s="127">
        <f t="shared" ca="1" si="120"/>
        <v>3.8847883411154318</v>
      </c>
      <c r="CI82" s="127">
        <f t="shared" ca="1" si="134"/>
        <v>48.65664275878413</v>
      </c>
      <c r="DQ82" s="121">
        <f t="shared" si="121"/>
        <v>44682</v>
      </c>
      <c r="DR82" s="98">
        <f t="shared" si="122"/>
        <v>1</v>
      </c>
      <c r="DS82" s="73">
        <f t="shared" si="123"/>
        <v>38.651486387577066</v>
      </c>
      <c r="DT82" s="295">
        <f t="shared" ca="1" si="127"/>
        <v>48.626334386975884</v>
      </c>
      <c r="DU82" s="295">
        <f t="shared" ca="1" si="128"/>
        <v>-9.9748479993988184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38.651486387577066</v>
      </c>
      <c r="EA82" s="127">
        <f t="shared" ref="EA82:EA103" ca="1" si="138">+AZ82</f>
        <v>44.404653236954609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46.072972042039574</v>
      </c>
      <c r="Z83" s="15">
        <f t="shared" si="84"/>
        <v>3.8302264883070256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57.453397324605383</v>
      </c>
      <c r="AE83" s="127">
        <f t="shared" ca="1" si="88"/>
        <v>3.852323106080473</v>
      </c>
      <c r="AF83" s="127">
        <f t="shared" ca="1" si="129"/>
        <v>47.102360007360211</v>
      </c>
      <c r="AH83" s="121">
        <f t="shared" si="89"/>
        <v>44713</v>
      </c>
      <c r="AI83" s="73">
        <f t="shared" si="81"/>
        <v>43.547088332615637</v>
      </c>
      <c r="AJ83" s="15">
        <f t="shared" si="90"/>
        <v>3.7738428430293296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56.607642645439945</v>
      </c>
      <c r="AO83" s="127">
        <f t="shared" ca="1" si="94"/>
        <v>3.8732190027336197</v>
      </c>
      <c r="AP83" s="127">
        <f t="shared" ca="1" si="130"/>
        <v>48.096961408395174</v>
      </c>
      <c r="AR83" s="121">
        <f t="shared" si="95"/>
        <v>44713</v>
      </c>
      <c r="AS83" s="73">
        <f t="shared" si="135"/>
        <v>43.547088332615637</v>
      </c>
      <c r="AT83" s="15">
        <f t="shared" si="96"/>
        <v>3.7738428430293296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56.607642645439945</v>
      </c>
      <c r="AY83" s="127">
        <f t="shared" ca="1" si="100"/>
        <v>3.790757952716024</v>
      </c>
      <c r="AZ83" s="127">
        <f t="shared" ca="1" si="131"/>
        <v>44.289957250467452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3.9294611548541001</v>
      </c>
      <c r="BJ83" s="127">
        <f t="shared" ca="1" si="132"/>
        <v>50.879554080589294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3.3793179916904403</v>
      </c>
      <c r="BT83" s="127">
        <f t="shared" ca="1" si="133"/>
        <v>29.35074683247112</v>
      </c>
      <c r="BZ83" s="583">
        <f t="shared" si="113"/>
        <v>1</v>
      </c>
      <c r="CA83" s="121">
        <f t="shared" si="114"/>
        <v>44713</v>
      </c>
      <c r="CB83" s="127">
        <f t="shared" si="115"/>
        <v>43.547088332615637</v>
      </c>
      <c r="CC83" s="15">
        <f t="shared" si="116"/>
        <v>3.7738428430293296</v>
      </c>
      <c r="CD83" s="98">
        <f t="shared" si="117"/>
        <v>1</v>
      </c>
      <c r="CE83" s="128">
        <f>IF(CD83&gt;0,15,0)</f>
        <v>15</v>
      </c>
      <c r="CF83" s="128">
        <f t="shared" si="118"/>
        <v>225</v>
      </c>
      <c r="CG83" s="15">
        <f t="shared" si="119"/>
        <v>56.607642645439945</v>
      </c>
      <c r="CH83" s="127">
        <f t="shared" ca="1" si="120"/>
        <v>3.8735218106089935</v>
      </c>
      <c r="CI83" s="127">
        <f t="shared" ca="1" si="134"/>
        <v>48.111527752381718</v>
      </c>
      <c r="DQ83" s="121">
        <f t="shared" si="121"/>
        <v>44713</v>
      </c>
      <c r="DR83" s="98">
        <f t="shared" si="122"/>
        <v>1</v>
      </c>
      <c r="DS83" s="73">
        <f t="shared" si="123"/>
        <v>46.072972042039574</v>
      </c>
      <c r="DT83" s="295">
        <f t="shared" ca="1" si="127"/>
        <v>48.096961408395174</v>
      </c>
      <c r="DU83" s="295">
        <f t="shared" ca="1" si="128"/>
        <v>-2.0239893663556003</v>
      </c>
      <c r="DX83" s="121">
        <f t="shared" si="124"/>
        <v>44713</v>
      </c>
      <c r="DY83" s="98">
        <f t="shared" si="136"/>
        <v>1</v>
      </c>
      <c r="DZ83" s="281">
        <f t="shared" si="137"/>
        <v>46.072972042039574</v>
      </c>
      <c r="EA83" s="127">
        <f t="shared" ca="1" si="138"/>
        <v>44.289957250467452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45.916806568230278</v>
      </c>
      <c r="Z84" s="15">
        <f t="shared" si="84"/>
        <v>3.8268312062182823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61.229299299492517</v>
      </c>
      <c r="AE84" s="127">
        <f t="shared" ca="1" si="88"/>
        <v>3.8424994244470829</v>
      </c>
      <c r="AF84" s="127">
        <f t="shared" ca="1" si="129"/>
        <v>46.641906794338922</v>
      </c>
      <c r="AH84" s="121">
        <f t="shared" si="89"/>
        <v>44743</v>
      </c>
      <c r="AI84" s="73">
        <f t="shared" si="81"/>
        <v>45.92062561358361</v>
      </c>
      <c r="AJ84" s="15">
        <f t="shared" si="90"/>
        <v>3.8269143759076956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61.230630014523129</v>
      </c>
      <c r="AO84" s="127">
        <f t="shared" ca="1" si="94"/>
        <v>3.8622727614994918</v>
      </c>
      <c r="AP84" s="127">
        <f t="shared" ca="1" si="130"/>
        <v>47.573351474756784</v>
      </c>
      <c r="AR84" s="121">
        <f t="shared" si="95"/>
        <v>44743</v>
      </c>
      <c r="AS84" s="73">
        <f t="shared" si="135"/>
        <v>45.92062561358361</v>
      </c>
      <c r="AT84" s="15">
        <f t="shared" si="96"/>
        <v>3.8269143759076956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61.230630014523129</v>
      </c>
      <c r="AY84" s="127">
        <f t="shared" ca="1" si="100"/>
        <v>3.7881716388511686</v>
      </c>
      <c r="AZ84" s="127">
        <f t="shared" ca="1" si="131"/>
        <v>44.175557520529047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3.9157902461340433</v>
      </c>
      <c r="BJ84" s="127">
        <f t="shared" ca="1" si="132"/>
        <v>50.188717283820417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3.4029371829810406</v>
      </c>
      <c r="BT84" s="127">
        <f t="shared" ca="1" si="133"/>
        <v>30.052239469538552</v>
      </c>
      <c r="BZ84" s="583">
        <f t="shared" si="113"/>
        <v>1</v>
      </c>
      <c r="CA84" s="121">
        <f t="shared" si="114"/>
        <v>44743</v>
      </c>
      <c r="CB84" s="127">
        <f t="shared" si="115"/>
        <v>45.92062561358361</v>
      </c>
      <c r="CC84" s="15">
        <f t="shared" si="116"/>
        <v>3.8269143759076956</v>
      </c>
      <c r="CD84" s="98">
        <f t="shared" si="117"/>
        <v>1</v>
      </c>
      <c r="CE84" s="128">
        <f>IF(CD84&gt;0,16,0)</f>
        <v>16</v>
      </c>
      <c r="CF84" s="128">
        <f t="shared" si="118"/>
        <v>256</v>
      </c>
      <c r="CG84" s="15">
        <f t="shared" si="119"/>
        <v>61.230630014523129</v>
      </c>
      <c r="CH84" s="127">
        <f t="shared" ca="1" si="120"/>
        <v>3.8622552801025551</v>
      </c>
      <c r="CI84" s="127">
        <f t="shared" ca="1" si="134"/>
        <v>47.572519833385194</v>
      </c>
      <c r="DQ84" s="121">
        <f t="shared" si="121"/>
        <v>44743</v>
      </c>
      <c r="DR84" s="98">
        <f t="shared" si="122"/>
        <v>1</v>
      </c>
      <c r="DS84" s="73">
        <f t="shared" si="123"/>
        <v>45.916806568230278</v>
      </c>
      <c r="DT84" s="295">
        <f t="shared" ca="1" si="127"/>
        <v>47.573351474756784</v>
      </c>
      <c r="DU84" s="295">
        <f t="shared" ca="1" si="128"/>
        <v>-1.6565449065265057</v>
      </c>
      <c r="DX84" s="121">
        <f t="shared" si="124"/>
        <v>44743</v>
      </c>
      <c r="DY84" s="98">
        <f t="shared" si="136"/>
        <v>1</v>
      </c>
      <c r="DZ84" s="281">
        <f t="shared" si="137"/>
        <v>45.916806568230278</v>
      </c>
      <c r="EA84" s="127">
        <f t="shared" ca="1" si="138"/>
        <v>44.175557520529047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45.772098230480971</v>
      </c>
      <c r="Z85" s="15">
        <f t="shared" si="84"/>
        <v>3.823674696535508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65.002469841103633</v>
      </c>
      <c r="AE85" s="127">
        <f t="shared" ca="1" si="88"/>
        <v>3.8326757428136928</v>
      </c>
      <c r="AF85" s="127">
        <f t="shared" ca="1" si="129"/>
        <v>46.185954781710741</v>
      </c>
      <c r="AH85" s="121">
        <f t="shared" si="89"/>
        <v>44774</v>
      </c>
      <c r="AI85" s="73">
        <f t="shared" si="81"/>
        <v>52.103785889678591</v>
      </c>
      <c r="AJ85" s="15">
        <f t="shared" si="90"/>
        <v>3.9532376119480515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67.205039403116871</v>
      </c>
      <c r="AO85" s="127">
        <f t="shared" ca="1" si="94"/>
        <v>3.8513265202653635</v>
      </c>
      <c r="AP85" s="127">
        <f t="shared" ca="1" si="130"/>
        <v>47.055441846388739</v>
      </c>
      <c r="AR85" s="121">
        <f t="shared" si="95"/>
        <v>44774</v>
      </c>
      <c r="AS85" s="73">
        <f t="shared" si="135"/>
        <v>52.103785889678591</v>
      </c>
      <c r="AT85" s="15">
        <f t="shared" si="96"/>
        <v>3.9532376119480515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67.205039403116871</v>
      </c>
      <c r="AY85" s="127">
        <f t="shared" ca="1" si="100"/>
        <v>3.7855853249863136</v>
      </c>
      <c r="AZ85" s="127">
        <f t="shared" ca="1" si="131"/>
        <v>44.061453281916968</v>
      </c>
      <c r="BB85" s="121">
        <f t="shared" si="101"/>
        <v>44774</v>
      </c>
      <c r="BC85" s="73">
        <f t="shared" ref="BC85:BC102" si="139">+$AI85</f>
        <v>52.103785889678591</v>
      </c>
      <c r="BD85" s="15">
        <f t="shared" si="102"/>
        <v>3.9532376119480515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67.205039403116871</v>
      </c>
      <c r="BI85" s="127">
        <f t="shared" ca="1" si="106"/>
        <v>3.9021193374139869</v>
      </c>
      <c r="BJ85" s="127">
        <f t="shared" ca="1" si="132"/>
        <v>49.507260590481984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3.4265563742716405</v>
      </c>
      <c r="BT85" s="127">
        <f t="shared" ca="1" si="133"/>
        <v>30.770498014562879</v>
      </c>
      <c r="BZ85" s="583">
        <f t="shared" si="113"/>
        <v>1</v>
      </c>
      <c r="CA85" s="121">
        <f t="shared" si="114"/>
        <v>44774</v>
      </c>
      <c r="CB85" s="127">
        <f t="shared" si="115"/>
        <v>52.103785889678591</v>
      </c>
      <c r="CC85" s="15">
        <f t="shared" si="116"/>
        <v>3.9532376119480515</v>
      </c>
      <c r="CD85" s="98">
        <f t="shared" si="117"/>
        <v>1</v>
      </c>
      <c r="CE85" s="128">
        <f>IF(CD85&gt;0,17,0)</f>
        <v>17</v>
      </c>
      <c r="CF85" s="128">
        <f t="shared" si="118"/>
        <v>289</v>
      </c>
      <c r="CG85" s="15">
        <f t="shared" si="119"/>
        <v>67.205039403116871</v>
      </c>
      <c r="CH85" s="127">
        <f t="shared" ca="1" si="120"/>
        <v>3.8509887495961168</v>
      </c>
      <c r="CI85" s="127">
        <f t="shared" ca="1" si="134"/>
        <v>47.039550582257128</v>
      </c>
      <c r="DQ85" s="121">
        <f t="shared" si="121"/>
        <v>44774</v>
      </c>
      <c r="DR85" s="98">
        <f t="shared" si="122"/>
        <v>1</v>
      </c>
      <c r="DS85" s="73">
        <f t="shared" si="123"/>
        <v>45.772098230480971</v>
      </c>
      <c r="DT85" s="295">
        <f t="shared" ca="1" si="127"/>
        <v>47.055441846388739</v>
      </c>
      <c r="DU85" s="295">
        <f t="shared" ca="1" si="128"/>
        <v>-1.2833436159077678</v>
      </c>
      <c r="DX85" s="121">
        <f t="shared" si="124"/>
        <v>44774</v>
      </c>
      <c r="DY85" s="98">
        <f t="shared" si="136"/>
        <v>1</v>
      </c>
      <c r="DZ85" s="281">
        <f t="shared" si="137"/>
        <v>45.772098230480971</v>
      </c>
      <c r="EA85" s="127">
        <f t="shared" ca="1" si="138"/>
        <v>44.061453281916968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64.622452870324537</v>
      </c>
      <c r="Z86" s="15">
        <f t="shared" si="84"/>
        <v>4.1685619180529949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75.034114524953907</v>
      </c>
      <c r="AE86" s="127">
        <f t="shared" ca="1" si="88"/>
        <v>3.8228520611803027</v>
      </c>
      <c r="AF86" s="127">
        <f t="shared" ca="1" si="129"/>
        <v>45.73445996760011</v>
      </c>
      <c r="AH86" s="121">
        <f t="shared" si="89"/>
        <v>44805</v>
      </c>
      <c r="AI86" s="73">
        <f t="shared" si="81"/>
        <v>56.2651324966007</v>
      </c>
      <c r="AJ86" s="15">
        <f t="shared" si="90"/>
        <v>4.0300750270663466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72.541350487194237</v>
      </c>
      <c r="AO86" s="127">
        <f t="shared" ca="1" si="94"/>
        <v>3.8403802790312356</v>
      </c>
      <c r="AP86" s="127">
        <f t="shared" ca="1" si="130"/>
        <v>46.543170466637669</v>
      </c>
      <c r="AR86" s="121">
        <f t="shared" si="95"/>
        <v>44805</v>
      </c>
      <c r="AS86" s="73">
        <f t="shared" si="135"/>
        <v>56.2651324966007</v>
      </c>
      <c r="AT86" s="15">
        <f t="shared" si="96"/>
        <v>4.0300750270663466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72.541350487194237</v>
      </c>
      <c r="AY86" s="127">
        <f t="shared" ca="1" si="100"/>
        <v>3.7829990111214582</v>
      </c>
      <c r="AZ86" s="127">
        <f t="shared" ca="1" si="131"/>
        <v>43.94764377138528</v>
      </c>
      <c r="BB86" s="121">
        <f t="shared" si="101"/>
        <v>44805</v>
      </c>
      <c r="BC86" s="73">
        <f t="shared" si="139"/>
        <v>56.2651324966007</v>
      </c>
      <c r="BD86" s="15">
        <f t="shared" si="102"/>
        <v>4.0300750270663466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72.541350487194237</v>
      </c>
      <c r="BI86" s="127">
        <f t="shared" ca="1" si="106"/>
        <v>3.88844842869393</v>
      </c>
      <c r="BJ86" s="127">
        <f t="shared" ca="1" si="132"/>
        <v>48.835056638596747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3.4501755655622408</v>
      </c>
      <c r="BT86" s="127">
        <f t="shared" ca="1" si="133"/>
        <v>31.50592317833533</v>
      </c>
      <c r="BZ86" s="583">
        <f t="shared" si="113"/>
        <v>1</v>
      </c>
      <c r="CA86" s="121">
        <f t="shared" si="114"/>
        <v>44805</v>
      </c>
      <c r="CB86" s="127">
        <f t="shared" si="115"/>
        <v>56.2651324966007</v>
      </c>
      <c r="CC86" s="15">
        <f t="shared" si="116"/>
        <v>4.0300750270663466</v>
      </c>
      <c r="CD86" s="98">
        <f t="shared" si="117"/>
        <v>1</v>
      </c>
      <c r="CE86" s="128">
        <f>IF(CD86&gt;0,18,0)</f>
        <v>18</v>
      </c>
      <c r="CF86" s="128">
        <f t="shared" si="118"/>
        <v>324</v>
      </c>
      <c r="CG86" s="15">
        <f t="shared" si="119"/>
        <v>72.541350487194237</v>
      </c>
      <c r="CH86" s="127">
        <f t="shared" ca="1" si="120"/>
        <v>3.8397222190896789</v>
      </c>
      <c r="CI86" s="127">
        <f t="shared" ca="1" si="134"/>
        <v>46.512552345984787</v>
      </c>
      <c r="DQ86" s="121">
        <f t="shared" si="121"/>
        <v>44805</v>
      </c>
      <c r="DR86" s="98">
        <f t="shared" si="122"/>
        <v>1</v>
      </c>
      <c r="DS86" s="73">
        <f t="shared" si="123"/>
        <v>64.622452870324537</v>
      </c>
      <c r="DT86" s="295">
        <f t="shared" ca="1" si="127"/>
        <v>46.543170466637669</v>
      </c>
      <c r="DU86" s="295">
        <f t="shared" ca="1" si="128"/>
        <v>18.079282403686868</v>
      </c>
      <c r="DX86" s="121">
        <f t="shared" si="124"/>
        <v>44805</v>
      </c>
      <c r="DY86" s="98">
        <f t="shared" si="136"/>
        <v>1</v>
      </c>
      <c r="DZ86" s="281">
        <f t="shared" si="137"/>
        <v>64.622452870324537</v>
      </c>
      <c r="EA86" s="127">
        <f t="shared" ca="1" si="138"/>
        <v>43.94764377138528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58.400846388996591</v>
      </c>
      <c r="Z87" s="15">
        <f t="shared" si="84"/>
        <v>4.0673303826914298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77.279277271137161</v>
      </c>
      <c r="AE87" s="127">
        <f t="shared" ca="1" si="88"/>
        <v>3.8130283795469126</v>
      </c>
      <c r="AF87" s="127">
        <f t="shared" ca="1" si="129"/>
        <v>45.287378780275645</v>
      </c>
      <c r="AH87" s="121">
        <f t="shared" si="89"/>
        <v>44835</v>
      </c>
      <c r="AI87" s="73">
        <f t="shared" si="81"/>
        <v>55.571874407910684</v>
      </c>
      <c r="AJ87" s="15">
        <f t="shared" si="90"/>
        <v>4.0176772172954101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76.33586712861279</v>
      </c>
      <c r="AO87" s="127">
        <f t="shared" ca="1" si="94"/>
        <v>3.8294340377971072</v>
      </c>
      <c r="AP87" s="127">
        <f t="shared" ca="1" si="130"/>
        <v>46.036475954432916</v>
      </c>
      <c r="AR87" s="121">
        <f t="shared" si="95"/>
        <v>44835</v>
      </c>
      <c r="AS87" s="73">
        <f t="shared" si="135"/>
        <v>55.571874407910684</v>
      </c>
      <c r="AT87" s="15">
        <f t="shared" si="96"/>
        <v>4.0176772172954101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76.33586712861279</v>
      </c>
      <c r="AY87" s="127">
        <f t="shared" ca="1" si="100"/>
        <v>3.7804126972566028</v>
      </c>
      <c r="AZ87" s="127">
        <f t="shared" ca="1" si="131"/>
        <v>43.834128227659562</v>
      </c>
      <c r="BB87" s="121">
        <f t="shared" si="101"/>
        <v>44835</v>
      </c>
      <c r="BC87" s="73">
        <f t="shared" si="139"/>
        <v>55.571874407910684</v>
      </c>
      <c r="BD87" s="15">
        <f t="shared" si="102"/>
        <v>4.0176772172954101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76.33586712861279</v>
      </c>
      <c r="BI87" s="127">
        <f t="shared" ca="1" si="106"/>
        <v>3.8747775199738737</v>
      </c>
      <c r="BJ87" s="127">
        <f t="shared" ca="1" si="132"/>
        <v>48.171979795493975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3.4737947568528411</v>
      </c>
      <c r="BT87" s="127">
        <f t="shared" ca="1" si="133"/>
        <v>32.258925248768627</v>
      </c>
      <c r="BZ87" s="583">
        <f t="shared" si="113"/>
        <v>1</v>
      </c>
      <c r="CA87" s="121">
        <f t="shared" si="114"/>
        <v>44835</v>
      </c>
      <c r="CB87" s="127">
        <f t="shared" si="115"/>
        <v>55.571874407910684</v>
      </c>
      <c r="CC87" s="15">
        <f t="shared" si="116"/>
        <v>4.0176772172954101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76.33586712861279</v>
      </c>
      <c r="CH87" s="127">
        <f t="shared" ca="1" si="120"/>
        <v>3.8284556885832406</v>
      </c>
      <c r="CI87" s="127">
        <f t="shared" ca="1" si="134"/>
        <v>45.991458229492402</v>
      </c>
      <c r="DQ87" s="121">
        <f t="shared" si="121"/>
        <v>44835</v>
      </c>
      <c r="DR87" s="98">
        <f t="shared" si="122"/>
        <v>1</v>
      </c>
      <c r="DS87" s="73">
        <f t="shared" si="123"/>
        <v>58.400846388996591</v>
      </c>
      <c r="DT87" s="295">
        <f t="shared" ca="1" si="127"/>
        <v>46.036475954432916</v>
      </c>
      <c r="DU87" s="295">
        <f t="shared" ca="1" si="128"/>
        <v>12.364370434563675</v>
      </c>
      <c r="DX87" s="121">
        <f t="shared" si="124"/>
        <v>44835</v>
      </c>
      <c r="DY87" s="98">
        <f t="shared" si="136"/>
        <v>1</v>
      </c>
      <c r="DZ87" s="281">
        <f t="shared" si="137"/>
        <v>58.400846388996591</v>
      </c>
      <c r="EA87" s="127">
        <f t="shared" ca="1" si="138"/>
        <v>43.834128227659562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58.400846388996591</v>
      </c>
      <c r="EF87" s="127">
        <f ca="1">+BJ87</f>
        <v>48.171979795493975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43.692323964410917</v>
      </c>
      <c r="Z88" s="15">
        <f t="shared" si="84"/>
        <v>3.7771724336844432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75.543448673688857</v>
      </c>
      <c r="AE88" s="127">
        <f t="shared" ca="1" si="88"/>
        <v>3.8032046979135226</v>
      </c>
      <c r="AF88" s="127">
        <f t="shared" ca="1" si="129"/>
        <v>44.844668073945179</v>
      </c>
      <c r="AH88" s="121">
        <f t="shared" si="89"/>
        <v>44866</v>
      </c>
      <c r="AI88" s="73">
        <f t="shared" si="81"/>
        <v>57.753934221677831</v>
      </c>
      <c r="AJ88" s="15">
        <f t="shared" si="90"/>
        <v>4.0561914721321957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81.12382944264391</v>
      </c>
      <c r="AO88" s="127">
        <f t="shared" ca="1" si="94"/>
        <v>3.8184877965629793</v>
      </c>
      <c r="AP88" s="127">
        <f t="shared" ca="1" si="130"/>
        <v>45.535297596931969</v>
      </c>
      <c r="AR88" s="121">
        <f t="shared" si="95"/>
        <v>44866</v>
      </c>
      <c r="AS88" s="73">
        <f t="shared" si="135"/>
        <v>57.753934221677831</v>
      </c>
      <c r="AT88" s="15">
        <f t="shared" si="96"/>
        <v>4.0561914721321957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81.12382944264391</v>
      </c>
      <c r="AY88" s="127">
        <f t="shared" ca="1" si="100"/>
        <v>3.7778263833917474</v>
      </c>
      <c r="AZ88" s="127">
        <f t="shared" ca="1" si="131"/>
        <v>43.720905891431705</v>
      </c>
      <c r="BB88" s="121">
        <f t="shared" si="101"/>
        <v>44866</v>
      </c>
      <c r="BC88" s="73">
        <f t="shared" si="139"/>
        <v>57.753934221677831</v>
      </c>
      <c r="BD88" s="15">
        <f t="shared" si="102"/>
        <v>4.0561914721321957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81.12382944264391</v>
      </c>
      <c r="BI88" s="127">
        <f t="shared" ca="1" si="106"/>
        <v>3.8611066112538168</v>
      </c>
      <c r="BJ88" s="127">
        <f t="shared" ca="1" si="132"/>
        <v>47.517906134328967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3.4974139481434414</v>
      </c>
      <c r="BT88" s="127">
        <f t="shared" ca="1" si="133"/>
        <v>33.029924319793444</v>
      </c>
      <c r="BZ88" s="583">
        <f t="shared" si="113"/>
        <v>1</v>
      </c>
      <c r="CA88" s="121">
        <f t="shared" si="114"/>
        <v>44866</v>
      </c>
      <c r="CB88" s="127">
        <f t="shared" si="115"/>
        <v>57.753934221677831</v>
      </c>
      <c r="CC88" s="15">
        <f t="shared" si="116"/>
        <v>4.0561914721321957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81.12382944264391</v>
      </c>
      <c r="CH88" s="127">
        <f t="shared" ca="1" si="120"/>
        <v>3.8171891580768023</v>
      </c>
      <c r="CI88" s="127">
        <f t="shared" ca="1" si="134"/>
        <v>45.476202087149943</v>
      </c>
      <c r="DQ88" s="121">
        <f t="shared" si="121"/>
        <v>44866</v>
      </c>
      <c r="DR88" s="98">
        <f t="shared" si="122"/>
        <v>1</v>
      </c>
      <c r="DS88" s="73">
        <f t="shared" si="123"/>
        <v>43.692323964410917</v>
      </c>
      <c r="DT88" s="295">
        <f t="shared" ca="1" si="127"/>
        <v>45.535297596931969</v>
      </c>
      <c r="DU88" s="295">
        <f t="shared" ca="1" si="128"/>
        <v>-1.8429736325210513</v>
      </c>
      <c r="DX88" s="121">
        <f t="shared" si="124"/>
        <v>44866</v>
      </c>
      <c r="DY88" s="98">
        <f t="shared" si="136"/>
        <v>1</v>
      </c>
      <c r="DZ88" s="281">
        <f t="shared" si="137"/>
        <v>43.692323964410917</v>
      </c>
      <c r="EA88" s="127">
        <f t="shared" ca="1" si="138"/>
        <v>43.720905891431705</v>
      </c>
      <c r="EC88" s="121">
        <f t="shared" si="125"/>
        <v>44866</v>
      </c>
      <c r="ED88" s="98">
        <f t="shared" si="140"/>
        <v>1</v>
      </c>
      <c r="EE88" s="281">
        <f t="shared" si="141"/>
        <v>43.692323964410917</v>
      </c>
      <c r="EF88" s="127">
        <f t="shared" ref="EF88:EF103" ca="1" si="142">+BJ88</f>
        <v>47.517906134328967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71.168632311625956</v>
      </c>
      <c r="Z89" s="15">
        <f t="shared" si="84"/>
        <v>4.2650521639230137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89.566095442383286</v>
      </c>
      <c r="AE89" s="127">
        <f t="shared" ca="1" si="88"/>
        <v>3.7933810162801329</v>
      </c>
      <c r="AF89" s="127">
        <f t="shared" ca="1" si="129"/>
        <v>44.406285124592024</v>
      </c>
      <c r="AH89" s="121">
        <f t="shared" si="89"/>
        <v>44896</v>
      </c>
      <c r="AI89" s="73">
        <f t="shared" si="81"/>
        <v>49.119790002302857</v>
      </c>
      <c r="AJ89" s="15">
        <f t="shared" si="90"/>
        <v>3.8942620086323307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81.779502181278943</v>
      </c>
      <c r="AO89" s="127">
        <f t="shared" ca="1" si="94"/>
        <v>3.807541555328851</v>
      </c>
      <c r="AP89" s="127">
        <f t="shared" ca="1" si="130"/>
        <v>45.039575342245563</v>
      </c>
      <c r="AR89" s="121">
        <f t="shared" si="95"/>
        <v>44896</v>
      </c>
      <c r="AS89" s="73">
        <f t="shared" si="135"/>
        <v>49.119790002302857</v>
      </c>
      <c r="AT89" s="15">
        <f t="shared" si="96"/>
        <v>3.8942620086323307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81.779502181278943</v>
      </c>
      <c r="AY89" s="127">
        <f t="shared" ca="1" si="100"/>
        <v>3.775240069526892</v>
      </c>
      <c r="AZ89" s="127">
        <f t="shared" ca="1" si="131"/>
        <v>43.607976005354892</v>
      </c>
      <c r="BB89" s="121">
        <f t="shared" si="101"/>
        <v>44896</v>
      </c>
      <c r="BC89" s="73">
        <f t="shared" si="139"/>
        <v>49.119790002302857</v>
      </c>
      <c r="BD89" s="15">
        <f t="shared" si="102"/>
        <v>3.8942620086323307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81.779502181278943</v>
      </c>
      <c r="BI89" s="127">
        <f t="shared" ca="1" si="106"/>
        <v>3.8474357025337604</v>
      </c>
      <c r="BJ89" s="127">
        <f t="shared" ca="1" si="132"/>
        <v>46.872713410921691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3.5210331394340417</v>
      </c>
      <c r="BT89" s="127">
        <f t="shared" ca="1" si="133"/>
        <v>33.81935052572549</v>
      </c>
      <c r="BZ89" s="583">
        <f t="shared" si="113"/>
        <v>1</v>
      </c>
      <c r="CA89" s="121">
        <f t="shared" si="114"/>
        <v>44896</v>
      </c>
      <c r="CB89" s="127">
        <f t="shared" si="115"/>
        <v>49.119790002302857</v>
      </c>
      <c r="CC89" s="15">
        <f t="shared" si="116"/>
        <v>3.8942620086323307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81.779502181278943</v>
      </c>
      <c r="CH89" s="127">
        <f t="shared" ca="1" si="120"/>
        <v>3.8059226275703639</v>
      </c>
      <c r="CI89" s="127">
        <f t="shared" ca="1" si="134"/>
        <v>44.966718514376751</v>
      </c>
      <c r="DQ89" s="121">
        <f t="shared" si="121"/>
        <v>44896</v>
      </c>
      <c r="DR89" s="98">
        <f t="shared" si="122"/>
        <v>1</v>
      </c>
      <c r="DS89" s="73">
        <f t="shared" si="123"/>
        <v>71.168632311625956</v>
      </c>
      <c r="DT89" s="295">
        <f t="shared" ca="1" si="127"/>
        <v>45.039575342245563</v>
      </c>
      <c r="DU89" s="295">
        <f t="shared" ca="1" si="128"/>
        <v>26.129056969380393</v>
      </c>
      <c r="DX89" s="121">
        <f t="shared" si="124"/>
        <v>44896</v>
      </c>
      <c r="DY89" s="98">
        <f t="shared" si="136"/>
        <v>1</v>
      </c>
      <c r="DZ89" s="281">
        <f t="shared" si="137"/>
        <v>71.168632311625956</v>
      </c>
      <c r="EA89" s="127">
        <f t="shared" ca="1" si="138"/>
        <v>43.607976005354892</v>
      </c>
      <c r="EC89" s="121">
        <f t="shared" si="125"/>
        <v>44896</v>
      </c>
      <c r="ED89" s="98">
        <f t="shared" si="140"/>
        <v>1</v>
      </c>
      <c r="EE89" s="281">
        <f t="shared" si="141"/>
        <v>71.168632311625956</v>
      </c>
      <c r="EF89" s="127">
        <f t="shared" ca="1" si="142"/>
        <v>46.872713410921691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32.49841373087169</v>
      </c>
      <c r="Z90" s="15">
        <f t="shared" si="84"/>
        <v>3.481191279863658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76.58620815700047</v>
      </c>
      <c r="AE90" s="127">
        <f t="shared" ca="1" si="88"/>
        <v>3.7835573346467428</v>
      </c>
      <c r="AF90" s="127">
        <f t="shared" ca="1" si="129"/>
        <v>43.972187625851774</v>
      </c>
      <c r="AH90" s="121">
        <f t="shared" si="89"/>
        <v>44927</v>
      </c>
      <c r="AI90" s="73">
        <f t="shared" si="81"/>
        <v>45.464455044698504</v>
      </c>
      <c r="AJ90" s="15">
        <f t="shared" si="90"/>
        <v>3.8169308128462474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83.97247788261744</v>
      </c>
      <c r="AO90" s="127">
        <f t="shared" ca="1" si="94"/>
        <v>3.7965953140947226</v>
      </c>
      <c r="AP90" s="127">
        <f t="shared" ca="1" si="130"/>
        <v>44.549249792242335</v>
      </c>
      <c r="AR90" s="121">
        <f t="shared" si="95"/>
        <v>44927</v>
      </c>
      <c r="AS90" s="73">
        <f t="shared" si="135"/>
        <v>45.464455044698504</v>
      </c>
      <c r="AT90" s="15">
        <f t="shared" si="96"/>
        <v>3.8169308128462474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83.97247788261744</v>
      </c>
      <c r="AY90" s="127">
        <f t="shared" ca="1" si="100"/>
        <v>3.7726537556620365</v>
      </c>
      <c r="AZ90" s="127">
        <f t="shared" ca="1" si="131"/>
        <v>43.4953378140385</v>
      </c>
      <c r="BB90" s="121">
        <f t="shared" si="101"/>
        <v>44927</v>
      </c>
      <c r="BC90" s="73">
        <f t="shared" si="139"/>
        <v>45.464455044698504</v>
      </c>
      <c r="BD90" s="15">
        <f t="shared" si="102"/>
        <v>3.8169308128462474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83.97247788261744</v>
      </c>
      <c r="BI90" s="127">
        <f t="shared" ca="1" si="106"/>
        <v>3.8337647938137036</v>
      </c>
      <c r="BJ90" s="127">
        <f t="shared" ca="1" si="132"/>
        <v>46.236281040909617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3.5446523307246416</v>
      </c>
      <c r="BT90" s="127">
        <f t="shared" ca="1" si="133"/>
        <v>34.627644281234033</v>
      </c>
      <c r="BZ90" s="583">
        <f t="shared" si="113"/>
        <v>1</v>
      </c>
      <c r="CA90" s="121">
        <f t="shared" si="114"/>
        <v>44927</v>
      </c>
      <c r="CB90" s="127">
        <f t="shared" si="115"/>
        <v>45.464455044698504</v>
      </c>
      <c r="CC90" s="15">
        <f t="shared" si="116"/>
        <v>3.8169308128462474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83.97247788261744</v>
      </c>
      <c r="CH90" s="127">
        <f t="shared" ca="1" si="120"/>
        <v>3.7946560970639256</v>
      </c>
      <c r="CI90" s="127">
        <f t="shared" ca="1" si="134"/>
        <v>44.462942839339355</v>
      </c>
      <c r="DQ90" s="121">
        <f t="shared" si="121"/>
        <v>44927</v>
      </c>
      <c r="DR90" s="98">
        <f t="shared" si="122"/>
        <v>1</v>
      </c>
      <c r="DS90" s="73">
        <f t="shared" si="123"/>
        <v>32.49841373087169</v>
      </c>
      <c r="DT90" s="295">
        <f t="shared" ca="1" si="127"/>
        <v>44.549249792242335</v>
      </c>
      <c r="DU90" s="295">
        <f t="shared" ca="1" si="128"/>
        <v>-12.050836061370646</v>
      </c>
      <c r="DX90" s="121">
        <f t="shared" si="124"/>
        <v>44927</v>
      </c>
      <c r="DY90" s="98">
        <f t="shared" si="136"/>
        <v>1</v>
      </c>
      <c r="DZ90" s="281">
        <f t="shared" si="137"/>
        <v>32.49841373087169</v>
      </c>
      <c r="EA90" s="127">
        <f t="shared" ca="1" si="138"/>
        <v>43.4953378140385</v>
      </c>
      <c r="EC90" s="121">
        <f t="shared" si="125"/>
        <v>44927</v>
      </c>
      <c r="ED90" s="98">
        <f t="shared" si="140"/>
        <v>1</v>
      </c>
      <c r="EE90" s="281">
        <f t="shared" si="141"/>
        <v>32.49841373087169</v>
      </c>
      <c r="EF90" s="127">
        <f t="shared" ca="1" si="142"/>
        <v>46.236281040909617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32.72631909159788</v>
      </c>
      <c r="Z91" s="15">
        <f t="shared" si="84"/>
        <v>3.4881796193593977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80.228131245266141</v>
      </c>
      <c r="AE91" s="127">
        <f t="shared" ca="1" si="88"/>
        <v>3.7737336530133527</v>
      </c>
      <c r="AF91" s="127">
        <f t="shared" ca="1" si="129"/>
        <v>43.542333684929602</v>
      </c>
      <c r="AH91" s="121">
        <f t="shared" si="89"/>
        <v>44958</v>
      </c>
      <c r="AI91" s="73">
        <f t="shared" si="81"/>
        <v>33.327617308285802</v>
      </c>
      <c r="AJ91" s="15">
        <f t="shared" si="90"/>
        <v>3.5063864018640505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80.646887242873163</v>
      </c>
      <c r="AO91" s="127">
        <f t="shared" ca="1" si="94"/>
        <v>3.7856490728605947</v>
      </c>
      <c r="AP91" s="127">
        <f t="shared" ca="1" si="130"/>
        <v>44.06426219543161</v>
      </c>
      <c r="AR91" s="121">
        <f t="shared" si="95"/>
        <v>44958</v>
      </c>
      <c r="AS91" s="73">
        <f t="shared" si="135"/>
        <v>33.327617308285802</v>
      </c>
      <c r="AT91" s="15">
        <f t="shared" si="96"/>
        <v>3.5063864018640505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80.646887242873163</v>
      </c>
      <c r="AY91" s="127">
        <f t="shared" ca="1" si="100"/>
        <v>3.7700674417971816</v>
      </c>
      <c r="AZ91" s="127">
        <f t="shared" ca="1" si="131"/>
        <v>43.382990564043077</v>
      </c>
      <c r="BB91" s="121">
        <f t="shared" si="101"/>
        <v>44958</v>
      </c>
      <c r="BC91" s="73">
        <f t="shared" si="139"/>
        <v>33.327617308285802</v>
      </c>
      <c r="BD91" s="15">
        <f t="shared" si="102"/>
        <v>3.5063864018640505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80.646887242873163</v>
      </c>
      <c r="BI91" s="127">
        <f t="shared" ca="1" si="106"/>
        <v>3.8200938850936472</v>
      </c>
      <c r="BJ91" s="127">
        <f t="shared" ca="1" si="132"/>
        <v>45.608490077211052</v>
      </c>
      <c r="BL91" s="121">
        <f t="shared" si="107"/>
        <v>44958</v>
      </c>
      <c r="BM91" s="73">
        <f t="shared" ref="BM91:BM102" si="143">+$AI91</f>
        <v>33.327617308285802</v>
      </c>
      <c r="BN91" s="15">
        <f t="shared" si="108"/>
        <v>3.5063864018640505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80.646887242873163</v>
      </c>
      <c r="BS91" s="127">
        <f t="shared" ca="1" si="112"/>
        <v>3.5682715220152419</v>
      </c>
      <c r="BT91" s="127">
        <f t="shared" ca="1" si="133"/>
        <v>35.455256527045854</v>
      </c>
      <c r="BZ91" s="583">
        <f t="shared" si="113"/>
        <v>1</v>
      </c>
      <c r="CA91" s="121">
        <f t="shared" si="114"/>
        <v>44958</v>
      </c>
      <c r="CB91" s="127">
        <f t="shared" si="115"/>
        <v>33.327617308285802</v>
      </c>
      <c r="CC91" s="15">
        <f t="shared" si="116"/>
        <v>3.5063864018640505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80.646887242873163</v>
      </c>
      <c r="CH91" s="127">
        <f t="shared" ca="1" si="120"/>
        <v>3.7833895665574877</v>
      </c>
      <c r="CI91" s="127">
        <f t="shared" ca="1" si="134"/>
        <v>43.964811114742304</v>
      </c>
      <c r="DQ91" s="121">
        <f t="shared" si="121"/>
        <v>44958</v>
      </c>
      <c r="DR91" s="98">
        <f t="shared" si="122"/>
        <v>1</v>
      </c>
      <c r="DS91" s="73">
        <f t="shared" si="123"/>
        <v>32.72631909159788</v>
      </c>
      <c r="DT91" s="295">
        <f t="shared" ca="1" si="127"/>
        <v>44.06426219543161</v>
      </c>
      <c r="DU91" s="295">
        <f t="shared" ca="1" si="128"/>
        <v>-11.33794310383373</v>
      </c>
      <c r="DX91" s="121">
        <f t="shared" si="124"/>
        <v>44958</v>
      </c>
      <c r="DY91" s="98">
        <f t="shared" si="136"/>
        <v>1</v>
      </c>
      <c r="DZ91" s="281">
        <f t="shared" si="137"/>
        <v>32.72631909159788</v>
      </c>
      <c r="EA91" s="127">
        <f t="shared" ca="1" si="138"/>
        <v>43.382990564043077</v>
      </c>
      <c r="EC91" s="121">
        <f t="shared" si="125"/>
        <v>44958</v>
      </c>
      <c r="ED91" s="98">
        <f t="shared" si="140"/>
        <v>1</v>
      </c>
      <c r="EE91" s="281">
        <f t="shared" si="141"/>
        <v>32.72631909159788</v>
      </c>
      <c r="EF91" s="127">
        <f t="shared" ca="1" si="142"/>
        <v>45.608490077211052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34.758119102387823</v>
      </c>
      <c r="Z92" s="15">
        <f t="shared" si="84"/>
        <v>3.5484131879546532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85.161916510911681</v>
      </c>
      <c r="AE92" s="127">
        <f t="shared" ca="1" si="88"/>
        <v>3.7639099713799626</v>
      </c>
      <c r="AF92" s="127">
        <f t="shared" ca="1" si="129"/>
        <v>43.116681818557339</v>
      </c>
      <c r="AH92" s="121">
        <f t="shared" si="89"/>
        <v>44986</v>
      </c>
      <c r="AI92" s="73">
        <f t="shared" ca="1" si="81"/>
        <v>34.081220407870397</v>
      </c>
      <c r="AJ92" s="15">
        <f t="shared" ca="1" si="90"/>
        <v>3.5287465114100427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84.689916273841021</v>
      </c>
      <c r="AO92" s="127">
        <f t="shared" ca="1" si="94"/>
        <v>3.7747028316264668</v>
      </c>
      <c r="AP92" s="127">
        <f t="shared" ca="1" si="130"/>
        <v>43.584554439923643</v>
      </c>
      <c r="AR92" s="121">
        <f t="shared" si="95"/>
        <v>44986</v>
      </c>
      <c r="AS92" s="73">
        <f t="shared" ca="1" si="135"/>
        <v>34.081220407870397</v>
      </c>
      <c r="AT92" s="15">
        <f t="shared" ca="1" si="96"/>
        <v>3.5287465114100427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84.689916273841021</v>
      </c>
      <c r="AY92" s="127">
        <f t="shared" ca="1" si="100"/>
        <v>3.7674811279323261</v>
      </c>
      <c r="AZ92" s="127">
        <f t="shared" ca="1" si="131"/>
        <v>43.270933503875227</v>
      </c>
      <c r="BB92" s="121">
        <f t="shared" si="101"/>
        <v>44986</v>
      </c>
      <c r="BC92" s="73">
        <f t="shared" ca="1" si="139"/>
        <v>34.081220407870397</v>
      </c>
      <c r="BD92" s="15">
        <f t="shared" ca="1" si="102"/>
        <v>3.5287465114100427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84.689916273841021</v>
      </c>
      <c r="BI92" s="127">
        <f t="shared" ca="1" si="106"/>
        <v>3.8064229763735904</v>
      </c>
      <c r="BJ92" s="127">
        <f t="shared" ca="1" si="132"/>
        <v>44.989223187794146</v>
      </c>
      <c r="BL92" s="121">
        <f t="shared" si="107"/>
        <v>44986</v>
      </c>
      <c r="BM92" s="73">
        <f t="shared" ca="1" si="143"/>
        <v>34.081220407870397</v>
      </c>
      <c r="BN92" s="15">
        <f t="shared" ca="1" si="108"/>
        <v>3.5287465114100427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84.689916273841021</v>
      </c>
      <c r="BS92" s="127">
        <f t="shared" ca="1" si="112"/>
        <v>3.5918907133058422</v>
      </c>
      <c r="BT92" s="127">
        <f t="shared" ca="1" si="133"/>
        <v>36.302648981521457</v>
      </c>
      <c r="BZ92" s="583">
        <f t="shared" si="113"/>
        <v>1</v>
      </c>
      <c r="CA92" s="121">
        <f t="shared" si="114"/>
        <v>44986</v>
      </c>
      <c r="CB92" s="127">
        <f t="shared" ca="1" si="115"/>
        <v>34.081220407870397</v>
      </c>
      <c r="CC92" s="15">
        <f t="shared" ca="1" si="116"/>
        <v>3.5287465114100427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84.689916273841021</v>
      </c>
      <c r="CH92" s="127">
        <f t="shared" ca="1" si="120"/>
        <v>3.7721230360510494</v>
      </c>
      <c r="CI92" s="127">
        <f t="shared" ca="1" si="134"/>
        <v>43.472260109710888</v>
      </c>
      <c r="DQ92" s="121">
        <f t="shared" si="121"/>
        <v>44986</v>
      </c>
      <c r="DR92" s="98">
        <f t="shared" si="122"/>
        <v>1</v>
      </c>
      <c r="DS92" s="73">
        <f t="shared" si="123"/>
        <v>34.758119102387823</v>
      </c>
      <c r="DT92" s="295">
        <f t="shared" ca="1" si="127"/>
        <v>43.584554439923643</v>
      </c>
      <c r="DU92" s="295">
        <f t="shared" ca="1" si="128"/>
        <v>-8.8264353375358198</v>
      </c>
      <c r="DX92" s="121">
        <f t="shared" si="124"/>
        <v>44986</v>
      </c>
      <c r="DY92" s="98">
        <f t="shared" si="136"/>
        <v>1</v>
      </c>
      <c r="DZ92" s="281">
        <f t="shared" si="137"/>
        <v>34.758119102387823</v>
      </c>
      <c r="EA92" s="127">
        <f t="shared" ca="1" si="138"/>
        <v>43.270933503875227</v>
      </c>
      <c r="EC92" s="121">
        <f t="shared" si="125"/>
        <v>44986</v>
      </c>
      <c r="ED92" s="98">
        <f t="shared" si="140"/>
        <v>1</v>
      </c>
      <c r="EE92" s="281">
        <f t="shared" si="141"/>
        <v>34.758119102387823</v>
      </c>
      <c r="EF92" s="127">
        <f t="shared" ca="1" si="142"/>
        <v>44.989223187794146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34.759223029625488</v>
      </c>
      <c r="Z93" s="15">
        <f t="shared" ca="1" si="84"/>
        <v>3.5484449477200273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88.711123693000687</v>
      </c>
      <c r="AE93" s="127">
        <f t="shared" ca="1" si="88"/>
        <v>3.7540862897465725</v>
      </c>
      <c r="AF93" s="127">
        <f t="shared" ca="1" si="129"/>
        <v>42.695190948990096</v>
      </c>
      <c r="AH93" s="121">
        <f t="shared" si="89"/>
        <v>45017</v>
      </c>
      <c r="AI93" s="73">
        <f t="shared" ca="1" si="81"/>
        <v>39.080413455469291</v>
      </c>
      <c r="AJ93" s="15">
        <f t="shared" ca="1" si="90"/>
        <v>3.6656214068389161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91.640535170972896</v>
      </c>
      <c r="AO93" s="127">
        <f t="shared" ca="1" si="94"/>
        <v>3.7637565903923385</v>
      </c>
      <c r="AP93" s="127">
        <f t="shared" ca="1" si="130"/>
        <v>43.110069046466649</v>
      </c>
      <c r="AR93" s="121">
        <f t="shared" si="95"/>
        <v>45017</v>
      </c>
      <c r="AS93" s="73">
        <f t="shared" ca="1" si="135"/>
        <v>39.080413455469291</v>
      </c>
      <c r="AT93" s="15">
        <f t="shared" ca="1" si="96"/>
        <v>3.6656214068389161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91.640535170972896</v>
      </c>
      <c r="AY93" s="127">
        <f t="shared" ca="1" si="100"/>
        <v>3.7648948140674707</v>
      </c>
      <c r="AZ93" s="127">
        <f t="shared" ca="1" si="131"/>
        <v>43.159165883982716</v>
      </c>
      <c r="BB93" s="121">
        <f t="shared" si="101"/>
        <v>45017</v>
      </c>
      <c r="BC93" s="73">
        <f t="shared" ca="1" si="139"/>
        <v>39.080413455469291</v>
      </c>
      <c r="BD93" s="15">
        <f t="shared" ca="1" si="102"/>
        <v>3.6656214068389161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91.640535170972896</v>
      </c>
      <c r="BI93" s="127">
        <f t="shared" ca="1" si="106"/>
        <v>3.792752067653534</v>
      </c>
      <c r="BJ93" s="127">
        <f t="shared" ca="1" si="132"/>
        <v>44.378364633748127</v>
      </c>
      <c r="BL93" s="121">
        <f t="shared" si="107"/>
        <v>45017</v>
      </c>
      <c r="BM93" s="73">
        <f t="shared" ca="1" si="143"/>
        <v>39.080413455469291</v>
      </c>
      <c r="BN93" s="15">
        <f t="shared" ca="1" si="108"/>
        <v>3.6656214068389161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91.640535170972896</v>
      </c>
      <c r="BS93" s="127">
        <f t="shared" ca="1" si="112"/>
        <v>3.6155099045964425</v>
      </c>
      <c r="BT93" s="127">
        <f t="shared" ca="1" si="133"/>
        <v>37.170294398244117</v>
      </c>
      <c r="BZ93" s="583">
        <f t="shared" si="113"/>
        <v>1</v>
      </c>
      <c r="CA93" s="121">
        <f t="shared" si="114"/>
        <v>45017</v>
      </c>
      <c r="CB93" s="127">
        <f t="shared" ca="1" si="115"/>
        <v>39.080413455469291</v>
      </c>
      <c r="CC93" s="15">
        <f t="shared" ca="1" si="116"/>
        <v>3.6656214068389161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91.640535170972896</v>
      </c>
      <c r="CH93" s="127">
        <f t="shared" ca="1" si="120"/>
        <v>3.760856505544611</v>
      </c>
      <c r="CI93" s="127">
        <f t="shared" ca="1" si="134"/>
        <v>42.985227301764958</v>
      </c>
      <c r="DQ93" s="121">
        <f t="shared" si="121"/>
        <v>45017</v>
      </c>
      <c r="DR93" s="98">
        <f t="shared" ca="1" si="122"/>
        <v>1</v>
      </c>
      <c r="DS93" s="73">
        <f t="shared" ca="1" si="123"/>
        <v>34.759223029625488</v>
      </c>
      <c r="DT93" s="295">
        <f t="shared" ca="1" si="127"/>
        <v>43.110069046466649</v>
      </c>
      <c r="DU93" s="295">
        <f t="shared" ca="1" si="128"/>
        <v>-8.3508460168411602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34.759223029625488</v>
      </c>
      <c r="EA93" s="127">
        <f t="shared" ca="1" si="138"/>
        <v>43.159165883982716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34.759223029625488</v>
      </c>
      <c r="EF93" s="127">
        <f t="shared" ca="1" si="142"/>
        <v>44.378364633748127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34.759223029625488</v>
      </c>
      <c r="EK93" s="127">
        <f t="shared" ref="EK93:EK104" ca="1" si="146">+BT93</f>
        <v>37.170294398244117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47.723898234394554</v>
      </c>
      <c r="Z94" s="15">
        <f t="shared" ca="1" si="84"/>
        <v>3.8654322836333268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100.50123937446649</v>
      </c>
      <c r="AE94" s="127">
        <f t="shared" ca="1" si="88"/>
        <v>3.7442626081131825</v>
      </c>
      <c r="AF94" s="127">
        <f t="shared" ca="1" si="129"/>
        <v>42.277820400042053</v>
      </c>
      <c r="AH94" s="121">
        <f t="shared" si="89"/>
        <v>45047</v>
      </c>
      <c r="AI94" s="73">
        <f t="shared" ca="1" si="81"/>
        <v>39.849016068219775</v>
      </c>
      <c r="AJ94" s="15">
        <f t="shared" ca="1" si="90"/>
        <v>3.6850977140460737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95.812540565197921</v>
      </c>
      <c r="AO94" s="127">
        <f t="shared" ca="1" si="94"/>
        <v>3.7528103491582101</v>
      </c>
      <c r="AP94" s="127">
        <f t="shared" ca="1" si="130"/>
        <v>42.640749161559583</v>
      </c>
      <c r="AR94" s="121">
        <f t="shared" si="95"/>
        <v>45047</v>
      </c>
      <c r="AS94" s="73">
        <f t="shared" ca="1" si="135"/>
        <v>39.849016068219775</v>
      </c>
      <c r="AT94" s="15">
        <f t="shared" ca="1" si="96"/>
        <v>3.6850977140460737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95.812540565197921</v>
      </c>
      <c r="AY94" s="127">
        <f t="shared" ca="1" si="100"/>
        <v>3.7623085002026153</v>
      </c>
      <c r="AZ94" s="127">
        <f t="shared" ca="1" si="131"/>
        <v>43.047686956749331</v>
      </c>
      <c r="BB94" s="121">
        <f t="shared" si="101"/>
        <v>45047</v>
      </c>
      <c r="BC94" s="73">
        <f t="shared" ca="1" si="139"/>
        <v>39.849016068219775</v>
      </c>
      <c r="BD94" s="15">
        <f t="shared" ca="1" si="102"/>
        <v>3.6850977140460737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95.812540565197921</v>
      </c>
      <c r="BI94" s="127">
        <f t="shared" ca="1" si="106"/>
        <v>3.7790811589334772</v>
      </c>
      <c r="BJ94" s="127">
        <f t="shared" ca="1" si="132"/>
        <v>43.775800247651908</v>
      </c>
      <c r="BL94" s="121">
        <f t="shared" si="107"/>
        <v>45047</v>
      </c>
      <c r="BM94" s="73">
        <f t="shared" ca="1" si="143"/>
        <v>39.849016068219775</v>
      </c>
      <c r="BN94" s="15">
        <f t="shared" ca="1" si="108"/>
        <v>3.6850977140460737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95.812540565197921</v>
      </c>
      <c r="BS94" s="127">
        <f t="shared" ca="1" si="112"/>
        <v>3.6391290958870428</v>
      </c>
      <c r="BT94" s="127">
        <f t="shared" ca="1" si="133"/>
        <v>38.058676829765425</v>
      </c>
      <c r="BZ94" s="583">
        <f t="shared" si="113"/>
        <v>1</v>
      </c>
      <c r="CA94" s="121">
        <f t="shared" si="114"/>
        <v>45047</v>
      </c>
      <c r="CB94" s="127">
        <f t="shared" ca="1" si="115"/>
        <v>39.849016068219775</v>
      </c>
      <c r="CC94" s="15">
        <f t="shared" ca="1" si="116"/>
        <v>3.6850977140460737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95.812540565197921</v>
      </c>
      <c r="CH94" s="127">
        <f t="shared" ca="1" si="120"/>
        <v>3.7495899750381727</v>
      </c>
      <c r="CI94" s="127">
        <f t="shared" ca="1" si="134"/>
        <v>42.503650868882509</v>
      </c>
      <c r="DQ94" s="121">
        <f t="shared" si="121"/>
        <v>45047</v>
      </c>
      <c r="DR94" s="98">
        <f t="shared" ca="1" si="122"/>
        <v>1</v>
      </c>
      <c r="DS94" s="73">
        <f t="shared" ca="1" si="123"/>
        <v>47.723898234394554</v>
      </c>
      <c r="DT94" s="295">
        <f t="shared" ca="1" si="127"/>
        <v>42.640749161559583</v>
      </c>
      <c r="DU94" s="295">
        <f t="shared" ca="1" si="128"/>
        <v>5.0831490728349706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47.723898234394554</v>
      </c>
      <c r="EA94" s="127">
        <f t="shared" ca="1" si="138"/>
        <v>43.047686956749331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47.723898234394554</v>
      </c>
      <c r="EF94" s="127">
        <f t="shared" ca="1" si="142"/>
        <v>43.775800247651908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47.723898234394554</v>
      </c>
      <c r="EK94" s="127">
        <f t="shared" ca="1" si="146"/>
        <v>38.058676829765425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37.06392694063927</v>
      </c>
      <c r="Z95" s="15">
        <f t="shared" ca="1" si="84"/>
        <v>3.6126441769446749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97.541392777506218</v>
      </c>
      <c r="AE95" s="127">
        <f t="shared" ca="1" si="88"/>
        <v>3.7344389264797924</v>
      </c>
      <c r="AF95" s="127">
        <f t="shared" ca="1" si="129"/>
        <v>41.864529893160984</v>
      </c>
      <c r="AH95" s="121">
        <f t="shared" si="89"/>
        <v>45078</v>
      </c>
      <c r="AI95" s="73">
        <f t="shared" ca="1" si="81"/>
        <v>42.586983882281437</v>
      </c>
      <c r="AJ95" s="15">
        <f t="shared" ca="1" si="90"/>
        <v>3.7515486639182032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101.29181392579149</v>
      </c>
      <c r="AO95" s="127">
        <f t="shared" ca="1" si="94"/>
        <v>3.7418641079240822</v>
      </c>
      <c r="AP95" s="127">
        <f t="shared" ca="1" si="130"/>
        <v>42.176538550639819</v>
      </c>
      <c r="AR95" s="121">
        <f t="shared" si="95"/>
        <v>45078</v>
      </c>
      <c r="AS95" s="73">
        <f t="shared" ca="1" si="135"/>
        <v>42.586983882281437</v>
      </c>
      <c r="AT95" s="15">
        <f t="shared" ca="1" si="96"/>
        <v>3.7515486639182032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101.29181392579149</v>
      </c>
      <c r="AY95" s="127">
        <f t="shared" ca="1" si="100"/>
        <v>3.7597221863377599</v>
      </c>
      <c r="AZ95" s="127">
        <f t="shared" ca="1" si="131"/>
        <v>42.936495976489958</v>
      </c>
      <c r="BB95" s="121">
        <f t="shared" si="101"/>
        <v>45078</v>
      </c>
      <c r="BC95" s="73">
        <f t="shared" ca="1" si="139"/>
        <v>42.586983882281437</v>
      </c>
      <c r="BD95" s="15">
        <f t="shared" ca="1" si="102"/>
        <v>3.7515486639182032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101.29181392579149</v>
      </c>
      <c r="BI95" s="127">
        <f t="shared" ca="1" si="106"/>
        <v>3.7654102502134208</v>
      </c>
      <c r="BJ95" s="127">
        <f t="shared" ca="1" si="132"/>
        <v>43.181417412236719</v>
      </c>
      <c r="BL95" s="121">
        <f t="shared" si="107"/>
        <v>45078</v>
      </c>
      <c r="BM95" s="73">
        <f t="shared" ca="1" si="143"/>
        <v>42.586983882281437</v>
      </c>
      <c r="BN95" s="15">
        <f t="shared" ca="1" si="108"/>
        <v>3.7515486639182032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101.29181392579149</v>
      </c>
      <c r="BS95" s="127">
        <f t="shared" ca="1" si="112"/>
        <v>3.6627482871776431</v>
      </c>
      <c r="BT95" s="127">
        <f t="shared" ca="1" si="133"/>
        <v>38.968291897654368</v>
      </c>
      <c r="BZ95" s="583">
        <f t="shared" si="113"/>
        <v>1</v>
      </c>
      <c r="CA95" s="121">
        <f t="shared" si="114"/>
        <v>45078</v>
      </c>
      <c r="CB95" s="127">
        <f t="shared" ca="1" si="115"/>
        <v>42.586983882281437</v>
      </c>
      <c r="CC95" s="15">
        <f t="shared" ca="1" si="116"/>
        <v>3.7515486639182032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101.29181392579149</v>
      </c>
      <c r="CH95" s="127">
        <f t="shared" ca="1" si="120"/>
        <v>3.7383234445317344</v>
      </c>
      <c r="CI95" s="127">
        <f t="shared" ca="1" si="134"/>
        <v>42.027469681652242</v>
      </c>
      <c r="DQ95" s="121">
        <f t="shared" si="121"/>
        <v>45078</v>
      </c>
      <c r="DR95" s="98">
        <f t="shared" ca="1" si="122"/>
        <v>1</v>
      </c>
      <c r="DS95" s="73">
        <f t="shared" ca="1" si="123"/>
        <v>37.06392694063927</v>
      </c>
      <c r="DT95" s="295">
        <f t="shared" ca="1" si="127"/>
        <v>42.176538550639819</v>
      </c>
      <c r="DU95" s="295">
        <f t="shared" ca="1" si="128"/>
        <v>-5.112611610000549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37.06392694063927</v>
      </c>
      <c r="EA95" s="127">
        <f t="shared" ca="1" si="138"/>
        <v>42.936495976489958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37.06392694063927</v>
      </c>
      <c r="EF95" s="127">
        <f t="shared" ca="1" si="142"/>
        <v>43.181417412236719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37.06392694063927</v>
      </c>
      <c r="EK95" s="127">
        <f t="shared" ca="1" si="146"/>
        <v>38.968291897654368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42.973126471810502</v>
      </c>
      <c r="Z96" s="15">
        <f t="shared" ca="1" si="84"/>
        <v>3.7605749545492007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105.29609872737763</v>
      </c>
      <c r="AE96" s="127">
        <f t="shared" ca="1" si="88"/>
        <v>3.7246152448464023</v>
      </c>
      <c r="AF96" s="127">
        <f t="shared" ca="1" si="129"/>
        <v>41.455279543541138</v>
      </c>
      <c r="AH96" s="121">
        <f t="shared" si="89"/>
        <v>45108</v>
      </c>
      <c r="AI96" s="73">
        <f t="shared" ca="1" si="81"/>
        <v>40.659399073814932</v>
      </c>
      <c r="AJ96" s="15">
        <f t="shared" ca="1" si="90"/>
        <v>3.7052300287947468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103.74644080625291</v>
      </c>
      <c r="AO96" s="127">
        <f t="shared" ca="1" si="94"/>
        <v>3.7309178666899538</v>
      </c>
      <c r="AP96" s="127">
        <f t="shared" ca="1" si="130"/>
        <v>41.71738159134501</v>
      </c>
      <c r="AR96" s="121">
        <f t="shared" si="95"/>
        <v>45108</v>
      </c>
      <c r="AS96" s="73">
        <f t="shared" ca="1" si="135"/>
        <v>40.659399073814932</v>
      </c>
      <c r="AT96" s="15">
        <f t="shared" ca="1" si="96"/>
        <v>3.7052300287947468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103.74644080625291</v>
      </c>
      <c r="AY96" s="127">
        <f t="shared" ca="1" si="100"/>
        <v>3.7571358724729045</v>
      </c>
      <c r="AZ96" s="127">
        <f t="shared" ca="1" si="131"/>
        <v>42.825592199445559</v>
      </c>
      <c r="BB96" s="121">
        <f t="shared" si="101"/>
        <v>45108</v>
      </c>
      <c r="BC96" s="73">
        <f t="shared" ca="1" si="139"/>
        <v>40.659399073814932</v>
      </c>
      <c r="BD96" s="15">
        <f t="shared" ca="1" si="102"/>
        <v>3.7052300287947468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103.74644080625291</v>
      </c>
      <c r="BI96" s="127">
        <f t="shared" ca="1" si="106"/>
        <v>3.751739341493364</v>
      </c>
      <c r="BJ96" s="127">
        <f t="shared" ca="1" si="132"/>
        <v>42.595105039338186</v>
      </c>
      <c r="BL96" s="121">
        <f t="shared" si="107"/>
        <v>45108</v>
      </c>
      <c r="BM96" s="73">
        <f t="shared" ca="1" si="143"/>
        <v>40.659399073814932</v>
      </c>
      <c r="BN96" s="15">
        <f t="shared" ca="1" si="108"/>
        <v>3.7052300287947468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103.74644080625291</v>
      </c>
      <c r="BS96" s="127">
        <f t="shared" ca="1" si="112"/>
        <v>3.6863674784682434</v>
      </c>
      <c r="BT96" s="127">
        <f t="shared" ca="1" si="133"/>
        <v>39.8996470690007</v>
      </c>
      <c r="BZ96" s="583">
        <f t="shared" si="113"/>
        <v>1</v>
      </c>
      <c r="CA96" s="121">
        <f t="shared" si="114"/>
        <v>45108</v>
      </c>
      <c r="CB96" s="127">
        <f t="shared" ca="1" si="115"/>
        <v>40.659399073814932</v>
      </c>
      <c r="CC96" s="15">
        <f t="shared" ca="1" si="116"/>
        <v>3.7052300287947468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103.74644080625291</v>
      </c>
      <c r="CH96" s="127">
        <f t="shared" ca="1" si="120"/>
        <v>3.7270569140252965</v>
      </c>
      <c r="CI96" s="127">
        <f t="shared" ca="1" si="134"/>
        <v>41.556623295514058</v>
      </c>
      <c r="DQ96" s="121">
        <f t="shared" si="121"/>
        <v>45108</v>
      </c>
      <c r="DR96" s="98">
        <f t="shared" ca="1" si="122"/>
        <v>1</v>
      </c>
      <c r="DS96" s="73">
        <f t="shared" ca="1" si="123"/>
        <v>42.973126471810502</v>
      </c>
      <c r="DT96" s="295">
        <f t="shared" ca="1" si="127"/>
        <v>41.71738159134501</v>
      </c>
      <c r="DU96" s="295">
        <f t="shared" ca="1" si="128"/>
        <v>1.2557448804654925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42.973126471810502</v>
      </c>
      <c r="EA96" s="127">
        <f t="shared" ca="1" si="138"/>
        <v>42.825592199445559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42.973126471810502</v>
      </c>
      <c r="EF96" s="127">
        <f t="shared" ca="1" si="142"/>
        <v>42.595105039338186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42.973126471810502</v>
      </c>
      <c r="EK96" s="127">
        <f t="shared" ca="1" si="146"/>
        <v>39.8996470690007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41.941143808995001</v>
      </c>
      <c r="Z97" s="15">
        <f t="shared" ca="1" si="84"/>
        <v>3.7362672976101119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108.35175163069324</v>
      </c>
      <c r="AE97" s="127">
        <f t="shared" ca="1" si="88"/>
        <v>3.7147915632130122</v>
      </c>
      <c r="AF97" s="127">
        <f t="shared" ca="1" si="129"/>
        <v>41.050029856274158</v>
      </c>
      <c r="AH97" s="121">
        <f t="shared" si="89"/>
        <v>45139</v>
      </c>
      <c r="AI97" s="73">
        <f t="shared" ca="1" si="81"/>
        <v>39.340280078257997</v>
      </c>
      <c r="AJ97" s="15">
        <f t="shared" ca="1" si="90"/>
        <v>3.6722489323625656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106.49521903851441</v>
      </c>
      <c r="AO97" s="127">
        <f t="shared" ca="1" si="94"/>
        <v>3.7199716254558259</v>
      </c>
      <c r="AP97" s="127">
        <f t="shared" ca="1" si="130"/>
        <v>41.26322326684847</v>
      </c>
      <c r="AR97" s="121">
        <f t="shared" si="95"/>
        <v>45139</v>
      </c>
      <c r="AS97" s="73">
        <f t="shared" ca="1" si="135"/>
        <v>39.340280078257997</v>
      </c>
      <c r="AT97" s="15">
        <f t="shared" ca="1" si="96"/>
        <v>3.6722489323625656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106.49521903851441</v>
      </c>
      <c r="AY97" s="127">
        <f t="shared" ca="1" si="100"/>
        <v>3.7545495586080491</v>
      </c>
      <c r="AZ97" s="127">
        <f t="shared" ca="1" si="131"/>
        <v>42.714974883778197</v>
      </c>
      <c r="BB97" s="121">
        <f t="shared" si="101"/>
        <v>45139</v>
      </c>
      <c r="BC97" s="73">
        <f t="shared" ca="1" si="139"/>
        <v>39.340280078257997</v>
      </c>
      <c r="BD97" s="15">
        <f t="shared" ca="1" si="102"/>
        <v>3.6722489323625656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106.49521903851441</v>
      </c>
      <c r="BI97" s="127">
        <f t="shared" ca="1" si="106"/>
        <v>3.7380684327733076</v>
      </c>
      <c r="BJ97" s="127">
        <f t="shared" ca="1" si="132"/>
        <v>42.016753549134471</v>
      </c>
      <c r="BL97" s="121">
        <f t="shared" si="107"/>
        <v>45139</v>
      </c>
      <c r="BM97" s="73">
        <f t="shared" ca="1" si="143"/>
        <v>39.340280078257997</v>
      </c>
      <c r="BN97" s="15">
        <f t="shared" ca="1" si="108"/>
        <v>3.6722489323625656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106.49521903851441</v>
      </c>
      <c r="BS97" s="127">
        <f t="shared" ca="1" si="112"/>
        <v>3.7099866697588437</v>
      </c>
      <c r="BT97" s="127">
        <f t="shared" ca="1" si="133"/>
        <v>40.85326193952686</v>
      </c>
      <c r="BZ97" s="583">
        <f t="shared" si="113"/>
        <v>1</v>
      </c>
      <c r="CA97" s="121">
        <f t="shared" si="114"/>
        <v>45139</v>
      </c>
      <c r="CB97" s="127">
        <f t="shared" ca="1" si="115"/>
        <v>39.340280078257997</v>
      </c>
      <c r="CC97" s="15">
        <f t="shared" ca="1" si="116"/>
        <v>3.6722489323625656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106.49521903851441</v>
      </c>
      <c r="CH97" s="127">
        <f t="shared" ca="1" si="120"/>
        <v>3.7157903835188582</v>
      </c>
      <c r="CI97" s="127">
        <f t="shared" ca="1" si="134"/>
        <v>41.091051943086391</v>
      </c>
      <c r="DQ97" s="121">
        <f t="shared" si="121"/>
        <v>45139</v>
      </c>
      <c r="DR97" s="98">
        <f t="shared" ca="1" si="122"/>
        <v>1</v>
      </c>
      <c r="DS97" s="73">
        <f t="shared" ca="1" si="123"/>
        <v>41.941143808995001</v>
      </c>
      <c r="DT97" s="295">
        <f t="shared" ca="1" si="127"/>
        <v>41.26322326684847</v>
      </c>
      <c r="DU97" s="295">
        <f t="shared" ca="1" si="128"/>
        <v>0.67792054214653064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41.941143808995001</v>
      </c>
      <c r="EA97" s="127">
        <f t="shared" ca="1" si="138"/>
        <v>42.714974883778197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41.941143808995001</v>
      </c>
      <c r="EF97" s="127">
        <f t="shared" ca="1" si="142"/>
        <v>42.016753549134471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41.941143808995001</v>
      </c>
      <c r="EK97" s="127">
        <f t="shared" ca="1" si="146"/>
        <v>40.85326193952686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33.106569953968474</v>
      </c>
      <c r="Z98" s="15">
        <f t="shared" ca="1" si="84"/>
        <v>3.4997317507221748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104.99195252166524</v>
      </c>
      <c r="AE98" s="127">
        <f t="shared" ca="1" si="88"/>
        <v>3.7049678815796221</v>
      </c>
      <c r="AF98" s="127">
        <f t="shared" ca="1" si="129"/>
        <v>40.648741722537594</v>
      </c>
      <c r="AH98" s="121">
        <f t="shared" si="89"/>
        <v>45170</v>
      </c>
      <c r="AI98" s="73">
        <f t="shared" ca="1" si="81"/>
        <v>39.689176274136216</v>
      </c>
      <c r="AJ98" s="15">
        <f t="shared" ca="1" si="90"/>
        <v>3.6810785125895897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110.43235537768768</v>
      </c>
      <c r="AO98" s="127">
        <f t="shared" ca="1" si="94"/>
        <v>3.7090253842216976</v>
      </c>
      <c r="AP98" s="127">
        <f t="shared" ca="1" si="130"/>
        <v>40.814009159266817</v>
      </c>
      <c r="AR98" s="121">
        <f t="shared" si="95"/>
        <v>45170</v>
      </c>
      <c r="AS98" s="73">
        <f t="shared" ca="1" si="135"/>
        <v>39.689176274136216</v>
      </c>
      <c r="AT98" s="15">
        <f t="shared" ca="1" si="96"/>
        <v>3.6810785125895897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110.43235537768768</v>
      </c>
      <c r="AY98" s="127">
        <f t="shared" ca="1" si="100"/>
        <v>3.7519632447431941</v>
      </c>
      <c r="AZ98" s="127">
        <f t="shared" ca="1" si="131"/>
        <v>42.604643289566113</v>
      </c>
      <c r="BB98" s="121">
        <f t="shared" si="101"/>
        <v>45170</v>
      </c>
      <c r="BC98" s="73">
        <f t="shared" ca="1" si="139"/>
        <v>39.689176274136216</v>
      </c>
      <c r="BD98" s="15">
        <f t="shared" ca="1" si="102"/>
        <v>3.6810785125895897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110.43235537768768</v>
      </c>
      <c r="BI98" s="127">
        <f t="shared" ca="1" si="106"/>
        <v>3.7243975240532512</v>
      </c>
      <c r="BJ98" s="127">
        <f t="shared" ca="1" si="132"/>
        <v>41.446254849666026</v>
      </c>
      <c r="BL98" s="121">
        <f t="shared" si="107"/>
        <v>45170</v>
      </c>
      <c r="BM98" s="73">
        <f t="shared" ca="1" si="143"/>
        <v>39.689176274136216</v>
      </c>
      <c r="BN98" s="15">
        <f t="shared" ca="1" si="108"/>
        <v>3.6810785125895897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110.43235537768768</v>
      </c>
      <c r="BS98" s="127">
        <f t="shared" ca="1" si="112"/>
        <v>3.7336058610494436</v>
      </c>
      <c r="BT98" s="127">
        <f t="shared" ca="1" si="133"/>
        <v>41.829668523466303</v>
      </c>
      <c r="BZ98" s="583">
        <f t="shared" si="113"/>
        <v>1</v>
      </c>
      <c r="CA98" s="121">
        <f t="shared" si="114"/>
        <v>45170</v>
      </c>
      <c r="CB98" s="127">
        <f t="shared" ca="1" si="115"/>
        <v>39.689176274136216</v>
      </c>
      <c r="CC98" s="15">
        <f t="shared" ca="1" si="116"/>
        <v>3.6810785125895897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110.43235537768768</v>
      </c>
      <c r="CH98" s="127">
        <f t="shared" ca="1" si="120"/>
        <v>3.7045238530124198</v>
      </c>
      <c r="CI98" s="127">
        <f t="shared" ca="1" si="134"/>
        <v>40.630696526579698</v>
      </c>
      <c r="DQ98" s="121">
        <f t="shared" si="121"/>
        <v>45170</v>
      </c>
      <c r="DR98" s="98">
        <f t="shared" ca="1" si="122"/>
        <v>1</v>
      </c>
      <c r="DS98" s="73">
        <f t="shared" ca="1" si="123"/>
        <v>33.106569953968474</v>
      </c>
      <c r="DT98" s="295">
        <f t="shared" ca="1" si="127"/>
        <v>40.814009159266817</v>
      </c>
      <c r="DU98" s="295">
        <f t="shared" ca="1" si="128"/>
        <v>-7.7074392052983427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33.106569953968474</v>
      </c>
      <c r="EA98" s="127">
        <f t="shared" ca="1" si="138"/>
        <v>42.604643289566113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33.106569953968474</v>
      </c>
      <c r="EF98" s="127">
        <f t="shared" ca="1" si="142"/>
        <v>41.446254849666026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33.106569953968474</v>
      </c>
      <c r="EK98" s="127">
        <f t="shared" ca="1" si="146"/>
        <v>41.829668523466303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44.019815059445179</v>
      </c>
      <c r="Z99" s="15">
        <f t="shared" ca="1" si="84"/>
        <v>3.7846398748047374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117.32383611894686</v>
      </c>
      <c r="AE99" s="127">
        <f t="shared" ca="1" si="88"/>
        <v>3.695144199946232</v>
      </c>
      <c r="AF99" s="127">
        <f t="shared" ca="1" si="129"/>
        <v>40.25137641582068</v>
      </c>
      <c r="AH99" s="121">
        <f t="shared" si="89"/>
        <v>45200</v>
      </c>
      <c r="AI99" s="73">
        <f t="shared" ca="1" si="81"/>
        <v>42.758304889834243</v>
      </c>
      <c r="AJ99" s="15">
        <f t="shared" ca="1" si="90"/>
        <v>3.7555634429443612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116.42246673127519</v>
      </c>
      <c r="AO99" s="127">
        <f t="shared" ca="1" si="94"/>
        <v>3.6980791429875697</v>
      </c>
      <c r="AP99" s="127">
        <f t="shared" ca="1" si="130"/>
        <v>40.369685443139709</v>
      </c>
      <c r="AR99" s="121">
        <f t="shared" si="95"/>
        <v>45200</v>
      </c>
      <c r="AS99" s="73">
        <f t="shared" ca="1" si="135"/>
        <v>42.758304889834243</v>
      </c>
      <c r="AT99" s="15">
        <f t="shared" ca="1" si="96"/>
        <v>3.7555634429443612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116.42246673127519</v>
      </c>
      <c r="AY99" s="127">
        <f t="shared" ca="1" si="100"/>
        <v>3.7493769308783387</v>
      </c>
      <c r="AZ99" s="127">
        <f t="shared" ca="1" si="131"/>
        <v>42.494596678798679</v>
      </c>
      <c r="BB99" s="121">
        <f t="shared" si="101"/>
        <v>45200</v>
      </c>
      <c r="BC99" s="73">
        <f t="shared" ca="1" si="139"/>
        <v>42.758304889834243</v>
      </c>
      <c r="BD99" s="15">
        <f t="shared" ca="1" si="102"/>
        <v>3.7555634429443612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116.42246673127519</v>
      </c>
      <c r="BI99" s="127">
        <f t="shared" ca="1" si="106"/>
        <v>3.7107266153331944</v>
      </c>
      <c r="BJ99" s="127">
        <f t="shared" ca="1" si="132"/>
        <v>40.883502316633638</v>
      </c>
      <c r="BL99" s="121">
        <f t="shared" si="107"/>
        <v>45200</v>
      </c>
      <c r="BM99" s="73">
        <f t="shared" ca="1" si="143"/>
        <v>42.758304889834243</v>
      </c>
      <c r="BN99" s="15">
        <f t="shared" ca="1" si="108"/>
        <v>3.7555634429443612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116.42246673127519</v>
      </c>
      <c r="BS99" s="127">
        <f t="shared" ca="1" si="112"/>
        <v>3.7572250523400439</v>
      </c>
      <c r="BT99" s="127">
        <f t="shared" ca="1" si="133"/>
        <v>42.829411550370139</v>
      </c>
      <c r="BZ99" s="583">
        <f t="shared" si="113"/>
        <v>1</v>
      </c>
      <c r="CA99" s="121">
        <f t="shared" si="114"/>
        <v>45200</v>
      </c>
      <c r="CB99" s="127">
        <f t="shared" ca="1" si="115"/>
        <v>42.758304889834243</v>
      </c>
      <c r="CC99" s="15">
        <f t="shared" ca="1" si="116"/>
        <v>3.7555634429443612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116.42246673127519</v>
      </c>
      <c r="CH99" s="127">
        <f t="shared" ca="1" si="120"/>
        <v>3.6932573225059815</v>
      </c>
      <c r="CI99" s="127">
        <f t="shared" ca="1" si="134"/>
        <v>40.175498610294717</v>
      </c>
      <c r="DQ99" s="121">
        <f t="shared" si="121"/>
        <v>45200</v>
      </c>
      <c r="DR99" s="98">
        <f t="shared" ca="1" si="122"/>
        <v>1</v>
      </c>
      <c r="DS99" s="73">
        <f t="shared" ca="1" si="123"/>
        <v>44.019815059445179</v>
      </c>
      <c r="DT99" s="295">
        <f t="shared" ca="1" si="127"/>
        <v>40.369685443139709</v>
      </c>
      <c r="DU99" s="295">
        <f t="shared" ca="1" si="128"/>
        <v>3.6501296163054704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44.019815059445179</v>
      </c>
      <c r="EA99" s="127">
        <f t="shared" ca="1" si="138"/>
        <v>42.494596678798679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44.019815059445179</v>
      </c>
      <c r="EF99" s="127">
        <f t="shared" ca="1" si="142"/>
        <v>40.883502316633638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44.019815059445179</v>
      </c>
      <c r="EK99" s="127">
        <f t="shared" ca="1" si="146"/>
        <v>42.829411550370139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51.148529656089053</v>
      </c>
      <c r="Z100" s="15">
        <f t="shared" ca="1" si="84"/>
        <v>3.9347337462579599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125.91147988025472</v>
      </c>
      <c r="AE100" s="127">
        <f t="shared" ca="1" si="88"/>
        <v>3.6853205183128419</v>
      </c>
      <c r="AF100" s="127">
        <f t="shared" ca="1" si="129"/>
        <v>39.857895588187034</v>
      </c>
      <c r="AH100" s="121">
        <f t="shared" si="89"/>
        <v>45231</v>
      </c>
      <c r="AI100" s="73">
        <f t="shared" ca="1" si="81"/>
        <v>46.350869558308368</v>
      </c>
      <c r="AJ100" s="15">
        <f t="shared" ca="1" si="90"/>
        <v>3.8362400525329368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122.75968168105398</v>
      </c>
      <c r="AO100" s="127">
        <f t="shared" ca="1" si="94"/>
        <v>3.6871329017534413</v>
      </c>
      <c r="AP100" s="127">
        <f t="shared" ca="1" si="130"/>
        <v>39.930198878980249</v>
      </c>
      <c r="AR100" s="121">
        <f t="shared" si="95"/>
        <v>45231</v>
      </c>
      <c r="AS100" s="73">
        <f t="shared" ca="1" si="135"/>
        <v>46.350869558308368</v>
      </c>
      <c r="AT100" s="15">
        <f t="shared" ca="1" si="96"/>
        <v>3.8362400525329368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122.75968168105398</v>
      </c>
      <c r="AY100" s="127">
        <f t="shared" ca="1" si="100"/>
        <v>3.7467906170134833</v>
      </c>
      <c r="AZ100" s="127">
        <f t="shared" ca="1" si="131"/>
        <v>42.384834315371585</v>
      </c>
      <c r="BB100" s="121">
        <f t="shared" si="101"/>
        <v>45231</v>
      </c>
      <c r="BC100" s="73">
        <f t="shared" ca="1" si="139"/>
        <v>46.350869558308368</v>
      </c>
      <c r="BD100" s="15">
        <f t="shared" ca="1" si="102"/>
        <v>3.8362400525329368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122.75968168105398</v>
      </c>
      <c r="BI100" s="127">
        <f t="shared" ca="1" si="106"/>
        <v>3.6970557066131375</v>
      </c>
      <c r="BJ100" s="127">
        <f t="shared" ca="1" si="132"/>
        <v>40.328390773470737</v>
      </c>
      <c r="BL100" s="121">
        <f t="shared" si="107"/>
        <v>45231</v>
      </c>
      <c r="BM100" s="73">
        <f t="shared" ca="1" si="143"/>
        <v>46.350869558308368</v>
      </c>
      <c r="BN100" s="15">
        <f t="shared" ca="1" si="108"/>
        <v>3.8362400525329368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122.75968168105398</v>
      </c>
      <c r="BS100" s="127">
        <f t="shared" ca="1" si="112"/>
        <v>3.7808442436306442</v>
      </c>
      <c r="BT100" s="127">
        <f t="shared" ca="1" si="133"/>
        <v>43.853048769007344</v>
      </c>
      <c r="BZ100" s="583">
        <f t="shared" si="113"/>
        <v>1</v>
      </c>
      <c r="CA100" s="121">
        <f t="shared" si="114"/>
        <v>45231</v>
      </c>
      <c r="CB100" s="127">
        <f t="shared" ca="1" si="115"/>
        <v>46.350869558308368</v>
      </c>
      <c r="CC100" s="15">
        <f t="shared" ca="1" si="116"/>
        <v>3.8362400525329368</v>
      </c>
      <c r="CD100" s="98">
        <f t="shared" ca="1" si="117"/>
        <v>1</v>
      </c>
      <c r="CE100" s="128">
        <f ca="1">IF(CD100&gt;0,32,0)</f>
        <v>32</v>
      </c>
      <c r="CF100" s="128">
        <f t="shared" ca="1" si="118"/>
        <v>1024</v>
      </c>
      <c r="CG100" s="15">
        <f t="shared" ca="1" si="119"/>
        <v>122.75968168105398</v>
      </c>
      <c r="CH100" s="127">
        <f t="shared" ca="1" si="120"/>
        <v>3.6819907919995432</v>
      </c>
      <c r="CI100" s="127">
        <f t="shared" ca="1" si="134"/>
        <v>39.725400413204923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51.148529656089053</v>
      </c>
      <c r="DT100" s="295">
        <f t="shared" ca="1" si="127"/>
        <v>39.930198878980249</v>
      </c>
      <c r="DU100" s="295">
        <f t="shared" ca="1" si="128"/>
        <v>11.218330777108804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51.148529656089053</v>
      </c>
      <c r="EA100" s="127">
        <f t="shared" ca="1" si="138"/>
        <v>42.384834315371585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51.148529656089053</v>
      </c>
      <c r="EF100" s="127">
        <f t="shared" ca="1" si="142"/>
        <v>40.328390773470737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51.148529656089053</v>
      </c>
      <c r="EK100" s="127">
        <f t="shared" ca="1" si="146"/>
        <v>43.853048769007344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43.884263959390864</v>
      </c>
      <c r="Z101" s="15">
        <f t="shared" ca="1" si="84"/>
        <v>3.7815558038717749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124.79134152776857</v>
      </c>
      <c r="AE101" s="127">
        <f t="shared" ca="1" si="88"/>
        <v>3.6754968366794518</v>
      </c>
      <c r="AF101" s="127">
        <f t="shared" ca="1" si="129"/>
        <v>39.46826126657384</v>
      </c>
      <c r="AH101" s="121">
        <f t="shared" si="89"/>
        <v>45261</v>
      </c>
      <c r="AI101" s="73">
        <f t="shared" ca="1" si="81"/>
        <v>47.28072287182664</v>
      </c>
      <c r="AJ101" s="15">
        <f t="shared" ca="1" si="90"/>
        <v>3.8561026621481949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127.25138785089042</v>
      </c>
      <c r="AO101" s="127">
        <f t="shared" ca="1" si="94"/>
        <v>3.6761866605193134</v>
      </c>
      <c r="AP101" s="127">
        <f t="shared" ca="1" si="130"/>
        <v>39.495496806895893</v>
      </c>
      <c r="AR101" s="121">
        <f t="shared" si="95"/>
        <v>45261</v>
      </c>
      <c r="AS101" s="73">
        <f t="shared" ca="1" si="135"/>
        <v>47.28072287182664</v>
      </c>
      <c r="AT101" s="15">
        <f t="shared" ca="1" si="96"/>
        <v>3.8561026621481949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127.25138785089042</v>
      </c>
      <c r="AY101" s="127">
        <f t="shared" ca="1" si="100"/>
        <v>3.7442043031486278</v>
      </c>
      <c r="AZ101" s="127">
        <f t="shared" ca="1" si="131"/>
        <v>42.275355465081851</v>
      </c>
      <c r="BB101" s="121">
        <f t="shared" si="101"/>
        <v>45261</v>
      </c>
      <c r="BC101" s="73">
        <f t="shared" ca="1" si="139"/>
        <v>47.28072287182664</v>
      </c>
      <c r="BD101" s="15">
        <f t="shared" ca="1" si="102"/>
        <v>3.8561026621481949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127.25138785089042</v>
      </c>
      <c r="BI101" s="127">
        <f t="shared" ca="1" si="106"/>
        <v>3.6833847978930812</v>
      </c>
      <c r="BJ101" s="127">
        <f t="shared" ca="1" si="132"/>
        <v>39.780816471686201</v>
      </c>
      <c r="BL101" s="121">
        <f t="shared" si="107"/>
        <v>45261</v>
      </c>
      <c r="BM101" s="73">
        <f t="shared" ca="1" si="143"/>
        <v>47.28072287182664</v>
      </c>
      <c r="BN101" s="15">
        <f t="shared" ca="1" si="108"/>
        <v>3.8561026621481949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127.25138785089042</v>
      </c>
      <c r="BS101" s="127">
        <f t="shared" ca="1" si="112"/>
        <v>3.8044634349212445</v>
      </c>
      <c r="BT101" s="127">
        <f t="shared" ca="1" si="133"/>
        <v>44.901151258528479</v>
      </c>
      <c r="BZ101" s="583">
        <f t="shared" si="113"/>
        <v>0</v>
      </c>
      <c r="CA101" s="121">
        <f t="shared" si="114"/>
        <v>45261</v>
      </c>
      <c r="CB101" s="127">
        <f t="shared" ca="1" si="115"/>
        <v>0</v>
      </c>
      <c r="CC101" s="15">
        <f t="shared" ca="1" si="116"/>
        <v>0</v>
      </c>
      <c r="CD101" s="98">
        <f t="shared" ca="1" si="117"/>
        <v>0</v>
      </c>
      <c r="CE101" s="128">
        <f ca="1">IF(CD101&gt;0,33,0)</f>
        <v>0</v>
      </c>
      <c r="CF101" s="128">
        <f t="shared" ca="1" si="118"/>
        <v>0</v>
      </c>
      <c r="CG101" s="15">
        <f t="shared" ca="1" si="119"/>
        <v>0</v>
      </c>
      <c r="CH101" s="127">
        <f t="shared" ca="1" si="120"/>
        <v>3.6707242614931053</v>
      </c>
      <c r="CI101" s="127">
        <f t="shared" ca="1" si="134"/>
        <v>39.280344801622014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43.884263959390864</v>
      </c>
      <c r="DT101" s="295">
        <f t="shared" ca="1" si="127"/>
        <v>39.495496806895893</v>
      </c>
      <c r="DU101" s="295">
        <f t="shared" ca="1" si="128"/>
        <v>4.388767152494971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43.884263959390864</v>
      </c>
      <c r="EA101" s="127">
        <f t="shared" ca="1" si="138"/>
        <v>42.275355465081851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43.884263959390864</v>
      </c>
      <c r="EF101" s="127">
        <f t="shared" ca="1" si="142"/>
        <v>39.780816471686201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43.884263959390864</v>
      </c>
      <c r="EK101" s="127">
        <f t="shared" ca="1" si="146"/>
        <v>44.901151258528479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46.809375000000003</v>
      </c>
      <c r="Z102" s="15">
        <f t="shared" ca="1" si="84"/>
        <v>3.8460835033749468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130.76683911474819</v>
      </c>
      <c r="AE102" s="127">
        <f t="shared" ca="1" si="88"/>
        <v>3.6656731550460617</v>
      </c>
      <c r="AF102" s="127">
        <f t="shared" ca="1" si="129"/>
        <v>39.082435849127286</v>
      </c>
      <c r="AH102" s="121">
        <f t="shared" si="89"/>
        <v>45292</v>
      </c>
      <c r="AI102" s="73">
        <f t="shared" ca="1" si="81"/>
        <v>41.857063326599679</v>
      </c>
      <c r="AJ102" s="15">
        <f t="shared" ca="1" si="90"/>
        <v>3.7342605599128422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126.96485903703663</v>
      </c>
      <c r="AO102" s="127">
        <f t="shared" ca="1" si="94"/>
        <v>3.6652404192851851</v>
      </c>
      <c r="AP102" s="127">
        <f t="shared" ca="1" si="130"/>
        <v>39.065527140278554</v>
      </c>
      <c r="AR102" s="121">
        <f t="shared" si="95"/>
        <v>45292</v>
      </c>
      <c r="AS102" s="73">
        <f t="shared" ca="1" si="135"/>
        <v>41.857063326599679</v>
      </c>
      <c r="AT102" s="15">
        <f t="shared" ca="1" si="96"/>
        <v>3.7342605599128422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126.96485903703663</v>
      </c>
      <c r="AY102" s="127">
        <f t="shared" ca="1" si="100"/>
        <v>3.7416179892837724</v>
      </c>
      <c r="AZ102" s="127">
        <f t="shared" ca="1" si="131"/>
        <v>42.166159395622913</v>
      </c>
      <c r="BB102" s="121">
        <f t="shared" si="101"/>
        <v>45292</v>
      </c>
      <c r="BC102" s="73">
        <f t="shared" ca="1" si="139"/>
        <v>41.857063326599679</v>
      </c>
      <c r="BD102" s="15">
        <f t="shared" ca="1" si="102"/>
        <v>3.7342605599128422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126.96485903703663</v>
      </c>
      <c r="BI102" s="127">
        <f t="shared" ca="1" si="106"/>
        <v>3.6697138891730248</v>
      </c>
      <c r="BJ102" s="127">
        <f t="shared" ca="1" si="132"/>
        <v>39.240677071474082</v>
      </c>
      <c r="BL102" s="121">
        <f t="shared" si="107"/>
        <v>45292</v>
      </c>
      <c r="BM102" s="73">
        <f t="shared" ca="1" si="143"/>
        <v>41.857063326599679</v>
      </c>
      <c r="BN102" s="15">
        <f t="shared" ca="1" si="108"/>
        <v>3.7342605599128422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126.96485903703663</v>
      </c>
      <c r="BS102" s="127">
        <f t="shared" ca="1" si="112"/>
        <v>3.8280826262118448</v>
      </c>
      <c r="BT102" s="127">
        <f t="shared" ca="1" si="133"/>
        <v>45.974303747066259</v>
      </c>
      <c r="BZ102" s="583">
        <f t="shared" si="113"/>
        <v>0</v>
      </c>
      <c r="CA102" s="121">
        <f t="shared" si="114"/>
        <v>45292</v>
      </c>
      <c r="CB102" s="127">
        <f t="shared" ca="1" si="115"/>
        <v>0</v>
      </c>
      <c r="CC102" s="15">
        <f t="shared" ca="1" si="116"/>
        <v>0</v>
      </c>
      <c r="CD102" s="98">
        <f t="shared" ca="1" si="117"/>
        <v>0</v>
      </c>
      <c r="CE102" s="128">
        <f ca="1">IF(CD102&gt;0,34,0)</f>
        <v>0</v>
      </c>
      <c r="CF102" s="128">
        <f t="shared" ca="1" si="118"/>
        <v>0</v>
      </c>
      <c r="CG102" s="15">
        <f t="shared" ca="1" si="119"/>
        <v>0</v>
      </c>
      <c r="CH102" s="127">
        <f t="shared" ca="1" si="120"/>
        <v>3.6594577309866669</v>
      </c>
      <c r="CI102" s="127">
        <f t="shared" ca="1" si="134"/>
        <v>38.840275281943541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46.809375000000003</v>
      </c>
      <c r="DT102" s="295">
        <f t="shared" ca="1" si="127"/>
        <v>39.065527140278554</v>
      </c>
      <c r="DU102" s="295">
        <f t="shared" ca="1" si="128"/>
        <v>7.7438478597214484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46.809375000000003</v>
      </c>
      <c r="EA102" s="127">
        <f t="shared" ca="1" si="138"/>
        <v>42.166159395622913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46.809375000000003</v>
      </c>
      <c r="EF102" s="127">
        <f t="shared" ca="1" si="142"/>
        <v>39.240677071474082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46.809375000000003</v>
      </c>
      <c r="EK102" s="127">
        <f t="shared" ca="1" si="146"/>
        <v>45.974303747066259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34.877551020408163</v>
      </c>
      <c r="Z103" s="15">
        <f t="shared" ca="1" si="84"/>
        <v>3.5518433850049642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124.31451847517374</v>
      </c>
      <c r="AE103" s="127">
        <f t="shared" ca="1" si="88"/>
        <v>3.6558494734126716</v>
      </c>
      <c r="AF103" s="127">
        <f t="shared" ca="1" si="129"/>
        <v>38.700382101573716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3.6542941780510572</v>
      </c>
      <c r="AP103" s="127">
        <f t="shared" ca="1" si="130"/>
        <v>38.640238359563618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3.739031675418917</v>
      </c>
      <c r="AZ103" s="127">
        <f t="shared" ca="1" si="131"/>
        <v>42.057245376579736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3.6560429804529679</v>
      </c>
      <c r="BJ103" s="127">
        <f t="shared" ca="1" si="132"/>
        <v>38.70787162258668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3.8517018175024447</v>
      </c>
      <c r="BT103" s="127">
        <f t="shared" ca="1" si="133"/>
        <v>47.073104937950738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3.6481912004802286</v>
      </c>
      <c r="CI103" s="127">
        <f t="shared" ca="1" si="134"/>
        <v>38.405135993481927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34.877551020408163</v>
      </c>
      <c r="DT103" s="295">
        <f t="shared" ca="1" si="127"/>
        <v>38.640238359563618</v>
      </c>
      <c r="DU103" s="295">
        <f t="shared" ca="1" si="128"/>
        <v>-3.7626873391554554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34.877551020408163</v>
      </c>
      <c r="EA103" s="127">
        <f t="shared" ca="1" si="138"/>
        <v>42.057245376579736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34.877551020408163</v>
      </c>
      <c r="EF103" s="127">
        <f t="shared" ca="1" si="142"/>
        <v>38.70787162258668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34.877551020408163</v>
      </c>
      <c r="EK103" s="127">
        <f t="shared" ca="1" si="146"/>
        <v>47.073104937950738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38.530040733197559</v>
      </c>
      <c r="Z104" s="15">
        <f t="shared" ca="1" si="84"/>
        <v>3.6514382158188612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131.45177576947901</v>
      </c>
      <c r="AE104" s="127">
        <f t="shared" ca="1" si="88"/>
        <v>3.646025791779282</v>
      </c>
      <c r="AF104" s="127">
        <f t="shared" ca="1" si="129"/>
        <v>38.322063153626395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3.6433479368169288</v>
      </c>
      <c r="AP104" s="127">
        <f t="shared" ca="1" si="130"/>
        <v>38.219579506056668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3.736445361554062</v>
      </c>
      <c r="AZ104" s="127">
        <f t="shared" ca="1" si="131"/>
        <v>41.948612679423938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3.6423720717329111</v>
      </c>
      <c r="BJ104" s="127">
        <f t="shared" ca="1" si="132"/>
        <v>38.182300545467307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3.875321008793045</v>
      </c>
      <c r="BT104" s="127">
        <f t="shared" ca="1" si="133"/>
        <v>48.198167843721258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3.6369246699737903</v>
      </c>
      <c r="CI104" s="127">
        <f t="shared" ca="1" si="134"/>
        <v>37.974871701373672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38.530040733197559</v>
      </c>
      <c r="DT104" s="296">
        <f ca="1">+DT103/DT102*DT103</f>
        <v>38.219579506056689</v>
      </c>
      <c r="DU104" s="295">
        <f t="shared" ca="1" si="128"/>
        <v>0.31046122714086977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38.530040733197559</v>
      </c>
      <c r="EA104" s="296">
        <f ca="1">+EA103/EA102*EA103</f>
        <v>41.948612679423924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38.530040733197559</v>
      </c>
      <c r="EF104" s="296">
        <f ca="1">+EF103/EF102*EF103</f>
        <v>38.182300545467299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38.530040733197559</v>
      </c>
      <c r="EK104" s="127">
        <f t="shared" ca="1" si="146"/>
        <v>48.198167843721258</v>
      </c>
    </row>
    <row r="105" spans="19:141" x14ac:dyDescent="0.2">
      <c r="X105" s="121" t="s">
        <v>86</v>
      </c>
      <c r="Y105" s="73">
        <f t="shared" ref="Y105:AD105" ca="1" si="147">SUM(Y69:Y104)</f>
        <v>1686.3619537214856</v>
      </c>
      <c r="Z105" s="15">
        <f t="shared" ca="1" si="147"/>
        <v>137.44584793308988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2504.5831836164425</v>
      </c>
      <c r="AE105" s="66"/>
      <c r="AF105" s="120"/>
      <c r="AH105" s="121" t="s">
        <v>86</v>
      </c>
      <c r="AI105" s="73">
        <f t="shared" ref="AI105:AN105" ca="1" si="148">SUM(AI69:AI104)</f>
        <v>1560.6145387469642</v>
      </c>
      <c r="AJ105" s="15">
        <f t="shared" ca="1" si="148"/>
        <v>126.73254920803078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2248.4347319720423</v>
      </c>
      <c r="AO105" s="66"/>
      <c r="AP105" s="120"/>
      <c r="AR105" s="121" t="s">
        <v>86</v>
      </c>
      <c r="AS105" s="73">
        <f t="shared" ref="AS105:AX105" ca="1" si="149">SUM(AS69:AS104)</f>
        <v>1053.0676500485756</v>
      </c>
      <c r="AT105" s="15">
        <f t="shared" ca="1" si="149"/>
        <v>90.512654369510614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2033.5604623694053</v>
      </c>
      <c r="AY105" s="66"/>
      <c r="AZ105" s="120"/>
      <c r="BB105" s="121" t="s">
        <v>86</v>
      </c>
      <c r="BC105" s="73">
        <f t="shared" ref="BC105:BH105" ca="1" si="150">SUM(BC69:BC104)</f>
        <v>803.14003925777388</v>
      </c>
      <c r="BD105" s="15">
        <f t="shared" ca="1" si="150"/>
        <v>68.1464990392831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1731.1121702268517</v>
      </c>
      <c r="BI105" s="66"/>
      <c r="BJ105" s="120"/>
      <c r="BL105" s="121" t="s">
        <v>86</v>
      </c>
      <c r="BM105" s="73">
        <f t="shared" ref="BM105:BR105" ca="1" si="151">SUM(BM69:BM104)</f>
        <v>486.86106719490482</v>
      </c>
      <c r="BN105" s="15">
        <f t="shared" ca="1" si="151"/>
        <v>44.378124889362525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1268.1541037013876</v>
      </c>
      <c r="BS105" s="66"/>
      <c r="BT105" s="120"/>
      <c r="CA105" s="121" t="s">
        <v>86</v>
      </c>
      <c r="CB105" s="73">
        <f t="shared" ref="CB105:CG105" ca="1" si="152">SUM(CB69:CB104)</f>
        <v>845.04537042445395</v>
      </c>
      <c r="CC105" s="15">
        <f t="shared" ca="1" si="152"/>
        <v>71.884401764592255</v>
      </c>
      <c r="CD105" s="98">
        <f t="shared" ca="1" si="152"/>
        <v>19</v>
      </c>
      <c r="CE105" s="128">
        <f t="shared" ca="1" si="152"/>
        <v>437</v>
      </c>
      <c r="CF105" s="7">
        <f t="shared" ca="1" si="152"/>
        <v>10621</v>
      </c>
      <c r="CG105" s="15">
        <f t="shared" ca="1" si="152"/>
        <v>1646.9193181969522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3.8179402203636079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69.571755100456741</v>
      </c>
      <c r="AH106" s="7" t="s">
        <v>176</v>
      </c>
      <c r="AI106" s="7"/>
      <c r="AJ106" s="15">
        <f ca="1">+AJ105/AK105</f>
        <v>3.8403802790312356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68.134385817334618</v>
      </c>
      <c r="AR106" s="7" t="s">
        <v>176</v>
      </c>
      <c r="AS106" s="7"/>
      <c r="AT106" s="15">
        <f ca="1">+AT105/AU105</f>
        <v>3.771360598729609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84.731685932058554</v>
      </c>
      <c r="BB106" s="7" t="s">
        <v>176</v>
      </c>
      <c r="BC106" s="7"/>
      <c r="BD106" s="15">
        <f ca="1">+BD105/BE105</f>
        <v>3.7859166132935056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96.172898345936204</v>
      </c>
      <c r="BL106" s="7" t="s">
        <v>176</v>
      </c>
      <c r="BM106" s="7"/>
      <c r="BN106" s="15">
        <f ca="1">+BN105/BO105</f>
        <v>3.6981770741135436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105.67950864178231</v>
      </c>
      <c r="CA106" s="7" t="s">
        <v>176</v>
      </c>
      <c r="CB106" s="7"/>
      <c r="CC106" s="15">
        <f ca="1">+CC105/CD105</f>
        <v>3.7833895665574873</v>
      </c>
      <c r="CD106" s="7"/>
      <c r="CE106" s="7">
        <f ca="1">+CE105/CD105</f>
        <v>23</v>
      </c>
      <c r="CF106" s="7">
        <f ca="1">+CF105/CD105</f>
        <v>559</v>
      </c>
      <c r="CG106" s="15">
        <f ca="1">+CG105/CD105</f>
        <v>86.679964115629062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19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22.248692789146489</v>
      </c>
      <c r="X109" t="s">
        <v>254</v>
      </c>
      <c r="Y109" s="66">
        <f ca="1">Z105</f>
        <v>137.44584793308988</v>
      </c>
      <c r="AH109" t="s">
        <v>254</v>
      </c>
      <c r="AI109" s="66">
        <f ca="1">AJ105</f>
        <v>126.73254920803078</v>
      </c>
      <c r="AR109" t="s">
        <v>254</v>
      </c>
      <c r="AS109" s="66">
        <f ca="1">AT105</f>
        <v>90.512654369510614</v>
      </c>
      <c r="BB109" t="s">
        <v>254</v>
      </c>
      <c r="BC109" s="66">
        <f ca="1">BD105</f>
        <v>68.1464990392831</v>
      </c>
      <c r="BL109" t="s">
        <v>254</v>
      </c>
      <c r="BM109" s="66">
        <f ca="1">BN105</f>
        <v>44.378124889362525</v>
      </c>
      <c r="CA109" t="s">
        <v>254</v>
      </c>
      <c r="CB109" s="66">
        <f ca="1">CC105</f>
        <v>71.884401764592255</v>
      </c>
      <c r="DQ109" s="250" t="s">
        <v>245</v>
      </c>
      <c r="DR109" s="232"/>
      <c r="DS109" s="293">
        <f ca="1">SUMPRODUCT(DR69:DR104,DS69:DS104)/DR106</f>
        <v>46.843387603374602</v>
      </c>
      <c r="DX109" s="250" t="s">
        <v>245</v>
      </c>
      <c r="DY109" s="232"/>
      <c r="DZ109" s="293">
        <f ca="1">SUMPRODUCT(DY69:DY104,DZ69:DZ104)/DY106</f>
        <v>43.796653599317182</v>
      </c>
      <c r="EC109" s="250" t="s">
        <v>245</v>
      </c>
      <c r="ED109" s="232"/>
      <c r="EE109" s="293">
        <f ca="1">SUMPRODUCT(ED69:ED104,EE69:EE104)/ED106</f>
        <v>42.78233991432527</v>
      </c>
      <c r="EH109" s="250" t="s">
        <v>245</v>
      </c>
      <c r="EI109" s="232"/>
      <c r="EJ109" s="293">
        <f ca="1">SUMPRODUCT(EI69:EI104,EJ69:EJ104)/EI106</f>
        <v>41.403121988997015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2340.5790406719238</v>
      </c>
      <c r="DX110" s="250" t="s">
        <v>521</v>
      </c>
      <c r="DY110" s="232"/>
      <c r="DZ110" s="293">
        <f ca="1">SUMPRODUCT(DY69:DY104,DZ69:DZ104,DZ69:DZ104)/DY106</f>
        <v>2010.3919433610247</v>
      </c>
      <c r="EC110" s="250" t="s">
        <v>521</v>
      </c>
      <c r="ED110" s="232"/>
      <c r="EE110" s="293">
        <f ca="1">SUMPRODUCT(ED69:ED104,EE69:EE104,EE69:EE104)/ED106</f>
        <v>1925.1728234360723</v>
      </c>
      <c r="EH110" s="250" t="s">
        <v>521</v>
      </c>
      <c r="EI110" s="232"/>
      <c r="EJ110" s="293">
        <f ca="1">SUMPRODUCT(EI69:EI104,EJ69:EJ104,EJ69:EJ104)/EI106</f>
        <v>1744.4310720446583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9.5374884867484226</v>
      </c>
      <c r="X111" s="1" t="s">
        <v>255</v>
      </c>
      <c r="Y111" s="59">
        <f ca="1">+AD106</f>
        <v>69.571755100456741</v>
      </c>
      <c r="AA111" t="s">
        <v>244</v>
      </c>
      <c r="AH111" s="1" t="s">
        <v>255</v>
      </c>
      <c r="AI111" s="59">
        <f ca="1">+AN106</f>
        <v>68.134385817334618</v>
      </c>
      <c r="AK111" t="s">
        <v>244</v>
      </c>
      <c r="AR111" s="1" t="s">
        <v>255</v>
      </c>
      <c r="AS111" s="59">
        <f ca="1">+AX106</f>
        <v>84.731685932058554</v>
      </c>
      <c r="AU111" t="s">
        <v>244</v>
      </c>
      <c r="BB111" s="1" t="s">
        <v>255</v>
      </c>
      <c r="BC111" s="59">
        <f ca="1">+BH106</f>
        <v>96.172898345936204</v>
      </c>
      <c r="BE111" t="s">
        <v>244</v>
      </c>
      <c r="BL111" s="1" t="s">
        <v>255</v>
      </c>
      <c r="BM111" s="59">
        <f ca="1">+BR106</f>
        <v>105.67950864178231</v>
      </c>
      <c r="BO111" t="s">
        <v>244</v>
      </c>
      <c r="CA111" s="1" t="s">
        <v>255</v>
      </c>
      <c r="CB111" s="59">
        <f ca="1">+CG106</f>
        <v>86.679964115629062</v>
      </c>
      <c r="CD111" t="s">
        <v>244</v>
      </c>
      <c r="DQ111" s="250" t="s">
        <v>522</v>
      </c>
      <c r="DR111" s="232"/>
      <c r="DS111" s="293">
        <f ca="1">SUMPRODUCT(DR69:DR104,DT69:DT104)/DR106</f>
        <v>43.491355894087782</v>
      </c>
      <c r="DX111" s="250" t="s">
        <v>522</v>
      </c>
      <c r="DY111" s="232"/>
      <c r="DZ111" s="293">
        <f ca="1">SUMPRODUCT(DY69:DY104,EA69:EA104)/DY106</f>
        <v>43.221939433989228</v>
      </c>
      <c r="EC111" s="250" t="s">
        <v>522</v>
      </c>
      <c r="ED111" s="232"/>
      <c r="EE111" s="293">
        <f ca="1">SUMPRODUCT(ED69:ED104,EF69:EF104)/ED106</f>
        <v>42.995213787764087</v>
      </c>
      <c r="EH111" s="250" t="s">
        <v>522</v>
      </c>
      <c r="EI111" s="232"/>
      <c r="EJ111" s="293">
        <f ca="1">SUMPRODUCT(EI69:EI104,EK69:EK104)/EI106</f>
        <v>42.467419063691828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23</v>
      </c>
      <c r="DQ112" s="250" t="s">
        <v>523</v>
      </c>
      <c r="DR112" s="232"/>
      <c r="DS112" s="293">
        <f ca="1">SUMPRODUCT(DR69:DR104,DT69:DT104,DT69:DT104)/DR106</f>
        <v>2025.8064547922154</v>
      </c>
      <c r="DX112" s="250" t="s">
        <v>523</v>
      </c>
      <c r="DY112" s="232"/>
      <c r="DZ112" s="293">
        <f ca="1">SUMPRODUCT(DY69:DY104,EA69:EA104,EA69:EA104)/DY106</f>
        <v>1868.7347761733606</v>
      </c>
      <c r="EC112" s="250" t="s">
        <v>523</v>
      </c>
      <c r="ED112" s="232"/>
      <c r="EE112" s="293">
        <f ca="1">SUMPRODUCT(ED69:ED104,EF69:EF104,EF69:EF104)/ED106</f>
        <v>1857.8782920277849</v>
      </c>
      <c r="EH112" s="250" t="s">
        <v>523</v>
      </c>
      <c r="EI112" s="232"/>
      <c r="EJ112" s="293">
        <f ca="1">SUMPRODUCT(EI69:EI104,EK69:EK104,EK69:EK104)/EI106</f>
        <v>1815.4543682222054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0.61801924414295817</v>
      </c>
      <c r="X113" s="1" t="s">
        <v>256</v>
      </c>
      <c r="Y113" s="59">
        <f ca="1">Y109/Y108</f>
        <v>3.8179402203636079</v>
      </c>
      <c r="AH113" s="1" t="s">
        <v>256</v>
      </c>
      <c r="AI113" s="59">
        <f ca="1">AI109/AI108</f>
        <v>3.8403802790312356</v>
      </c>
      <c r="AR113" s="1" t="s">
        <v>256</v>
      </c>
      <c r="AS113" s="59">
        <f ca="1">AS109/AS108</f>
        <v>3.771360598729609</v>
      </c>
      <c r="BB113" s="1" t="s">
        <v>256</v>
      </c>
      <c r="BC113" s="59">
        <f ca="1">BC109/BC108</f>
        <v>3.7859166132935056</v>
      </c>
      <c r="BL113" s="1" t="s">
        <v>256</v>
      </c>
      <c r="BM113" s="59">
        <f ca="1">BM109/BM108</f>
        <v>3.6981770741135436</v>
      </c>
      <c r="CA113" s="1" t="s">
        <v>256</v>
      </c>
      <c r="CB113" s="59">
        <f ca="1">CB109/CB108</f>
        <v>3.7833895665574873</v>
      </c>
      <c r="DQ113" s="250" t="s">
        <v>524</v>
      </c>
      <c r="DR113" s="232"/>
      <c r="DS113" s="293">
        <f ca="1">SUMPRODUCT(DR69:DR104,DS69:DS104,DT69:DT104)/DR106</f>
        <v>2052.2784171777566</v>
      </c>
      <c r="DX113" s="250" t="s">
        <v>524</v>
      </c>
      <c r="DY113" s="232"/>
      <c r="DZ113" s="293">
        <f ca="1">SUMPRODUCT(DY69:DY104,DZ69:DZ104,EA69:EA104)/DY106</f>
        <v>1894.7071376983658</v>
      </c>
      <c r="EC113" s="250" t="s">
        <v>524</v>
      </c>
      <c r="ED113" s="232"/>
      <c r="EE113" s="293">
        <f ca="1">SUMPRODUCT(ED69:ED104,EE69:EE104,EF69:EF104)/ED106</f>
        <v>1847.0817546790588</v>
      </c>
      <c r="EH113" s="250" t="s">
        <v>524</v>
      </c>
      <c r="EI113" s="232"/>
      <c r="EJ113" s="293">
        <f ca="1">SUMPRODUCT(EI69:EI104,EJ69:EJ104,EK69:EK104)/EI106</f>
        <v>1759.6029155528101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559</v>
      </c>
      <c r="DQ114" s="232" t="s">
        <v>525</v>
      </c>
      <c r="DR114" s="232"/>
      <c r="DS114" s="262">
        <f ca="1">(DS113-DS109*DS111)/SQRT((DS110-DS109^2)*(DS112-DS111^2))</f>
        <v>0.10698834167810307</v>
      </c>
      <c r="DX114" s="232" t="s">
        <v>525</v>
      </c>
      <c r="DY114" s="232"/>
      <c r="DZ114" s="262">
        <f ca="1">(DZ113-DZ109*DZ111)/SQRT((DZ110-DZ109^2)*(DZ112-DZ111^2))</f>
        <v>0.23289905646753167</v>
      </c>
      <c r="EC114" s="232" t="s">
        <v>525</v>
      </c>
      <c r="ED114" s="232"/>
      <c r="EE114" s="262">
        <f ca="1">(EE113-EE109*EE111)/SQRT((EE110-EE109^2)*(EE112-EE111^2))</f>
        <v>0.25758363712413374</v>
      </c>
      <c r="EH114" s="232" t="s">
        <v>525</v>
      </c>
      <c r="EI114" s="232"/>
      <c r="EJ114" s="262">
        <f ca="1">(EJ113-EJ109*EJ111)/SQRT((EJ110-EJ109^2)*(EJ112-EJ111^2))</f>
        <v>6.9361046143616018E-2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529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-1.7567884446915587E-2</v>
      </c>
      <c r="X116" s="28" t="s">
        <v>247</v>
      </c>
      <c r="Y116" s="66">
        <f ca="1">(Y111-Y113*Y112)/(Y114-Y115)</f>
        <v>-9.8236816333900599E-3</v>
      </c>
      <c r="AH116" s="28" t="s">
        <v>247</v>
      </c>
      <c r="AI116" s="66">
        <f ca="1">(AI111-AI113*AI112)/(AI114-AI115)</f>
        <v>-1.0946241234128139E-2</v>
      </c>
      <c r="AR116" s="28" t="s">
        <v>247</v>
      </c>
      <c r="AS116" s="66">
        <f ca="1">(AS111-AS113*AS112)/(AS114-AS115)</f>
        <v>-2.5863138648553482E-3</v>
      </c>
      <c r="BB116" s="28" t="s">
        <v>247</v>
      </c>
      <c r="BC116" s="66">
        <f ca="1">(BC111-BC113*BC112)/(BC114-BC115)</f>
        <v>-1.36709087200566E-2</v>
      </c>
      <c r="BL116" s="28" t="s">
        <v>247</v>
      </c>
      <c r="BM116" s="66">
        <f ca="1">(BM111-BM113*BM112)/(BM114-BM115)</f>
        <v>2.3619191290600236E-2</v>
      </c>
      <c r="CA116" s="28" t="s">
        <v>247</v>
      </c>
      <c r="CB116" s="66">
        <f ca="1">(CB111-CB113*CB112)/(CB114-CB115)</f>
        <v>-1.1266530506438244E-2</v>
      </c>
      <c r="DQ116" s="250" t="s">
        <v>595</v>
      </c>
      <c r="DS116" s="281">
        <f ca="1">SQRT(DS110-DS109^2)</f>
        <v>12.094464788155548</v>
      </c>
      <c r="DX116" s="250" t="s">
        <v>595</v>
      </c>
      <c r="DZ116" s="281">
        <f ca="1">SQRT(DZ110-DZ109^2)</f>
        <v>9.6044300644255909</v>
      </c>
      <c r="EC116" s="250" t="s">
        <v>595</v>
      </c>
      <c r="EE116" s="281">
        <f ca="1">SQRT(EE110-EE109^2)</f>
        <v>9.7387994584139133</v>
      </c>
      <c r="EH116" s="250" t="s">
        <v>595</v>
      </c>
      <c r="EJ116" s="281">
        <f ca="1">SQRT(EJ110-EJ109^2)</f>
        <v>5.4965954561792296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0.94302510641089654</v>
      </c>
      <c r="X117" s="28" t="s">
        <v>248</v>
      </c>
      <c r="Y117" s="66">
        <f ca="1">Y113-Y116*Y112</f>
        <v>3.9996783305813239</v>
      </c>
      <c r="AH117" s="28" t="s">
        <v>248</v>
      </c>
      <c r="AI117" s="66">
        <f ca="1">AI113-AI116*AI112</f>
        <v>4.0374126212455419</v>
      </c>
      <c r="AR117" s="28" t="s">
        <v>248</v>
      </c>
      <c r="AS117" s="66">
        <f ca="1">AS113-AS116*AS112</f>
        <v>3.8295526606888544</v>
      </c>
      <c r="BB117" s="28" t="s">
        <v>248</v>
      </c>
      <c r="BC117" s="66">
        <f ca="1">BC113-BC116*BC112</f>
        <v>4.134524785654949</v>
      </c>
      <c r="BL117" s="28" t="s">
        <v>248</v>
      </c>
      <c r="BM117" s="66">
        <f ca="1">BM113-BM116*BM112</f>
        <v>3.0250301223314366</v>
      </c>
      <c r="CA117" s="28" t="s">
        <v>248</v>
      </c>
      <c r="CB117" s="66">
        <f ca="1">CB113-CB116*CB112</f>
        <v>4.0425197682055671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-0.20858640393246553</v>
      </c>
      <c r="X118" t="s">
        <v>249</v>
      </c>
      <c r="Y118" s="126">
        <f ca="1">EXP(12*Y116+Y117)/EXP(Y117)-1</f>
        <v>-0.11120101229281854</v>
      </c>
      <c r="AH118" t="s">
        <v>249</v>
      </c>
      <c r="AI118" s="126">
        <f ca="1">EXP(12*AI116+AI117)/EXP(AI117)-1</f>
        <v>-0.12309349040752426</v>
      </c>
      <c r="AR118" t="s">
        <v>249</v>
      </c>
      <c r="AS118" s="126">
        <f ca="1">EXP(12*AS116+AS117)/EXP(AS117)-1</f>
        <v>-3.0559100933952976E-2</v>
      </c>
      <c r="BB118" t="s">
        <v>249</v>
      </c>
      <c r="BC118" s="126">
        <f ca="1">EXP(12*BC116+BC117)/EXP(BC117)-1</f>
        <v>-0.15130118192780007</v>
      </c>
      <c r="BL118" t="s">
        <v>249</v>
      </c>
      <c r="BM118" s="126">
        <f ca="1">EXP(12*BM116+BM117)/EXP(BM117)-1</f>
        <v>0.32767633205650593</v>
      </c>
      <c r="CA118" t="s">
        <v>249</v>
      </c>
      <c r="CB118" s="126">
        <f ca="1">EXP(12*CB116+CB117)/EXP(CB117)-1</f>
        <v>-0.12645738672117501</v>
      </c>
    </row>
    <row r="119" spans="19:140" x14ac:dyDescent="0.2">
      <c r="S119" t="s">
        <v>250</v>
      </c>
      <c r="T119" t="s">
        <v>530</v>
      </c>
      <c r="V119">
        <f t="shared" ca="1" si="153"/>
        <v>-20.799999999999997</v>
      </c>
      <c r="X119" t="s">
        <v>250</v>
      </c>
      <c r="Y119" t="str">
        <f ca="1">FIXED(Y118*100,1,TRUE)</f>
        <v>-11.1</v>
      </c>
      <c r="AH119" t="s">
        <v>250</v>
      </c>
      <c r="AI119" t="str">
        <f ca="1">FIXED(AI118*100,1,TRUE)</f>
        <v>-12.3</v>
      </c>
      <c r="AR119" t="s">
        <v>250</v>
      </c>
      <c r="AS119" t="str">
        <f ca="1">FIXED(AS118*100,1,TRUE)</f>
        <v>-3.1</v>
      </c>
      <c r="BB119" t="s">
        <v>250</v>
      </c>
      <c r="BC119" t="str">
        <f ca="1">FIXED(BC118*100,1,TRUE)</f>
        <v>-15.1</v>
      </c>
      <c r="BL119" t="s">
        <v>250</v>
      </c>
      <c r="BM119" t="str">
        <f ca="1">FIXED(BM118*100,1,TRUE)</f>
        <v>32.8</v>
      </c>
      <c r="CA119" t="s">
        <v>250</v>
      </c>
      <c r="CB119" t="str">
        <f ca="1">FIXED(CB118*100,1,TRUE)</f>
        <v>-12.6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42.919151732377529</v>
      </c>
      <c r="Z131" s="15">
        <f>IF(Y131=0,0,LN(Y131))</f>
        <v>3.7593181536430866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3.7593181536430866</v>
      </c>
      <c r="AE131" s="127">
        <f ca="1">Y$54*$V131+Y$55</f>
        <v>3.9996783305813239</v>
      </c>
      <c r="AF131" s="127">
        <f ca="1">EXP(AE131)</f>
        <v>54.580590302327899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4.0374126212455419</v>
      </c>
      <c r="AP131" s="127">
        <f ca="1">EXP(AO131)</f>
        <v>56.679501582250609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3.8295526606888544</v>
      </c>
      <c r="AZ131" s="127">
        <f t="shared" ref="AZ131:AZ166" ca="1" si="155">EXP(AY131)</f>
        <v>46.041937258247906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4.134524785654949</v>
      </c>
      <c r="BJ131" s="127">
        <f t="shared" ref="BJ131:BJ148" ca="1" si="156">EXP(BI131)</f>
        <v>62.459902175225636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3.0250301223314366</v>
      </c>
      <c r="BT131" s="127">
        <f t="shared" ref="BT131:BT148" ca="1" si="157">EXP(BS131)</f>
        <v>20.594625059974675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4.0425197682055671</v>
      </c>
      <c r="CI131" s="127">
        <f t="shared" ref="CI131:CI148" ca="1" si="158">EXP(CH131)</f>
        <v>56.969712570739674</v>
      </c>
    </row>
    <row r="132" spans="24:87" x14ac:dyDescent="0.2">
      <c r="X132" s="121">
        <f t="shared" ref="X132:Y166" si="159">+X8</f>
        <v>44317</v>
      </c>
      <c r="Y132" s="73">
        <f t="shared" si="159"/>
        <v>59.249342218400699</v>
      </c>
      <c r="Z132" s="15">
        <f t="shared" ref="Z132:Z166" si="160">IF(Y132=0,0,LN(Y132))</f>
        <v>4.0817546781544705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8.1635093563089409</v>
      </c>
      <c r="AE132" s="127">
        <f t="shared" ref="AE132:AE166" ca="1" si="164">Y$54*$V132+Y$55</f>
        <v>3.9996783305813239</v>
      </c>
      <c r="AF132" s="127">
        <f t="shared" ref="AF132:AF166" ca="1" si="165">EXP(AE132)</f>
        <v>54.580590302327899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4.0374126212455419</v>
      </c>
      <c r="AP132" s="127">
        <f ca="1">EXP(AO132)</f>
        <v>56.679501582250609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3.8295526606888544</v>
      </c>
      <c r="AZ132" s="127">
        <f t="shared" ca="1" si="155"/>
        <v>46.041937258247906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4.134524785654949</v>
      </c>
      <c r="BJ132" s="127">
        <f t="shared" ca="1" si="156"/>
        <v>62.459902175225636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3.0250301223314366</v>
      </c>
      <c r="BT132" s="127">
        <f t="shared" ca="1" si="157"/>
        <v>20.594625059974675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4.0425197682055671</v>
      </c>
      <c r="CI132" s="127">
        <f t="shared" ca="1" si="158"/>
        <v>56.969712570739674</v>
      </c>
    </row>
    <row r="133" spans="24:87" x14ac:dyDescent="0.2">
      <c r="X133" s="121">
        <f t="shared" si="159"/>
        <v>44348</v>
      </c>
      <c r="Y133" s="73">
        <f t="shared" si="159"/>
        <v>89.537532573289894</v>
      </c>
      <c r="Z133" s="15">
        <f t="shared" si="160"/>
        <v>4.4946578957354486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13.483973687206346</v>
      </c>
      <c r="AE133" s="127">
        <f t="shared" ca="1" si="164"/>
        <v>3.9996783305813239</v>
      </c>
      <c r="AF133" s="127">
        <f t="shared" ca="1" si="165"/>
        <v>54.580590302327899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4.0374126212455419</v>
      </c>
      <c r="AP133" s="127">
        <f ca="1">EXP(AO133)</f>
        <v>56.679501582250609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3.8295526606888544</v>
      </c>
      <c r="AZ133" s="127">
        <f t="shared" ca="1" si="155"/>
        <v>46.041937258247906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4.134524785654949</v>
      </c>
      <c r="BJ133" s="127">
        <f t="shared" ca="1" si="156"/>
        <v>62.459902175225636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3.0250301223314366</v>
      </c>
      <c r="BT133" s="127">
        <f t="shared" ca="1" si="157"/>
        <v>20.594625059974675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4.0425197682055671</v>
      </c>
      <c r="CI133" s="127">
        <f t="shared" ca="1" si="158"/>
        <v>56.969712570739674</v>
      </c>
    </row>
    <row r="134" spans="24:87" x14ac:dyDescent="0.2">
      <c r="X134" s="121">
        <f t="shared" si="159"/>
        <v>44378</v>
      </c>
      <c r="Y134" s="73">
        <f t="shared" si="159"/>
        <v>44.010058873002535</v>
      </c>
      <c r="Z134" s="15">
        <f t="shared" si="160"/>
        <v>3.7844182185408632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15.137672874163453</v>
      </c>
      <c r="AE134" s="127">
        <f t="shared" ca="1" si="164"/>
        <v>3.9996783305813239</v>
      </c>
      <c r="AF134" s="127">
        <f t="shared" ca="1" si="165"/>
        <v>54.580590302327899</v>
      </c>
      <c r="AH134" s="121">
        <f t="shared" si="154"/>
        <v>44378</v>
      </c>
      <c r="AI134" s="73">
        <f t="shared" si="166"/>
        <v>60.949740631930261</v>
      </c>
      <c r="AJ134" s="15">
        <f t="shared" si="167"/>
        <v>4.1100496004946043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16.440198401978417</v>
      </c>
      <c r="AO134" s="127">
        <f t="shared" ca="1" si="171"/>
        <v>4.0374126212455419</v>
      </c>
      <c r="AP134" s="127">
        <f t="shared" ref="AP134:AP166" ca="1" si="198">EXP(AO134)</f>
        <v>56.679501582250609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3.8295526606888544</v>
      </c>
      <c r="AZ134" s="127">
        <f t="shared" ca="1" si="155"/>
        <v>46.041937258247906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4.134524785654949</v>
      </c>
      <c r="BJ134" s="127">
        <f t="shared" ca="1" si="156"/>
        <v>62.459902175225636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3.0250301223314366</v>
      </c>
      <c r="BT134" s="127">
        <f t="shared" ca="1" si="157"/>
        <v>20.594625059974675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4.0425197682055671</v>
      </c>
      <c r="CI134" s="127">
        <f t="shared" ca="1" si="158"/>
        <v>56.969712570739674</v>
      </c>
    </row>
    <row r="135" spans="24:87" x14ac:dyDescent="0.2">
      <c r="X135" s="121">
        <f t="shared" si="159"/>
        <v>44409</v>
      </c>
      <c r="Y135" s="73">
        <f t="shared" si="159"/>
        <v>60.316068003487331</v>
      </c>
      <c r="Z135" s="15">
        <f t="shared" si="160"/>
        <v>4.0995985359564475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20.497992679782236</v>
      </c>
      <c r="AE135" s="127">
        <f t="shared" ca="1" si="164"/>
        <v>3.9996783305813239</v>
      </c>
      <c r="AF135" s="127">
        <f t="shared" ca="1" si="165"/>
        <v>54.580590302327899</v>
      </c>
      <c r="AH135" s="121">
        <f t="shared" si="154"/>
        <v>44409</v>
      </c>
      <c r="AI135" s="73">
        <f t="shared" si="166"/>
        <v>60.521242705828733</v>
      </c>
      <c r="AJ135" s="15">
        <f t="shared" si="167"/>
        <v>4.1029944225135155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20.514972112567577</v>
      </c>
      <c r="AO135" s="127">
        <f t="shared" ca="1" si="171"/>
        <v>4.0374126212455419</v>
      </c>
      <c r="AP135" s="127">
        <f t="shared" ca="1" si="198"/>
        <v>56.679501582250609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3.8295526606888544</v>
      </c>
      <c r="AZ135" s="127">
        <f t="shared" ca="1" si="155"/>
        <v>46.041937258247906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4.134524785654949</v>
      </c>
      <c r="BJ135" s="127">
        <f t="shared" ca="1" si="156"/>
        <v>62.459902175225636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3.0250301223314366</v>
      </c>
      <c r="BT135" s="127">
        <f t="shared" ca="1" si="157"/>
        <v>20.594625059974675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4.0425197682055671</v>
      </c>
      <c r="CI135" s="127">
        <f t="shared" ca="1" si="158"/>
        <v>56.969712570739674</v>
      </c>
    </row>
    <row r="136" spans="24:87" x14ac:dyDescent="0.2">
      <c r="X136" s="121">
        <f t="shared" si="159"/>
        <v>44440</v>
      </c>
      <c r="Y136" s="73">
        <f t="shared" si="159"/>
        <v>47.366209964412811</v>
      </c>
      <c r="Z136" s="15">
        <f t="shared" si="160"/>
        <v>3.8579091045393308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23.147454627235984</v>
      </c>
      <c r="AE136" s="127">
        <f t="shared" ca="1" si="164"/>
        <v>3.9996783305813239</v>
      </c>
      <c r="AF136" s="127">
        <f t="shared" ca="1" si="165"/>
        <v>54.580590302327899</v>
      </c>
      <c r="AH136" s="121">
        <f t="shared" si="154"/>
        <v>44440</v>
      </c>
      <c r="AI136" s="73">
        <f t="shared" si="166"/>
        <v>54.076775346491452</v>
      </c>
      <c r="AJ136" s="15">
        <f t="shared" si="167"/>
        <v>3.9904048024881975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23.942428814929187</v>
      </c>
      <c r="AO136" s="127">
        <f t="shared" ca="1" si="171"/>
        <v>4.0374126212455419</v>
      </c>
      <c r="AP136" s="127">
        <f t="shared" ca="1" si="198"/>
        <v>56.679501582250609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3.8295526606888544</v>
      </c>
      <c r="AZ136" s="127">
        <f t="shared" ca="1" si="155"/>
        <v>46.041937258247906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4.134524785654949</v>
      </c>
      <c r="BJ136" s="127">
        <f t="shared" ca="1" si="156"/>
        <v>62.459902175225636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3.0250301223314366</v>
      </c>
      <c r="BT136" s="127">
        <f t="shared" ca="1" si="157"/>
        <v>20.594625059974675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4.0425197682055671</v>
      </c>
      <c r="CI136" s="127">
        <f t="shared" ca="1" si="158"/>
        <v>56.969712570739674</v>
      </c>
    </row>
    <row r="137" spans="24:87" x14ac:dyDescent="0.2">
      <c r="X137" s="121">
        <f t="shared" si="159"/>
        <v>44470</v>
      </c>
      <c r="Y137" s="73">
        <f t="shared" si="159"/>
        <v>65.219232158988262</v>
      </c>
      <c r="Z137" s="15">
        <f t="shared" si="160"/>
        <v>4.177754397200613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29.244280780404292</v>
      </c>
      <c r="AE137" s="127">
        <f t="shared" ca="1" si="164"/>
        <v>3.9996783305813239</v>
      </c>
      <c r="AF137" s="127">
        <f t="shared" ca="1" si="165"/>
        <v>54.580590302327899</v>
      </c>
      <c r="AH137" s="121">
        <f t="shared" si="154"/>
        <v>44470</v>
      </c>
      <c r="AI137" s="73">
        <f t="shared" si="166"/>
        <v>52.922063795715268</v>
      </c>
      <c r="AJ137" s="15">
        <f t="shared" si="167"/>
        <v>3.9688203368936548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27.781742358255585</v>
      </c>
      <c r="AO137" s="127">
        <f t="shared" ca="1" si="171"/>
        <v>4.0374126212455419</v>
      </c>
      <c r="AP137" s="127">
        <f t="shared" ca="1" si="198"/>
        <v>56.679501582250609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3.8295526606888544</v>
      </c>
      <c r="AZ137" s="127">
        <f t="shared" ca="1" si="155"/>
        <v>46.041937258247906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4.134524785654949</v>
      </c>
      <c r="BJ137" s="127">
        <f t="shared" ca="1" si="156"/>
        <v>62.459902175225636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3.0250301223314366</v>
      </c>
      <c r="BT137" s="127">
        <f t="shared" ca="1" si="157"/>
        <v>20.594625059974675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4.0425197682055671</v>
      </c>
      <c r="CI137" s="127">
        <f t="shared" ca="1" si="158"/>
        <v>56.969712570739674</v>
      </c>
    </row>
    <row r="138" spans="24:87" x14ac:dyDescent="0.2">
      <c r="X138" s="121">
        <f t="shared" si="159"/>
        <v>44501</v>
      </c>
      <c r="Y138" s="73">
        <f t="shared" si="159"/>
        <v>56.678354661791616</v>
      </c>
      <c r="Z138" s="15">
        <f t="shared" si="160"/>
        <v>4.0373923858512422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32.299139086809937</v>
      </c>
      <c r="AE138" s="127">
        <f t="shared" ca="1" si="164"/>
        <v>3.9996783305813239</v>
      </c>
      <c r="AF138" s="127">
        <f t="shared" ca="1" si="165"/>
        <v>54.580590302327899</v>
      </c>
      <c r="AH138" s="121">
        <f t="shared" si="154"/>
        <v>44501</v>
      </c>
      <c r="AI138" s="73">
        <f t="shared" si="166"/>
        <v>50.380168600563898</v>
      </c>
      <c r="AJ138" s="15">
        <f t="shared" si="167"/>
        <v>3.9195976174961551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31.356780939969241</v>
      </c>
      <c r="AO138" s="127">
        <f t="shared" ca="1" si="171"/>
        <v>4.0374126212455419</v>
      </c>
      <c r="AP138" s="127">
        <f t="shared" ca="1" si="198"/>
        <v>56.679501582250609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3.8295526606888544</v>
      </c>
      <c r="AZ138" s="127">
        <f t="shared" ca="1" si="155"/>
        <v>46.041937258247906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4.134524785654949</v>
      </c>
      <c r="BJ138" s="127">
        <f t="shared" ca="1" si="156"/>
        <v>62.459902175225636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3.0250301223314366</v>
      </c>
      <c r="BT138" s="127">
        <f t="shared" ca="1" si="157"/>
        <v>20.594625059974675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4.0425197682055671</v>
      </c>
      <c r="CI138" s="127">
        <f t="shared" ca="1" si="158"/>
        <v>56.969712570739674</v>
      </c>
    </row>
    <row r="139" spans="24:87" x14ac:dyDescent="0.2">
      <c r="X139" s="121">
        <f t="shared" si="159"/>
        <v>44531</v>
      </c>
      <c r="Y139" s="73">
        <f t="shared" si="159"/>
        <v>50.870728417266207</v>
      </c>
      <c r="Z139" s="15">
        <f t="shared" si="160"/>
        <v>3.9292876779235488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35.363589101311938</v>
      </c>
      <c r="AE139" s="127">
        <f t="shared" ca="1" si="164"/>
        <v>3.9996783305813239</v>
      </c>
      <c r="AF139" s="127">
        <f t="shared" ca="1" si="165"/>
        <v>54.580590302327899</v>
      </c>
      <c r="AH139" s="121">
        <f t="shared" si="154"/>
        <v>44531</v>
      </c>
      <c r="AI139" s="73">
        <f t="shared" si="166"/>
        <v>48.640650662150392</v>
      </c>
      <c r="AJ139" s="15">
        <f t="shared" si="167"/>
        <v>3.8844596146685704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34.960136532017131</v>
      </c>
      <c r="AO139" s="127">
        <f t="shared" ca="1" si="171"/>
        <v>4.0374126212455419</v>
      </c>
      <c r="AP139" s="127">
        <f t="shared" ca="1" si="198"/>
        <v>56.679501582250609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3.8295526606888544</v>
      </c>
      <c r="AZ139" s="127">
        <f t="shared" ca="1" si="155"/>
        <v>46.041937258247906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4.134524785654949</v>
      </c>
      <c r="BJ139" s="127">
        <f t="shared" ca="1" si="156"/>
        <v>62.459902175225636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3.0250301223314366</v>
      </c>
      <c r="BT139" s="127">
        <f t="shared" ca="1" si="157"/>
        <v>20.594625059974675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4.0425197682055671</v>
      </c>
      <c r="CI139" s="127">
        <f t="shared" ca="1" si="158"/>
        <v>56.969712570739674</v>
      </c>
    </row>
    <row r="140" spans="24:87" x14ac:dyDescent="0.2">
      <c r="X140" s="121">
        <f t="shared" si="159"/>
        <v>44562</v>
      </c>
      <c r="Y140" s="73">
        <f t="shared" si="159"/>
        <v>37.081789568345329</v>
      </c>
      <c r="Z140" s="15">
        <f t="shared" si="160"/>
        <v>3.6131260018940492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36.131260018940495</v>
      </c>
      <c r="AE140" s="127">
        <f t="shared" ca="1" si="164"/>
        <v>3.9996783305813239</v>
      </c>
      <c r="AF140" s="127">
        <f t="shared" ca="1" si="165"/>
        <v>54.580590302327899</v>
      </c>
      <c r="AH140" s="121">
        <f t="shared" si="154"/>
        <v>44562</v>
      </c>
      <c r="AI140" s="73">
        <f t="shared" si="166"/>
        <v>44.437737273503167</v>
      </c>
      <c r="AJ140" s="15">
        <f t="shared" si="167"/>
        <v>3.7940890470373207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37.940890470373205</v>
      </c>
      <c r="AO140" s="127">
        <f t="shared" ca="1" si="171"/>
        <v>4.0374126212455419</v>
      </c>
      <c r="AP140" s="127">
        <f t="shared" ca="1" si="198"/>
        <v>56.679501582250609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3.8295526606888544</v>
      </c>
      <c r="AZ140" s="127">
        <f t="shared" ca="1" si="155"/>
        <v>46.041937258247906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4.134524785654949</v>
      </c>
      <c r="BJ140" s="127">
        <f t="shared" ca="1" si="156"/>
        <v>62.459902175225636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3.0250301223314366</v>
      </c>
      <c r="BT140" s="127">
        <f t="shared" ca="1" si="157"/>
        <v>20.594625059974675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4.0425197682055671</v>
      </c>
      <c r="CI140" s="127">
        <f t="shared" ca="1" si="158"/>
        <v>56.969712570739674</v>
      </c>
    </row>
    <row r="141" spans="24:87" x14ac:dyDescent="0.2">
      <c r="X141" s="121">
        <f t="shared" si="159"/>
        <v>44593</v>
      </c>
      <c r="Y141" s="73">
        <f t="shared" si="159"/>
        <v>45.064696832579187</v>
      </c>
      <c r="Z141" s="15">
        <f t="shared" si="160"/>
        <v>3.8080991646492124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41.889090811141337</v>
      </c>
      <c r="AE141" s="127">
        <f t="shared" ca="1" si="164"/>
        <v>3.9996783305813239</v>
      </c>
      <c r="AF141" s="127">
        <f t="shared" ca="1" si="165"/>
        <v>54.580590302327899</v>
      </c>
      <c r="AH141" s="121">
        <f t="shared" si="154"/>
        <v>44593</v>
      </c>
      <c r="AI141" s="73">
        <f t="shared" si="166"/>
        <v>41.43325922780074</v>
      </c>
      <c r="AJ141" s="15">
        <f t="shared" si="167"/>
        <v>3.7240839212983015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40.964923134281314</v>
      </c>
      <c r="AO141" s="127">
        <f t="shared" ca="1" si="171"/>
        <v>4.0374126212455419</v>
      </c>
      <c r="AP141" s="127">
        <f t="shared" ca="1" si="198"/>
        <v>56.679501582250609</v>
      </c>
      <c r="AR141" s="121">
        <f t="shared" si="172"/>
        <v>44593</v>
      </c>
      <c r="AS141" s="73">
        <f>+AI141</f>
        <v>41.43325922780074</v>
      </c>
      <c r="AT141" s="15">
        <f t="shared" si="173"/>
        <v>3.7240839212983015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40.964923134281314</v>
      </c>
      <c r="AY141" s="127">
        <f t="shared" ca="1" si="177"/>
        <v>3.8295526606888544</v>
      </c>
      <c r="AZ141" s="127">
        <f t="shared" ca="1" si="155"/>
        <v>46.041937258247906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4.134524785654949</v>
      </c>
      <c r="BJ141" s="127">
        <f t="shared" ca="1" si="156"/>
        <v>62.459902175225636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3.0250301223314366</v>
      </c>
      <c r="BT141" s="127">
        <f t="shared" ca="1" si="157"/>
        <v>20.594625059974675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4.0425197682055671</v>
      </c>
      <c r="CI141" s="127">
        <f t="shared" ca="1" si="158"/>
        <v>56.969712570739674</v>
      </c>
    </row>
    <row r="142" spans="24:87" x14ac:dyDescent="0.2">
      <c r="X142" s="121">
        <f t="shared" si="159"/>
        <v>44621</v>
      </c>
      <c r="Y142" s="73">
        <f t="shared" si="159"/>
        <v>36.92910233393178</v>
      </c>
      <c r="Z142" s="15">
        <f t="shared" si="160"/>
        <v>3.6089999213373045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43.307999056047656</v>
      </c>
      <c r="AE142" s="127">
        <f t="shared" ca="1" si="164"/>
        <v>3.9996783305813239</v>
      </c>
      <c r="AF142" s="127">
        <f t="shared" ca="1" si="165"/>
        <v>54.580590302327899</v>
      </c>
      <c r="AH142" s="121">
        <f t="shared" si="154"/>
        <v>44621</v>
      </c>
      <c r="AI142" s="73">
        <f t="shared" si="166"/>
        <v>40.633633165262971</v>
      </c>
      <c r="AJ142" s="15">
        <f t="shared" si="167"/>
        <v>3.7045961267565262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44.455153521078316</v>
      </c>
      <c r="AO142" s="127">
        <f t="shared" ca="1" si="171"/>
        <v>4.0374126212455419</v>
      </c>
      <c r="AP142" s="127">
        <f t="shared" ca="1" si="198"/>
        <v>56.679501582250609</v>
      </c>
      <c r="AR142" s="121">
        <f t="shared" si="172"/>
        <v>44621</v>
      </c>
      <c r="AS142" s="73">
        <f t="shared" ref="AS142:AS164" si="199">+AI142</f>
        <v>40.633633165262971</v>
      </c>
      <c r="AT142" s="15">
        <f t="shared" si="173"/>
        <v>3.7045961267565262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44.455153521078316</v>
      </c>
      <c r="AY142" s="127">
        <f t="shared" ca="1" si="177"/>
        <v>3.8295526606888544</v>
      </c>
      <c r="AZ142" s="127">
        <f t="shared" ca="1" si="155"/>
        <v>46.041937258247906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4.134524785654949</v>
      </c>
      <c r="BJ142" s="127">
        <f t="shared" ca="1" si="156"/>
        <v>62.459902175225636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3.0250301223314366</v>
      </c>
      <c r="BT142" s="127">
        <f t="shared" ca="1" si="157"/>
        <v>20.594625059974675</v>
      </c>
      <c r="BZ142" s="583">
        <f t="shared" si="190"/>
        <v>0</v>
      </c>
      <c r="CA142" s="121">
        <f t="shared" si="191"/>
        <v>44621</v>
      </c>
      <c r="CB142" s="127">
        <f t="shared" si="192"/>
        <v>0</v>
      </c>
      <c r="CC142" s="15">
        <f t="shared" si="193"/>
        <v>0</v>
      </c>
      <c r="CD142" s="98">
        <f t="shared" si="194"/>
        <v>0</v>
      </c>
      <c r="CE142" s="128">
        <f>IF(CD142&gt;0,12,0)</f>
        <v>0</v>
      </c>
      <c r="CF142" s="128">
        <f t="shared" si="195"/>
        <v>0</v>
      </c>
      <c r="CG142" s="15">
        <f t="shared" si="196"/>
        <v>0</v>
      </c>
      <c r="CH142" s="127">
        <f t="shared" ca="1" si="197"/>
        <v>4.0425197682055671</v>
      </c>
      <c r="CI142" s="127">
        <f t="shared" ca="1" si="158"/>
        <v>56.969712570739674</v>
      </c>
    </row>
    <row r="143" spans="24:87" x14ac:dyDescent="0.2">
      <c r="X143" s="121">
        <f t="shared" si="159"/>
        <v>44652</v>
      </c>
      <c r="Y143" s="73">
        <f t="shared" si="159"/>
        <v>40.001751827104876</v>
      </c>
      <c r="Z143" s="15">
        <f t="shared" si="160"/>
        <v>3.6889232488325554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47.956002234823217</v>
      </c>
      <c r="AE143" s="127">
        <f t="shared" ca="1" si="164"/>
        <v>3.9996783305813239</v>
      </c>
      <c r="AF143" s="127">
        <f t="shared" ca="1" si="165"/>
        <v>54.580590302327899</v>
      </c>
      <c r="AH143" s="121">
        <f t="shared" si="154"/>
        <v>44652</v>
      </c>
      <c r="AI143" s="73">
        <f t="shared" si="166"/>
        <v>42.106135998577123</v>
      </c>
      <c r="AJ143" s="15">
        <f t="shared" si="167"/>
        <v>3.7401934782528308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48.622515217286804</v>
      </c>
      <c r="AO143" s="127">
        <f t="shared" ca="1" si="171"/>
        <v>4.0374126212455419</v>
      </c>
      <c r="AP143" s="127">
        <f t="shared" ca="1" si="198"/>
        <v>56.679501582250609</v>
      </c>
      <c r="AR143" s="121">
        <f t="shared" si="172"/>
        <v>44652</v>
      </c>
      <c r="AS143" s="73">
        <f>+AI143</f>
        <v>42.106135998577123</v>
      </c>
      <c r="AT143" s="15">
        <f t="shared" si="173"/>
        <v>3.7401934782528308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48.622515217286804</v>
      </c>
      <c r="AY143" s="127">
        <f t="shared" ca="1" si="177"/>
        <v>3.8295526606888544</v>
      </c>
      <c r="AZ143" s="127">
        <f t="shared" ca="1" si="155"/>
        <v>46.041937258247906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4.134524785654949</v>
      </c>
      <c r="BJ143" s="127">
        <f t="shared" ca="1" si="156"/>
        <v>62.459902175225636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3.0250301223314366</v>
      </c>
      <c r="BT143" s="127">
        <f t="shared" ca="1" si="157"/>
        <v>20.594625059974675</v>
      </c>
      <c r="BZ143" s="583">
        <f t="shared" si="190"/>
        <v>0</v>
      </c>
      <c r="CA143" s="121">
        <f t="shared" si="191"/>
        <v>44652</v>
      </c>
      <c r="CB143" s="127">
        <f t="shared" si="192"/>
        <v>0</v>
      </c>
      <c r="CC143" s="15">
        <f t="shared" si="193"/>
        <v>0</v>
      </c>
      <c r="CD143" s="98">
        <f t="shared" si="194"/>
        <v>0</v>
      </c>
      <c r="CE143" s="128">
        <f>IF(CD143&gt;0,13,0)</f>
        <v>0</v>
      </c>
      <c r="CF143" s="128">
        <f t="shared" si="195"/>
        <v>0</v>
      </c>
      <c r="CG143" s="15">
        <f t="shared" si="196"/>
        <v>0</v>
      </c>
      <c r="CH143" s="127">
        <f t="shared" ca="1" si="197"/>
        <v>4.0425197682055671</v>
      </c>
      <c r="CI143" s="127">
        <f t="shared" ca="1" si="158"/>
        <v>56.969712570739674</v>
      </c>
    </row>
    <row r="144" spans="24:87" x14ac:dyDescent="0.2">
      <c r="X144" s="121">
        <f t="shared" si="159"/>
        <v>44682</v>
      </c>
      <c r="Y144" s="73">
        <f t="shared" si="159"/>
        <v>38.651486387577066</v>
      </c>
      <c r="Z144" s="15">
        <f t="shared" si="160"/>
        <v>3.6545852319285492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51.164193246999687</v>
      </c>
      <c r="AE144" s="127">
        <f t="shared" ca="1" si="164"/>
        <v>3.9996783305813239</v>
      </c>
      <c r="AF144" s="127">
        <f t="shared" ca="1" si="165"/>
        <v>54.580590302327899</v>
      </c>
      <c r="AH144" s="121">
        <f t="shared" si="154"/>
        <v>44682</v>
      </c>
      <c r="AI144" s="73">
        <f t="shared" si="166"/>
        <v>42.224036231560753</v>
      </c>
      <c r="AJ144" s="15">
        <f t="shared" si="167"/>
        <v>3.7429896378403829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52.401854929765364</v>
      </c>
      <c r="AO144" s="127">
        <f t="shared" ca="1" si="171"/>
        <v>4.0374126212455419</v>
      </c>
      <c r="AP144" s="127">
        <f t="shared" ca="1" si="198"/>
        <v>56.679501582250609</v>
      </c>
      <c r="AR144" s="121">
        <f t="shared" si="172"/>
        <v>44682</v>
      </c>
      <c r="AS144" s="73">
        <f t="shared" si="199"/>
        <v>42.224036231560753</v>
      </c>
      <c r="AT144" s="15">
        <f t="shared" si="173"/>
        <v>3.7429896378403829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52.401854929765364</v>
      </c>
      <c r="AY144" s="127">
        <f t="shared" ca="1" si="177"/>
        <v>3.8295526606888544</v>
      </c>
      <c r="AZ144" s="127">
        <f t="shared" ca="1" si="155"/>
        <v>46.041937258247906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4.134524785654949</v>
      </c>
      <c r="BJ144" s="127">
        <f t="shared" ca="1" si="156"/>
        <v>62.459902175225636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3.0250301223314366</v>
      </c>
      <c r="BT144" s="127">
        <f t="shared" ca="1" si="157"/>
        <v>20.594625059974675</v>
      </c>
      <c r="BZ144" s="583">
        <f t="shared" si="190"/>
        <v>1</v>
      </c>
      <c r="CA144" s="121">
        <f t="shared" si="191"/>
        <v>44682</v>
      </c>
      <c r="CB144" s="127">
        <f t="shared" si="192"/>
        <v>42.224036231560753</v>
      </c>
      <c r="CC144" s="15">
        <f t="shared" si="193"/>
        <v>3.7429896378403829</v>
      </c>
      <c r="CD144" s="98">
        <f t="shared" si="194"/>
        <v>1</v>
      </c>
      <c r="CE144" s="128">
        <f>IF(CD144&gt;0,14,0)</f>
        <v>14</v>
      </c>
      <c r="CF144" s="128">
        <f t="shared" si="195"/>
        <v>196</v>
      </c>
      <c r="CG144" s="15">
        <f t="shared" si="196"/>
        <v>52.401854929765364</v>
      </c>
      <c r="CH144" s="127">
        <f t="shared" ca="1" si="197"/>
        <v>4.0425197682055671</v>
      </c>
      <c r="CI144" s="127">
        <f t="shared" ca="1" si="158"/>
        <v>56.969712570739674</v>
      </c>
    </row>
    <row r="145" spans="24:87" x14ac:dyDescent="0.2">
      <c r="X145" s="121">
        <f t="shared" si="159"/>
        <v>44713</v>
      </c>
      <c r="Y145" s="73">
        <f t="shared" si="159"/>
        <v>46.072972042039574</v>
      </c>
      <c r="Z145" s="15">
        <f t="shared" si="160"/>
        <v>3.8302264883070256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57.453397324605383</v>
      </c>
      <c r="AE145" s="127">
        <f t="shared" ca="1" si="164"/>
        <v>3.9996783305813239</v>
      </c>
      <c r="AF145" s="127">
        <f t="shared" ca="1" si="165"/>
        <v>54.580590302327899</v>
      </c>
      <c r="AH145" s="121">
        <f t="shared" si="154"/>
        <v>44713</v>
      </c>
      <c r="AI145" s="73">
        <f t="shared" si="166"/>
        <v>46.839594654292881</v>
      </c>
      <c r="AJ145" s="15">
        <f t="shared" si="167"/>
        <v>3.8467288848554553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57.700933272831833</v>
      </c>
      <c r="AO145" s="127">
        <f t="shared" ca="1" si="171"/>
        <v>4.0374126212455419</v>
      </c>
      <c r="AP145" s="127">
        <f t="shared" ca="1" si="198"/>
        <v>56.679501582250609</v>
      </c>
      <c r="AR145" s="121">
        <f t="shared" si="172"/>
        <v>44713</v>
      </c>
      <c r="AS145" s="73">
        <f t="shared" si="199"/>
        <v>46.839594654292881</v>
      </c>
      <c r="AT145" s="15">
        <f t="shared" si="173"/>
        <v>3.8467288848554553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57.700933272831833</v>
      </c>
      <c r="AY145" s="127">
        <f t="shared" ca="1" si="177"/>
        <v>3.8295526606888544</v>
      </c>
      <c r="AZ145" s="127">
        <f t="shared" ca="1" si="155"/>
        <v>46.041937258247906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4.134524785654949</v>
      </c>
      <c r="BJ145" s="127">
        <f t="shared" ca="1" si="156"/>
        <v>62.459902175225636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3.0250301223314366</v>
      </c>
      <c r="BT145" s="127">
        <f t="shared" ca="1" si="157"/>
        <v>20.594625059974675</v>
      </c>
      <c r="BZ145" s="583">
        <f t="shared" si="190"/>
        <v>1</v>
      </c>
      <c r="CA145" s="121">
        <f t="shared" si="191"/>
        <v>44713</v>
      </c>
      <c r="CB145" s="127">
        <f t="shared" si="192"/>
        <v>46.839594654292881</v>
      </c>
      <c r="CC145" s="15">
        <f t="shared" si="193"/>
        <v>3.8467288848554553</v>
      </c>
      <c r="CD145" s="98">
        <f t="shared" si="194"/>
        <v>1</v>
      </c>
      <c r="CE145" s="128">
        <f>IF(CD145&gt;0,15,0)</f>
        <v>15</v>
      </c>
      <c r="CF145" s="128">
        <f t="shared" si="195"/>
        <v>225</v>
      </c>
      <c r="CG145" s="15">
        <f t="shared" si="196"/>
        <v>57.700933272831833</v>
      </c>
      <c r="CH145" s="127">
        <f t="shared" ca="1" si="197"/>
        <v>4.0425197682055671</v>
      </c>
      <c r="CI145" s="127">
        <f t="shared" ca="1" si="158"/>
        <v>56.969712570739674</v>
      </c>
    </row>
    <row r="146" spans="24:87" x14ac:dyDescent="0.2">
      <c r="X146" s="121">
        <f t="shared" si="159"/>
        <v>44743</v>
      </c>
      <c r="Y146" s="73">
        <f t="shared" si="159"/>
        <v>45.916806568230278</v>
      </c>
      <c r="Z146" s="15">
        <f t="shared" si="160"/>
        <v>3.8268312062182823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61.229299299492517</v>
      </c>
      <c r="AE146" s="127">
        <f t="shared" ca="1" si="164"/>
        <v>3.9996783305813239</v>
      </c>
      <c r="AF146" s="127">
        <f t="shared" ca="1" si="165"/>
        <v>54.580590302327899</v>
      </c>
      <c r="AH146" s="121">
        <f t="shared" si="154"/>
        <v>44743</v>
      </c>
      <c r="AI146" s="73">
        <f t="shared" si="166"/>
        <v>49.906110414608172</v>
      </c>
      <c r="AJ146" s="15">
        <f t="shared" si="167"/>
        <v>3.9101434484592525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62.562295175348041</v>
      </c>
      <c r="AO146" s="127">
        <f t="shared" ca="1" si="171"/>
        <v>4.0374126212455419</v>
      </c>
      <c r="AP146" s="127">
        <f t="shared" ca="1" si="198"/>
        <v>56.679501582250609</v>
      </c>
      <c r="AR146" s="121">
        <f t="shared" si="172"/>
        <v>44743</v>
      </c>
      <c r="AS146" s="73">
        <f t="shared" si="199"/>
        <v>49.906110414608172</v>
      </c>
      <c r="AT146" s="15">
        <f t="shared" si="173"/>
        <v>3.9101434484592525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62.562295175348041</v>
      </c>
      <c r="AY146" s="127">
        <f t="shared" ca="1" si="177"/>
        <v>3.8295526606888544</v>
      </c>
      <c r="AZ146" s="127">
        <f t="shared" ca="1" si="155"/>
        <v>46.041937258247906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4.134524785654949</v>
      </c>
      <c r="BJ146" s="127">
        <f t="shared" ca="1" si="156"/>
        <v>62.459902175225636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3.0250301223314366</v>
      </c>
      <c r="BT146" s="127">
        <f t="shared" ca="1" si="157"/>
        <v>20.594625059974675</v>
      </c>
      <c r="BZ146" s="583">
        <f t="shared" si="190"/>
        <v>1</v>
      </c>
      <c r="CA146" s="121">
        <f t="shared" si="191"/>
        <v>44743</v>
      </c>
      <c r="CB146" s="127">
        <f t="shared" si="192"/>
        <v>49.906110414608172</v>
      </c>
      <c r="CC146" s="15">
        <f t="shared" si="193"/>
        <v>3.9101434484592525</v>
      </c>
      <c r="CD146" s="98">
        <f t="shared" si="194"/>
        <v>1</v>
      </c>
      <c r="CE146" s="128">
        <f>IF(CD146&gt;0,16,0)</f>
        <v>16</v>
      </c>
      <c r="CF146" s="128">
        <f t="shared" si="195"/>
        <v>256</v>
      </c>
      <c r="CG146" s="15">
        <f t="shared" si="196"/>
        <v>62.562295175348041</v>
      </c>
      <c r="CH146" s="127">
        <f t="shared" ca="1" si="197"/>
        <v>4.0425197682055671</v>
      </c>
      <c r="CI146" s="127">
        <f t="shared" ca="1" si="158"/>
        <v>56.969712570739674</v>
      </c>
    </row>
    <row r="147" spans="24:87" x14ac:dyDescent="0.2">
      <c r="X147" s="121">
        <f t="shared" si="159"/>
        <v>44774</v>
      </c>
      <c r="Y147" s="73">
        <f t="shared" si="159"/>
        <v>45.772098230480971</v>
      </c>
      <c r="Z147" s="15">
        <f t="shared" si="160"/>
        <v>3.823674696535508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65.002469841103633</v>
      </c>
      <c r="AE147" s="127">
        <f t="shared" ca="1" si="164"/>
        <v>3.9996783305813239</v>
      </c>
      <c r="AF147" s="127">
        <f t="shared" ca="1" si="165"/>
        <v>54.580590302327899</v>
      </c>
      <c r="AH147" s="121">
        <f t="shared" si="154"/>
        <v>44774</v>
      </c>
      <c r="AI147" s="73">
        <f t="shared" si="166"/>
        <v>50.746250010747154</v>
      </c>
      <c r="AJ147" s="15">
        <f t="shared" si="167"/>
        <v>3.9268377237779424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66.756241304225014</v>
      </c>
      <c r="AO147" s="127">
        <f t="shared" ca="1" si="171"/>
        <v>4.0374126212455419</v>
      </c>
      <c r="AP147" s="127">
        <f t="shared" ca="1" si="198"/>
        <v>56.679501582250609</v>
      </c>
      <c r="AR147" s="121">
        <f t="shared" si="172"/>
        <v>44774</v>
      </c>
      <c r="AS147" s="73">
        <f t="shared" si="199"/>
        <v>50.746250010747154</v>
      </c>
      <c r="AT147" s="15">
        <f t="shared" si="173"/>
        <v>3.9268377237779424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66.756241304225014</v>
      </c>
      <c r="AY147" s="127">
        <f t="shared" ca="1" si="177"/>
        <v>3.8295526606888544</v>
      </c>
      <c r="AZ147" s="127">
        <f t="shared" ca="1" si="155"/>
        <v>46.041937258247906</v>
      </c>
      <c r="BB147" s="121">
        <f t="shared" si="178"/>
        <v>44774</v>
      </c>
      <c r="BC147" s="73">
        <f>+AI147</f>
        <v>50.746250010747154</v>
      </c>
      <c r="BD147" s="15">
        <f t="shared" si="179"/>
        <v>3.9268377237779424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66.756241304225014</v>
      </c>
      <c r="BI147" s="127">
        <f t="shared" ca="1" si="183"/>
        <v>4.134524785654949</v>
      </c>
      <c r="BJ147" s="127">
        <f t="shared" ca="1" si="156"/>
        <v>62.459902175225636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3.0250301223314366</v>
      </c>
      <c r="BT147" s="127">
        <f t="shared" ca="1" si="157"/>
        <v>20.594625059974675</v>
      </c>
      <c r="BZ147" s="583">
        <f t="shared" si="190"/>
        <v>1</v>
      </c>
      <c r="CA147" s="121">
        <f t="shared" si="191"/>
        <v>44774</v>
      </c>
      <c r="CB147" s="127">
        <f t="shared" si="192"/>
        <v>50.746250010747154</v>
      </c>
      <c r="CC147" s="15">
        <f t="shared" si="193"/>
        <v>3.9268377237779424</v>
      </c>
      <c r="CD147" s="98">
        <f t="shared" si="194"/>
        <v>1</v>
      </c>
      <c r="CE147" s="128">
        <f>IF(CD147&gt;0,17,0)</f>
        <v>17</v>
      </c>
      <c r="CF147" s="128">
        <f t="shared" si="195"/>
        <v>289</v>
      </c>
      <c r="CG147" s="15">
        <f t="shared" si="196"/>
        <v>66.756241304225014</v>
      </c>
      <c r="CH147" s="127">
        <f t="shared" ca="1" si="197"/>
        <v>4.0425197682055671</v>
      </c>
      <c r="CI147" s="127">
        <f t="shared" ca="1" si="158"/>
        <v>56.969712570739674</v>
      </c>
    </row>
    <row r="148" spans="24:87" x14ac:dyDescent="0.2">
      <c r="X148" s="121">
        <f t="shared" si="159"/>
        <v>44805</v>
      </c>
      <c r="Y148" s="73">
        <f t="shared" si="159"/>
        <v>64.622452870324537</v>
      </c>
      <c r="Z148" s="15">
        <f t="shared" si="160"/>
        <v>4.1685619180529949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75.034114524953907</v>
      </c>
      <c r="AE148" s="127">
        <f t="shared" ca="1" si="164"/>
        <v>3.9996783305813239</v>
      </c>
      <c r="AF148" s="127">
        <f t="shared" ca="1" si="165"/>
        <v>54.580590302327899</v>
      </c>
      <c r="AH148" s="121">
        <f t="shared" si="154"/>
        <v>44805</v>
      </c>
      <c r="AI148" s="73">
        <f t="shared" si="166"/>
        <v>54.928860055678207</v>
      </c>
      <c r="AJ148" s="15">
        <f t="shared" si="167"/>
        <v>4.0060388944663003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72.108700100393406</v>
      </c>
      <c r="AO148" s="127">
        <f t="shared" ca="1" si="171"/>
        <v>4.0374126212455419</v>
      </c>
      <c r="AP148" s="127">
        <f t="shared" ca="1" si="198"/>
        <v>56.679501582250609</v>
      </c>
      <c r="AR148" s="121">
        <f t="shared" si="172"/>
        <v>44805</v>
      </c>
      <c r="AS148" s="73">
        <f t="shared" si="199"/>
        <v>54.928860055678207</v>
      </c>
      <c r="AT148" s="15">
        <f t="shared" si="173"/>
        <v>4.0060388944663003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72.108700100393406</v>
      </c>
      <c r="AY148" s="127">
        <f t="shared" ca="1" si="177"/>
        <v>3.8295526606888544</v>
      </c>
      <c r="AZ148" s="127">
        <f t="shared" ca="1" si="155"/>
        <v>46.041937258247906</v>
      </c>
      <c r="BB148" s="121">
        <f t="shared" si="178"/>
        <v>44805</v>
      </c>
      <c r="BC148" s="73">
        <f t="shared" ref="BC148:BC164" si="200">+AI148</f>
        <v>54.928860055678207</v>
      </c>
      <c r="BD148" s="15">
        <f t="shared" si="179"/>
        <v>4.0060388944663003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72.108700100393406</v>
      </c>
      <c r="BI148" s="127">
        <f t="shared" ca="1" si="183"/>
        <v>4.134524785654949</v>
      </c>
      <c r="BJ148" s="127">
        <f t="shared" ca="1" si="156"/>
        <v>62.459902175225636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3.0250301223314366</v>
      </c>
      <c r="BT148" s="127">
        <f t="shared" ca="1" si="157"/>
        <v>20.594625059974675</v>
      </c>
      <c r="BZ148" s="583">
        <f t="shared" si="190"/>
        <v>1</v>
      </c>
      <c r="CA148" s="121">
        <f t="shared" si="191"/>
        <v>44805</v>
      </c>
      <c r="CB148" s="127">
        <f t="shared" si="192"/>
        <v>54.928860055678207</v>
      </c>
      <c r="CC148" s="15">
        <f t="shared" si="193"/>
        <v>4.0060388944663003</v>
      </c>
      <c r="CD148" s="98">
        <f t="shared" si="194"/>
        <v>1</v>
      </c>
      <c r="CE148" s="128">
        <f>IF(CD148&gt;0,18,0)</f>
        <v>18</v>
      </c>
      <c r="CF148" s="128">
        <f t="shared" si="195"/>
        <v>324</v>
      </c>
      <c r="CG148" s="15">
        <f t="shared" si="196"/>
        <v>72.108700100393406</v>
      </c>
      <c r="CH148" s="127">
        <f t="shared" ca="1" si="197"/>
        <v>4.0425197682055671</v>
      </c>
      <c r="CI148" s="127">
        <f t="shared" ca="1" si="158"/>
        <v>56.969712570739674</v>
      </c>
    </row>
    <row r="149" spans="24:87" x14ac:dyDescent="0.2">
      <c r="X149" s="121">
        <f t="shared" si="159"/>
        <v>44835</v>
      </c>
      <c r="Y149" s="73">
        <f t="shared" si="159"/>
        <v>58.400846388996591</v>
      </c>
      <c r="Z149" s="15">
        <f t="shared" si="160"/>
        <v>4.0673303826914298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77.279277271137161</v>
      </c>
      <c r="AE149" s="127">
        <f t="shared" ca="1" si="164"/>
        <v>3.9996783305813239</v>
      </c>
      <c r="AF149" s="127">
        <f t="shared" ca="1" si="165"/>
        <v>54.580590302327899</v>
      </c>
      <c r="AH149" s="121">
        <f t="shared" si="154"/>
        <v>44835</v>
      </c>
      <c r="AI149" s="73">
        <f t="shared" si="166"/>
        <v>52.692461249451775</v>
      </c>
      <c r="AJ149" s="15">
        <f t="shared" si="167"/>
        <v>3.9644723950196146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75.324975505372677</v>
      </c>
      <c r="AO149" s="127">
        <f t="shared" ca="1" si="171"/>
        <v>4.0374126212455419</v>
      </c>
      <c r="AP149" s="127">
        <f t="shared" ca="1" si="198"/>
        <v>56.679501582250609</v>
      </c>
      <c r="AR149" s="121">
        <f t="shared" si="172"/>
        <v>44835</v>
      </c>
      <c r="AS149" s="73">
        <f t="shared" si="199"/>
        <v>52.692461249451775</v>
      </c>
      <c r="AT149" s="15">
        <f t="shared" si="173"/>
        <v>3.9644723950196146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75.324975505372677</v>
      </c>
      <c r="AY149" s="127">
        <f t="shared" ca="1" si="177"/>
        <v>3.8295526606888544</v>
      </c>
      <c r="AZ149" s="127">
        <f t="shared" ca="1" si="155"/>
        <v>46.041937258247906</v>
      </c>
      <c r="BB149" s="121">
        <f t="shared" si="178"/>
        <v>44835</v>
      </c>
      <c r="BC149" s="73">
        <f>+AI149</f>
        <v>52.692461249451775</v>
      </c>
      <c r="BD149" s="15">
        <f t="shared" si="179"/>
        <v>3.9644723950196146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75.324975505372677</v>
      </c>
      <c r="BI149" s="127">
        <f t="shared" ca="1" si="183"/>
        <v>4.134524785654949</v>
      </c>
      <c r="BJ149" s="127">
        <f ca="1">EXP(BI149)</f>
        <v>62.459902175225636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3.0250301223314366</v>
      </c>
      <c r="BT149" s="127">
        <f ca="1">EXP(BS149)</f>
        <v>20.594625059974675</v>
      </c>
      <c r="BZ149" s="583">
        <f t="shared" si="190"/>
        <v>1</v>
      </c>
      <c r="CA149" s="121">
        <f t="shared" si="191"/>
        <v>44835</v>
      </c>
      <c r="CB149" s="127">
        <f t="shared" si="192"/>
        <v>52.692461249451775</v>
      </c>
      <c r="CC149" s="15">
        <f t="shared" si="193"/>
        <v>3.9644723950196146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75.324975505372677</v>
      </c>
      <c r="CH149" s="127">
        <f t="shared" ca="1" si="197"/>
        <v>4.0425197682055671</v>
      </c>
      <c r="CI149" s="127">
        <f ca="1">EXP(CH149)</f>
        <v>56.969712570739674</v>
      </c>
    </row>
    <row r="150" spans="24:87" x14ac:dyDescent="0.2">
      <c r="X150" s="121">
        <f t="shared" si="159"/>
        <v>44866</v>
      </c>
      <c r="Y150" s="73">
        <f t="shared" si="159"/>
        <v>43.692323964410917</v>
      </c>
      <c r="Z150" s="15">
        <f t="shared" si="160"/>
        <v>3.7771724336844432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75.543448673688857</v>
      </c>
      <c r="AE150" s="127">
        <f t="shared" ca="1" si="164"/>
        <v>3.9996783305813239</v>
      </c>
      <c r="AF150" s="127">
        <f t="shared" ca="1" si="165"/>
        <v>54.580590302327899</v>
      </c>
      <c r="AH150" s="121">
        <f t="shared" si="154"/>
        <v>44866</v>
      </c>
      <c r="AI150" s="73">
        <f t="shared" si="166"/>
        <v>50.518164726304597</v>
      </c>
      <c r="AJ150" s="15">
        <f t="shared" si="167"/>
        <v>3.922332969156245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78.446659383124896</v>
      </c>
      <c r="AO150" s="127">
        <f t="shared" ca="1" si="171"/>
        <v>4.0374126212455419</v>
      </c>
      <c r="AP150" s="127">
        <f t="shared" ca="1" si="198"/>
        <v>56.679501582250609</v>
      </c>
      <c r="AR150" s="121">
        <f t="shared" si="172"/>
        <v>44866</v>
      </c>
      <c r="AS150" s="73">
        <f t="shared" si="199"/>
        <v>50.518164726304597</v>
      </c>
      <c r="AT150" s="15">
        <f t="shared" si="173"/>
        <v>3.922332969156245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78.446659383124896</v>
      </c>
      <c r="AY150" s="127">
        <f t="shared" ca="1" si="177"/>
        <v>3.8295526606888544</v>
      </c>
      <c r="AZ150" s="127">
        <f t="shared" ca="1" si="155"/>
        <v>46.041937258247906</v>
      </c>
      <c r="BB150" s="121">
        <f t="shared" si="178"/>
        <v>44866</v>
      </c>
      <c r="BC150" s="73">
        <f t="shared" si="200"/>
        <v>50.518164726304597</v>
      </c>
      <c r="BD150" s="15">
        <f t="shared" si="179"/>
        <v>3.922332969156245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78.446659383124896</v>
      </c>
      <c r="BI150" s="127">
        <f t="shared" ca="1" si="183"/>
        <v>4.134524785654949</v>
      </c>
      <c r="BJ150" s="127">
        <f t="shared" ref="BJ150:BJ166" ca="1" si="201">EXP(BI150)</f>
        <v>62.459902175225636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3.0250301223314366</v>
      </c>
      <c r="BT150" s="127">
        <f t="shared" ref="BT150:BT166" ca="1" si="202">EXP(BS150)</f>
        <v>20.594625059974675</v>
      </c>
      <c r="BZ150" s="583">
        <f t="shared" si="190"/>
        <v>1</v>
      </c>
      <c r="CA150" s="121">
        <f t="shared" si="191"/>
        <v>44866</v>
      </c>
      <c r="CB150" s="127">
        <f t="shared" si="192"/>
        <v>50.518164726304597</v>
      </c>
      <c r="CC150" s="15">
        <f t="shared" si="193"/>
        <v>3.922332969156245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78.446659383124896</v>
      </c>
      <c r="CH150" s="127">
        <f t="shared" ca="1" si="197"/>
        <v>4.0425197682055671</v>
      </c>
      <c r="CI150" s="127">
        <f t="shared" ref="CI150:CI166" ca="1" si="203">EXP(CH150)</f>
        <v>56.969712570739674</v>
      </c>
    </row>
    <row r="151" spans="24:87" x14ac:dyDescent="0.2">
      <c r="X151" s="121">
        <f t="shared" si="159"/>
        <v>44896</v>
      </c>
      <c r="Y151" s="73">
        <f t="shared" si="159"/>
        <v>71.168632311625956</v>
      </c>
      <c r="Z151" s="15">
        <f t="shared" si="160"/>
        <v>4.2650521639230137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89.566095442383286</v>
      </c>
      <c r="AE151" s="127">
        <f t="shared" ca="1" si="164"/>
        <v>3.9996783305813239</v>
      </c>
      <c r="AF151" s="127">
        <f t="shared" ca="1" si="165"/>
        <v>54.580590302327899</v>
      </c>
      <c r="AH151" s="121">
        <f t="shared" si="154"/>
        <v>44896</v>
      </c>
      <c r="AI151" s="73">
        <f t="shared" si="166"/>
        <v>45.540775764981809</v>
      </c>
      <c r="AJ151" s="15">
        <f t="shared" si="167"/>
        <v>3.818608095294671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80.190770001188099</v>
      </c>
      <c r="AO151" s="127">
        <f t="shared" ca="1" si="171"/>
        <v>4.0374126212455419</v>
      </c>
      <c r="AP151" s="127">
        <f t="shared" ca="1" si="198"/>
        <v>56.679501582250609</v>
      </c>
      <c r="AR151" s="121">
        <f t="shared" si="172"/>
        <v>44896</v>
      </c>
      <c r="AS151" s="73">
        <f t="shared" si="199"/>
        <v>45.540775764981809</v>
      </c>
      <c r="AT151" s="15">
        <f t="shared" si="173"/>
        <v>3.818608095294671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80.190770001188099</v>
      </c>
      <c r="AY151" s="127">
        <f t="shared" ca="1" si="177"/>
        <v>3.8295526606888544</v>
      </c>
      <c r="AZ151" s="127">
        <f t="shared" ca="1" si="155"/>
        <v>46.041937258247906</v>
      </c>
      <c r="BB151" s="121">
        <f t="shared" si="178"/>
        <v>44896</v>
      </c>
      <c r="BC151" s="73">
        <f t="shared" si="200"/>
        <v>45.540775764981809</v>
      </c>
      <c r="BD151" s="15">
        <f t="shared" si="179"/>
        <v>3.818608095294671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80.190770001188099</v>
      </c>
      <c r="BI151" s="127">
        <f t="shared" ca="1" si="183"/>
        <v>4.134524785654949</v>
      </c>
      <c r="BJ151" s="127">
        <f t="shared" ca="1" si="201"/>
        <v>62.459902175225636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3.0250301223314366</v>
      </c>
      <c r="BT151" s="127">
        <f t="shared" ca="1" si="202"/>
        <v>20.594625059974675</v>
      </c>
      <c r="BZ151" s="583">
        <f t="shared" si="190"/>
        <v>1</v>
      </c>
      <c r="CA151" s="121">
        <f t="shared" si="191"/>
        <v>44896</v>
      </c>
      <c r="CB151" s="127">
        <f t="shared" si="192"/>
        <v>45.540775764981809</v>
      </c>
      <c r="CC151" s="15">
        <f t="shared" si="193"/>
        <v>3.818608095294671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80.190770001188099</v>
      </c>
      <c r="CH151" s="127">
        <f t="shared" ca="1" si="197"/>
        <v>4.0425197682055671</v>
      </c>
      <c r="CI151" s="127">
        <f t="shared" ca="1" si="203"/>
        <v>56.969712570739674</v>
      </c>
    </row>
    <row r="152" spans="24:87" x14ac:dyDescent="0.2">
      <c r="X152" s="121">
        <f t="shared" si="159"/>
        <v>44927</v>
      </c>
      <c r="Y152" s="73">
        <f t="shared" si="159"/>
        <v>32.49841373087169</v>
      </c>
      <c r="Z152" s="15">
        <f t="shared" si="160"/>
        <v>3.481191279863658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76.58620815700047</v>
      </c>
      <c r="AE152" s="127">
        <f t="shared" ca="1" si="164"/>
        <v>3.9996783305813239</v>
      </c>
      <c r="AF152" s="127">
        <f t="shared" ca="1" si="165"/>
        <v>54.580590302327899</v>
      </c>
      <c r="AH152" s="121">
        <f t="shared" si="154"/>
        <v>44927</v>
      </c>
      <c r="AI152" s="73">
        <f t="shared" ca="1" si="166"/>
        <v>41.600505205086627</v>
      </c>
      <c r="AJ152" s="15">
        <f t="shared" ca="1" si="167"/>
        <v>3.7281123115465196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82.018470854023434</v>
      </c>
      <c r="AO152" s="127">
        <f t="shared" ca="1" si="171"/>
        <v>4.0374126212455419</v>
      </c>
      <c r="AP152" s="127">
        <f t="shared" ca="1" si="198"/>
        <v>56.679501582250609</v>
      </c>
      <c r="AR152" s="121">
        <f t="shared" si="172"/>
        <v>44927</v>
      </c>
      <c r="AS152" s="73">
        <f t="shared" ca="1" si="199"/>
        <v>41.600505205086627</v>
      </c>
      <c r="AT152" s="15">
        <f t="shared" ca="1" si="173"/>
        <v>3.7281123115465196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82.018470854023434</v>
      </c>
      <c r="AY152" s="127">
        <f t="shared" ca="1" si="177"/>
        <v>3.8295526606888544</v>
      </c>
      <c r="AZ152" s="127">
        <f t="shared" ca="1" si="155"/>
        <v>46.041937258247906</v>
      </c>
      <c r="BB152" s="121">
        <f t="shared" si="178"/>
        <v>44927</v>
      </c>
      <c r="BC152" s="73">
        <f t="shared" ca="1" si="200"/>
        <v>41.600505205086627</v>
      </c>
      <c r="BD152" s="15">
        <f t="shared" ca="1" si="179"/>
        <v>3.7281123115465196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82.018470854023434</v>
      </c>
      <c r="BI152" s="127">
        <f t="shared" ca="1" si="183"/>
        <v>4.134524785654949</v>
      </c>
      <c r="BJ152" s="127">
        <f t="shared" ca="1" si="201"/>
        <v>62.459902175225636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3.0250301223314366</v>
      </c>
      <c r="BT152" s="127">
        <f t="shared" ca="1" si="202"/>
        <v>20.594625059974675</v>
      </c>
      <c r="BZ152" s="583">
        <f t="shared" si="190"/>
        <v>1</v>
      </c>
      <c r="CA152" s="121">
        <f t="shared" si="191"/>
        <v>44927</v>
      </c>
      <c r="CB152" s="127">
        <f t="shared" ca="1" si="192"/>
        <v>41.600505205086627</v>
      </c>
      <c r="CC152" s="15">
        <f t="shared" ca="1" si="193"/>
        <v>3.7281123115465196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82.018470854023434</v>
      </c>
      <c r="CH152" s="127">
        <f t="shared" ca="1" si="197"/>
        <v>4.0425197682055671</v>
      </c>
      <c r="CI152" s="127">
        <f t="shared" ca="1" si="203"/>
        <v>56.969712570739674</v>
      </c>
    </row>
    <row r="153" spans="24:87" x14ac:dyDescent="0.2">
      <c r="X153" s="121">
        <f t="shared" si="159"/>
        <v>44958</v>
      </c>
      <c r="Y153" s="73">
        <f t="shared" si="159"/>
        <v>32.72631909159788</v>
      </c>
      <c r="Z153" s="15">
        <f t="shared" si="160"/>
        <v>3.4881796193593977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80.228131245266141</v>
      </c>
      <c r="AE153" s="127">
        <f t="shared" ca="1" si="164"/>
        <v>3.9996783305813239</v>
      </c>
      <c r="AF153" s="127">
        <f t="shared" ca="1" si="165"/>
        <v>54.580590302327899</v>
      </c>
      <c r="AH153" s="121">
        <f t="shared" si="154"/>
        <v>44958</v>
      </c>
      <c r="AI153" s="73">
        <f t="shared" ca="1" si="166"/>
        <v>42.272434250083897</v>
      </c>
      <c r="AJ153" s="15">
        <f t="shared" ca="1" si="167"/>
        <v>3.7441352010465159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86.115109624069859</v>
      </c>
      <c r="AO153" s="127">
        <f t="shared" ca="1" si="171"/>
        <v>4.0374126212455419</v>
      </c>
      <c r="AP153" s="127">
        <f t="shared" ca="1" si="198"/>
        <v>56.679501582250609</v>
      </c>
      <c r="AR153" s="121">
        <f t="shared" si="172"/>
        <v>44958</v>
      </c>
      <c r="AS153" s="73">
        <f t="shared" ca="1" si="199"/>
        <v>42.272434250083897</v>
      </c>
      <c r="AT153" s="15">
        <f t="shared" ca="1" si="173"/>
        <v>3.7441352010465159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86.115109624069859</v>
      </c>
      <c r="AY153" s="127">
        <f t="shared" ca="1" si="177"/>
        <v>3.8295526606888544</v>
      </c>
      <c r="AZ153" s="127">
        <f t="shared" ca="1" si="155"/>
        <v>46.041937258247906</v>
      </c>
      <c r="BB153" s="121">
        <f t="shared" si="178"/>
        <v>44958</v>
      </c>
      <c r="BC153" s="73">
        <f t="shared" ca="1" si="200"/>
        <v>42.272434250083897</v>
      </c>
      <c r="BD153" s="15">
        <f t="shared" ca="1" si="179"/>
        <v>3.7441352010465159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86.115109624069859</v>
      </c>
      <c r="BI153" s="127">
        <f t="shared" ca="1" si="183"/>
        <v>4.134524785654949</v>
      </c>
      <c r="BJ153" s="127">
        <f t="shared" ca="1" si="201"/>
        <v>62.459902175225636</v>
      </c>
      <c r="BL153" s="121">
        <f t="shared" si="184"/>
        <v>44958</v>
      </c>
      <c r="BM153" s="73">
        <f ca="1">+AI153</f>
        <v>42.272434250083897</v>
      </c>
      <c r="BN153" s="15">
        <f t="shared" ca="1" si="185"/>
        <v>3.7441352010465159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86.115109624069859</v>
      </c>
      <c r="BS153" s="127">
        <f t="shared" ca="1" si="189"/>
        <v>3.0250301223314366</v>
      </c>
      <c r="BT153" s="127">
        <f t="shared" ca="1" si="202"/>
        <v>20.594625059974675</v>
      </c>
      <c r="BZ153" s="583">
        <f t="shared" si="190"/>
        <v>1</v>
      </c>
      <c r="CA153" s="121">
        <f t="shared" si="191"/>
        <v>44958</v>
      </c>
      <c r="CB153" s="127">
        <f t="shared" ca="1" si="192"/>
        <v>42.272434250083897</v>
      </c>
      <c r="CC153" s="15">
        <f t="shared" ca="1" si="193"/>
        <v>3.7441352010465159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86.115109624069859</v>
      </c>
      <c r="CH153" s="127">
        <f t="shared" ca="1" si="197"/>
        <v>4.0425197682055671</v>
      </c>
      <c r="CI153" s="127">
        <f t="shared" ca="1" si="203"/>
        <v>56.969712570739674</v>
      </c>
    </row>
    <row r="154" spans="24:87" x14ac:dyDescent="0.2">
      <c r="X154" s="121">
        <f t="shared" si="159"/>
        <v>44986</v>
      </c>
      <c r="Y154" s="73">
        <f t="shared" si="159"/>
        <v>34.758119102387823</v>
      </c>
      <c r="Z154" s="15">
        <f t="shared" si="160"/>
        <v>3.5484131879546532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85.161916510911681</v>
      </c>
      <c r="AE154" s="127">
        <f t="shared" ca="1" si="164"/>
        <v>3.9996783305813239</v>
      </c>
      <c r="AF154" s="127">
        <f t="shared" ca="1" si="165"/>
        <v>54.580590302327899</v>
      </c>
      <c r="AH154" s="121">
        <f t="shared" si="154"/>
        <v>44986</v>
      </c>
      <c r="AI154" s="73">
        <f t="shared" ca="1" si="166"/>
        <v>36.588316688252789</v>
      </c>
      <c r="AJ154" s="15">
        <f t="shared" ca="1" si="167"/>
        <v>3.5997289732790376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86.393495358696896</v>
      </c>
      <c r="AO154" s="127">
        <f t="shared" ca="1" si="171"/>
        <v>4.0374126212455419</v>
      </c>
      <c r="AP154" s="127">
        <f t="shared" ca="1" si="198"/>
        <v>56.679501582250609</v>
      </c>
      <c r="AR154" s="121">
        <f t="shared" si="172"/>
        <v>44986</v>
      </c>
      <c r="AS154" s="73">
        <f t="shared" ca="1" si="199"/>
        <v>36.588316688252789</v>
      </c>
      <c r="AT154" s="15">
        <f t="shared" ca="1" si="173"/>
        <v>3.5997289732790376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86.393495358696896</v>
      </c>
      <c r="AY154" s="127">
        <f t="shared" ca="1" si="177"/>
        <v>3.8295526606888544</v>
      </c>
      <c r="AZ154" s="127">
        <f t="shared" ca="1" si="155"/>
        <v>46.041937258247906</v>
      </c>
      <c r="BB154" s="121">
        <f t="shared" si="178"/>
        <v>44986</v>
      </c>
      <c r="BC154" s="73">
        <f t="shared" ca="1" si="200"/>
        <v>36.588316688252789</v>
      </c>
      <c r="BD154" s="15">
        <f t="shared" ca="1" si="179"/>
        <v>3.5997289732790376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86.393495358696896</v>
      </c>
      <c r="BI154" s="127">
        <f t="shared" ca="1" si="183"/>
        <v>4.134524785654949</v>
      </c>
      <c r="BJ154" s="127">
        <f t="shared" ca="1" si="201"/>
        <v>62.459902175225636</v>
      </c>
      <c r="BL154" s="121">
        <f t="shared" si="184"/>
        <v>44986</v>
      </c>
      <c r="BM154" s="73">
        <f t="shared" ref="BM154:BM164" ca="1" si="204">+AI154</f>
        <v>36.588316688252789</v>
      </c>
      <c r="BN154" s="15">
        <f t="shared" ca="1" si="185"/>
        <v>3.5997289732790376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86.393495358696896</v>
      </c>
      <c r="BS154" s="127">
        <f t="shared" ca="1" si="189"/>
        <v>3.0250301223314366</v>
      </c>
      <c r="BT154" s="127">
        <f t="shared" ca="1" si="202"/>
        <v>20.594625059974675</v>
      </c>
      <c r="BZ154" s="583">
        <f t="shared" si="190"/>
        <v>1</v>
      </c>
      <c r="CA154" s="121">
        <f t="shared" si="191"/>
        <v>44986</v>
      </c>
      <c r="CB154" s="127">
        <f t="shared" ca="1" si="192"/>
        <v>36.588316688252789</v>
      </c>
      <c r="CC154" s="15">
        <f t="shared" ca="1" si="193"/>
        <v>3.5997289732790376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86.393495358696896</v>
      </c>
      <c r="CH154" s="127">
        <f t="shared" ca="1" si="197"/>
        <v>4.0425197682055671</v>
      </c>
      <c r="CI154" s="127">
        <f t="shared" ca="1" si="203"/>
        <v>56.969712570739674</v>
      </c>
    </row>
    <row r="155" spans="24:87" x14ac:dyDescent="0.2">
      <c r="X155" s="121">
        <f t="shared" si="159"/>
        <v>45017</v>
      </c>
      <c r="Y155" s="73">
        <f t="shared" ca="1" si="159"/>
        <v>34.759223029625488</v>
      </c>
      <c r="Z155" s="15">
        <f t="shared" ca="1" si="160"/>
        <v>3.5484449477200273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88.711123693000687</v>
      </c>
      <c r="AE155" s="127">
        <f t="shared" ca="1" si="164"/>
        <v>3.9996783305813239</v>
      </c>
      <c r="AF155" s="127">
        <f t="shared" ca="1" si="165"/>
        <v>54.580590302327899</v>
      </c>
      <c r="AH155" s="121">
        <f t="shared" si="154"/>
        <v>45017</v>
      </c>
      <c r="AI155" s="73">
        <f t="shared" ca="1" si="166"/>
        <v>38.334102145075924</v>
      </c>
      <c r="AJ155" s="15">
        <f t="shared" ca="1" si="167"/>
        <v>3.6463398954525248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91.158497386313115</v>
      </c>
      <c r="AO155" s="127">
        <f t="shared" ca="1" si="171"/>
        <v>4.0374126212455419</v>
      </c>
      <c r="AP155" s="127">
        <f t="shared" ca="1" si="198"/>
        <v>56.679501582250609</v>
      </c>
      <c r="AR155" s="121">
        <f t="shared" si="172"/>
        <v>45017</v>
      </c>
      <c r="AS155" s="73">
        <f t="shared" ca="1" si="199"/>
        <v>38.334102145075924</v>
      </c>
      <c r="AT155" s="15">
        <f t="shared" ca="1" si="173"/>
        <v>3.6463398954525248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91.158497386313115</v>
      </c>
      <c r="AY155" s="127">
        <f t="shared" ca="1" si="177"/>
        <v>3.8295526606888544</v>
      </c>
      <c r="AZ155" s="127">
        <f t="shared" ca="1" si="155"/>
        <v>46.041937258247906</v>
      </c>
      <c r="BB155" s="121">
        <f t="shared" si="178"/>
        <v>45017</v>
      </c>
      <c r="BC155" s="73">
        <f t="shared" ca="1" si="200"/>
        <v>38.334102145075924</v>
      </c>
      <c r="BD155" s="15">
        <f t="shared" ca="1" si="179"/>
        <v>3.6463398954525248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91.158497386313115</v>
      </c>
      <c r="BI155" s="127">
        <f t="shared" ca="1" si="183"/>
        <v>4.134524785654949</v>
      </c>
      <c r="BJ155" s="127">
        <f t="shared" ca="1" si="201"/>
        <v>62.459902175225636</v>
      </c>
      <c r="BL155" s="121">
        <f t="shared" si="184"/>
        <v>45017</v>
      </c>
      <c r="BM155" s="73">
        <f ca="1">+AI155</f>
        <v>38.334102145075924</v>
      </c>
      <c r="BN155" s="15">
        <f t="shared" ca="1" si="185"/>
        <v>3.6463398954525248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91.158497386313115</v>
      </c>
      <c r="BS155" s="127">
        <f t="shared" ca="1" si="189"/>
        <v>3.0250301223314366</v>
      </c>
      <c r="BT155" s="127">
        <f t="shared" ca="1" si="202"/>
        <v>20.594625059974675</v>
      </c>
      <c r="BZ155" s="583">
        <f t="shared" si="190"/>
        <v>1</v>
      </c>
      <c r="CA155" s="121">
        <f t="shared" si="191"/>
        <v>45017</v>
      </c>
      <c r="CB155" s="127">
        <f t="shared" ca="1" si="192"/>
        <v>38.334102145075924</v>
      </c>
      <c r="CC155" s="15">
        <f t="shared" ca="1" si="193"/>
        <v>3.6463398954525248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91.158497386313115</v>
      </c>
      <c r="CH155" s="127">
        <f t="shared" ca="1" si="197"/>
        <v>4.0425197682055671</v>
      </c>
      <c r="CI155" s="127">
        <f t="shared" ca="1" si="203"/>
        <v>56.969712570739674</v>
      </c>
    </row>
    <row r="156" spans="24:87" x14ac:dyDescent="0.2">
      <c r="X156" s="121">
        <f t="shared" si="159"/>
        <v>45047</v>
      </c>
      <c r="Y156" s="73">
        <f t="shared" ca="1" si="159"/>
        <v>47.723898234394554</v>
      </c>
      <c r="Z156" s="15">
        <f t="shared" ca="1" si="160"/>
        <v>3.8654322836333268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100.50123937446649</v>
      </c>
      <c r="AE156" s="127">
        <f t="shared" ca="1" si="164"/>
        <v>3.9996783305813239</v>
      </c>
      <c r="AF156" s="127">
        <f t="shared" ca="1" si="165"/>
        <v>54.580590302327899</v>
      </c>
      <c r="AH156" s="121">
        <f t="shared" si="154"/>
        <v>45047</v>
      </c>
      <c r="AI156" s="73">
        <f t="shared" ca="1" si="166"/>
        <v>39.869906264642104</v>
      </c>
      <c r="AJ156" s="15">
        <f t="shared" ca="1" si="167"/>
        <v>3.6856218103657219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95.82616706950877</v>
      </c>
      <c r="AO156" s="127">
        <f t="shared" ca="1" si="171"/>
        <v>4.0374126212455419</v>
      </c>
      <c r="AP156" s="127">
        <f t="shared" ca="1" si="198"/>
        <v>56.679501582250609</v>
      </c>
      <c r="AR156" s="121">
        <f t="shared" si="172"/>
        <v>45047</v>
      </c>
      <c r="AS156" s="73">
        <f t="shared" ca="1" si="199"/>
        <v>39.869906264642104</v>
      </c>
      <c r="AT156" s="15">
        <f t="shared" ca="1" si="173"/>
        <v>3.6856218103657219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95.82616706950877</v>
      </c>
      <c r="AY156" s="127">
        <f t="shared" ca="1" si="177"/>
        <v>3.8295526606888544</v>
      </c>
      <c r="AZ156" s="127">
        <f t="shared" ca="1" si="155"/>
        <v>46.041937258247906</v>
      </c>
      <c r="BB156" s="121">
        <f t="shared" si="178"/>
        <v>45047</v>
      </c>
      <c r="BC156" s="73">
        <f t="shared" ca="1" si="200"/>
        <v>39.869906264642104</v>
      </c>
      <c r="BD156" s="15">
        <f t="shared" ca="1" si="179"/>
        <v>3.6856218103657219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95.82616706950877</v>
      </c>
      <c r="BI156" s="127">
        <f t="shared" ca="1" si="183"/>
        <v>4.134524785654949</v>
      </c>
      <c r="BJ156" s="127">
        <f t="shared" ca="1" si="201"/>
        <v>62.459902175225636</v>
      </c>
      <c r="BL156" s="121">
        <f t="shared" si="184"/>
        <v>45047</v>
      </c>
      <c r="BM156" s="73">
        <f t="shared" ca="1" si="204"/>
        <v>39.869906264642104</v>
      </c>
      <c r="BN156" s="15">
        <f t="shared" ca="1" si="185"/>
        <v>3.6856218103657219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95.82616706950877</v>
      </c>
      <c r="BS156" s="127">
        <f t="shared" ca="1" si="189"/>
        <v>3.0250301223314366</v>
      </c>
      <c r="BT156" s="127">
        <f t="shared" ca="1" si="202"/>
        <v>20.594625059974675</v>
      </c>
      <c r="BZ156" s="583">
        <f t="shared" si="190"/>
        <v>1</v>
      </c>
      <c r="CA156" s="121">
        <f t="shared" si="191"/>
        <v>45047</v>
      </c>
      <c r="CB156" s="127">
        <f t="shared" ca="1" si="192"/>
        <v>39.869906264642104</v>
      </c>
      <c r="CC156" s="15">
        <f t="shared" ca="1" si="193"/>
        <v>3.6856218103657219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95.82616706950877</v>
      </c>
      <c r="CH156" s="127">
        <f t="shared" ca="1" si="197"/>
        <v>4.0425197682055671</v>
      </c>
      <c r="CI156" s="127">
        <f t="shared" ca="1" si="203"/>
        <v>56.969712570739674</v>
      </c>
    </row>
    <row r="157" spans="24:87" x14ac:dyDescent="0.2">
      <c r="X157" s="121">
        <f t="shared" si="159"/>
        <v>45078</v>
      </c>
      <c r="Y157" s="73">
        <f t="shared" ca="1" si="159"/>
        <v>37.06392694063927</v>
      </c>
      <c r="Z157" s="15">
        <f t="shared" ca="1" si="160"/>
        <v>3.6126441769446749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97.541392777506218</v>
      </c>
      <c r="AE157" s="127">
        <f t="shared" ca="1" si="164"/>
        <v>3.9996783305813239</v>
      </c>
      <c r="AF157" s="127">
        <f t="shared" ca="1" si="165"/>
        <v>54.580590302327899</v>
      </c>
      <c r="AH157" s="121">
        <f t="shared" si="154"/>
        <v>45078</v>
      </c>
      <c r="AI157" s="73">
        <f t="shared" ca="1" si="166"/>
        <v>39.594648073238886</v>
      </c>
      <c r="AJ157" s="15">
        <f t="shared" ca="1" si="167"/>
        <v>3.6786939594612114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99.32473690545271</v>
      </c>
      <c r="AO157" s="127">
        <f t="shared" ca="1" si="171"/>
        <v>4.0374126212455419</v>
      </c>
      <c r="AP157" s="127">
        <f t="shared" ca="1" si="198"/>
        <v>56.679501582250609</v>
      </c>
      <c r="AR157" s="121">
        <f t="shared" si="172"/>
        <v>45078</v>
      </c>
      <c r="AS157" s="73">
        <f t="shared" ca="1" si="199"/>
        <v>39.594648073238886</v>
      </c>
      <c r="AT157" s="15">
        <f t="shared" ca="1" si="173"/>
        <v>3.6786939594612114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99.32473690545271</v>
      </c>
      <c r="AY157" s="127">
        <f t="shared" ca="1" si="177"/>
        <v>3.8295526606888544</v>
      </c>
      <c r="AZ157" s="127">
        <f t="shared" ca="1" si="155"/>
        <v>46.041937258247906</v>
      </c>
      <c r="BB157" s="121">
        <f t="shared" si="178"/>
        <v>45078</v>
      </c>
      <c r="BC157" s="73">
        <f t="shared" ca="1" si="200"/>
        <v>39.594648073238886</v>
      </c>
      <c r="BD157" s="15">
        <f t="shared" ca="1" si="179"/>
        <v>3.6786939594612114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99.32473690545271</v>
      </c>
      <c r="BI157" s="127">
        <f t="shared" ca="1" si="183"/>
        <v>4.134524785654949</v>
      </c>
      <c r="BJ157" s="127">
        <f t="shared" ca="1" si="201"/>
        <v>62.459902175225636</v>
      </c>
      <c r="BL157" s="121">
        <f t="shared" si="184"/>
        <v>45078</v>
      </c>
      <c r="BM157" s="73">
        <f t="shared" ca="1" si="204"/>
        <v>39.594648073238886</v>
      </c>
      <c r="BN157" s="15">
        <f t="shared" ca="1" si="185"/>
        <v>3.6786939594612114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99.32473690545271</v>
      </c>
      <c r="BS157" s="127">
        <f t="shared" ca="1" si="189"/>
        <v>3.0250301223314366</v>
      </c>
      <c r="BT157" s="127">
        <f t="shared" ca="1" si="202"/>
        <v>20.594625059974675</v>
      </c>
      <c r="BZ157" s="583">
        <f t="shared" si="190"/>
        <v>1</v>
      </c>
      <c r="CA157" s="121">
        <f t="shared" si="191"/>
        <v>45078</v>
      </c>
      <c r="CB157" s="127">
        <f t="shared" ca="1" si="192"/>
        <v>39.594648073238886</v>
      </c>
      <c r="CC157" s="15">
        <f t="shared" ca="1" si="193"/>
        <v>3.6786939594612114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99.32473690545271</v>
      </c>
      <c r="CH157" s="127">
        <f t="shared" ca="1" si="197"/>
        <v>4.0425197682055671</v>
      </c>
      <c r="CI157" s="127">
        <f t="shared" ca="1" si="203"/>
        <v>56.969712570739674</v>
      </c>
    </row>
    <row r="158" spans="24:87" x14ac:dyDescent="0.2">
      <c r="X158" s="121">
        <f t="shared" si="159"/>
        <v>45108</v>
      </c>
      <c r="Y158" s="73">
        <f t="shared" ca="1" si="159"/>
        <v>42.973126471810502</v>
      </c>
      <c r="Z158" s="15">
        <f t="shared" ca="1" si="160"/>
        <v>3.7605749545492007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105.29609872737763</v>
      </c>
      <c r="AE158" s="127">
        <f t="shared" ca="1" si="164"/>
        <v>3.9996783305813239</v>
      </c>
      <c r="AF158" s="127">
        <f t="shared" ca="1" si="165"/>
        <v>54.580590302327899</v>
      </c>
      <c r="AH158" s="121">
        <f t="shared" si="154"/>
        <v>45108</v>
      </c>
      <c r="AI158" s="73">
        <f t="shared" ca="1" si="166"/>
        <v>41.138080078208837</v>
      </c>
      <c r="AJ158" s="15">
        <f t="shared" ca="1" si="167"/>
        <v>3.7169342151292346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104.07415802361857</v>
      </c>
      <c r="AO158" s="127">
        <f t="shared" ca="1" si="171"/>
        <v>4.0374126212455419</v>
      </c>
      <c r="AP158" s="127">
        <f t="shared" ca="1" si="198"/>
        <v>56.679501582250609</v>
      </c>
      <c r="AR158" s="121">
        <f t="shared" si="172"/>
        <v>45108</v>
      </c>
      <c r="AS158" s="73">
        <f t="shared" ca="1" si="199"/>
        <v>41.138080078208837</v>
      </c>
      <c r="AT158" s="15">
        <f t="shared" ca="1" si="173"/>
        <v>3.7169342151292346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104.07415802361857</v>
      </c>
      <c r="AY158" s="127">
        <f t="shared" ca="1" si="177"/>
        <v>3.8295526606888544</v>
      </c>
      <c r="AZ158" s="127">
        <f t="shared" ca="1" si="155"/>
        <v>46.041937258247906</v>
      </c>
      <c r="BB158" s="121">
        <f t="shared" si="178"/>
        <v>45108</v>
      </c>
      <c r="BC158" s="73">
        <f t="shared" ca="1" si="200"/>
        <v>41.138080078208837</v>
      </c>
      <c r="BD158" s="15">
        <f t="shared" ca="1" si="179"/>
        <v>3.7169342151292346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104.07415802361857</v>
      </c>
      <c r="BI158" s="127">
        <f t="shared" ca="1" si="183"/>
        <v>4.134524785654949</v>
      </c>
      <c r="BJ158" s="127">
        <f t="shared" ca="1" si="201"/>
        <v>62.459902175225636</v>
      </c>
      <c r="BL158" s="121">
        <f t="shared" si="184"/>
        <v>45108</v>
      </c>
      <c r="BM158" s="73">
        <f t="shared" ca="1" si="204"/>
        <v>41.138080078208837</v>
      </c>
      <c r="BN158" s="15">
        <f t="shared" ca="1" si="185"/>
        <v>3.7169342151292346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104.07415802361857</v>
      </c>
      <c r="BS158" s="127">
        <f t="shared" ca="1" si="189"/>
        <v>3.0250301223314366</v>
      </c>
      <c r="BT158" s="127">
        <f t="shared" ca="1" si="202"/>
        <v>20.594625059974675</v>
      </c>
      <c r="BZ158" s="583">
        <f t="shared" si="190"/>
        <v>1</v>
      </c>
      <c r="CA158" s="121">
        <f t="shared" si="191"/>
        <v>45108</v>
      </c>
      <c r="CB158" s="127">
        <f t="shared" ca="1" si="192"/>
        <v>41.138080078208837</v>
      </c>
      <c r="CC158" s="15">
        <f t="shared" ca="1" si="193"/>
        <v>3.7169342151292346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104.07415802361857</v>
      </c>
      <c r="CH158" s="127">
        <f t="shared" ca="1" si="197"/>
        <v>4.0425197682055671</v>
      </c>
      <c r="CI158" s="127">
        <f t="shared" ca="1" si="203"/>
        <v>56.969712570739674</v>
      </c>
    </row>
    <row r="159" spans="24:87" x14ac:dyDescent="0.2">
      <c r="X159" s="121">
        <f t="shared" si="159"/>
        <v>45139</v>
      </c>
      <c r="Y159" s="73">
        <f t="shared" ca="1" si="159"/>
        <v>41.941143808995001</v>
      </c>
      <c r="Z159" s="15">
        <f t="shared" ca="1" si="160"/>
        <v>3.7362672976101119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108.35175163069324</v>
      </c>
      <c r="AE159" s="127">
        <f t="shared" ca="1" si="164"/>
        <v>3.9996783305813239</v>
      </c>
      <c r="AF159" s="127">
        <f t="shared" ca="1" si="165"/>
        <v>54.580590302327899</v>
      </c>
      <c r="AH159" s="121">
        <f t="shared" si="154"/>
        <v>45139</v>
      </c>
      <c r="AI159" s="73">
        <f t="shared" ca="1" si="166"/>
        <v>41.708851981824587</v>
      </c>
      <c r="AJ159" s="15">
        <f t="shared" ca="1" si="167"/>
        <v>3.7307133840186206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108.19068813654</v>
      </c>
      <c r="AO159" s="127">
        <f t="shared" ca="1" si="171"/>
        <v>4.0374126212455419</v>
      </c>
      <c r="AP159" s="127">
        <f t="shared" ca="1" si="198"/>
        <v>56.679501582250609</v>
      </c>
      <c r="AR159" s="121">
        <f t="shared" si="172"/>
        <v>45139</v>
      </c>
      <c r="AS159" s="73">
        <f t="shared" ca="1" si="199"/>
        <v>41.708851981824587</v>
      </c>
      <c r="AT159" s="15">
        <f t="shared" ca="1" si="173"/>
        <v>3.7307133840186206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108.19068813654</v>
      </c>
      <c r="AY159" s="127">
        <f t="shared" ca="1" si="177"/>
        <v>3.8295526606888544</v>
      </c>
      <c r="AZ159" s="127">
        <f t="shared" ca="1" si="155"/>
        <v>46.041937258247906</v>
      </c>
      <c r="BB159" s="121">
        <f t="shared" si="178"/>
        <v>45139</v>
      </c>
      <c r="BC159" s="73">
        <f t="shared" ca="1" si="200"/>
        <v>41.708851981824587</v>
      </c>
      <c r="BD159" s="15">
        <f t="shared" ca="1" si="179"/>
        <v>3.7307133840186206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108.19068813654</v>
      </c>
      <c r="BI159" s="127">
        <f t="shared" ca="1" si="183"/>
        <v>4.134524785654949</v>
      </c>
      <c r="BJ159" s="127">
        <f t="shared" ca="1" si="201"/>
        <v>62.459902175225636</v>
      </c>
      <c r="BL159" s="121">
        <f t="shared" si="184"/>
        <v>45139</v>
      </c>
      <c r="BM159" s="73">
        <f t="shared" ca="1" si="204"/>
        <v>41.708851981824587</v>
      </c>
      <c r="BN159" s="15">
        <f t="shared" ca="1" si="185"/>
        <v>3.7307133840186206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108.19068813654</v>
      </c>
      <c r="BS159" s="127">
        <f t="shared" ca="1" si="189"/>
        <v>3.0250301223314366</v>
      </c>
      <c r="BT159" s="127">
        <f t="shared" ca="1" si="202"/>
        <v>20.594625059974675</v>
      </c>
      <c r="BZ159" s="583">
        <f t="shared" si="190"/>
        <v>1</v>
      </c>
      <c r="CA159" s="121">
        <f t="shared" si="191"/>
        <v>45139</v>
      </c>
      <c r="CB159" s="127">
        <f t="shared" ca="1" si="192"/>
        <v>41.708851981824587</v>
      </c>
      <c r="CC159" s="15">
        <f t="shared" ca="1" si="193"/>
        <v>3.7307133840186206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108.19068813654</v>
      </c>
      <c r="CH159" s="127">
        <f t="shared" ca="1" si="197"/>
        <v>4.0425197682055671</v>
      </c>
      <c r="CI159" s="127">
        <f t="shared" ca="1" si="203"/>
        <v>56.969712570739674</v>
      </c>
    </row>
    <row r="160" spans="24:87" x14ac:dyDescent="0.2">
      <c r="X160" s="121">
        <f t="shared" si="159"/>
        <v>45170</v>
      </c>
      <c r="Y160" s="73">
        <f t="shared" ca="1" si="159"/>
        <v>33.106569953968474</v>
      </c>
      <c r="Z160" s="15">
        <f t="shared" ca="1" si="160"/>
        <v>3.4997317507221748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104.99195252166524</v>
      </c>
      <c r="AE160" s="127">
        <f t="shared" ca="1" si="164"/>
        <v>3.9996783305813239</v>
      </c>
      <c r="AF160" s="127">
        <f t="shared" ca="1" si="165"/>
        <v>54.580590302327899</v>
      </c>
      <c r="AH160" s="121">
        <f t="shared" si="154"/>
        <v>45170</v>
      </c>
      <c r="AI160" s="73">
        <f t="shared" ca="1" si="166"/>
        <v>42.845574818283183</v>
      </c>
      <c r="AJ160" s="15">
        <f t="shared" ca="1" si="167"/>
        <v>3.7576023682589574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112.72807104776872</v>
      </c>
      <c r="AO160" s="127">
        <f t="shared" ca="1" si="171"/>
        <v>4.0374126212455419</v>
      </c>
      <c r="AP160" s="127">
        <f t="shared" ca="1" si="198"/>
        <v>56.679501582250609</v>
      </c>
      <c r="AR160" s="121">
        <f t="shared" si="172"/>
        <v>45170</v>
      </c>
      <c r="AS160" s="73">
        <f t="shared" ca="1" si="199"/>
        <v>42.845574818283183</v>
      </c>
      <c r="AT160" s="15">
        <f t="shared" ca="1" si="173"/>
        <v>3.7576023682589574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112.72807104776872</v>
      </c>
      <c r="AY160" s="127">
        <f t="shared" ca="1" si="177"/>
        <v>3.8295526606888544</v>
      </c>
      <c r="AZ160" s="127">
        <f t="shared" ca="1" si="155"/>
        <v>46.041937258247906</v>
      </c>
      <c r="BB160" s="121">
        <f t="shared" si="178"/>
        <v>45170</v>
      </c>
      <c r="BC160" s="73">
        <f t="shared" ca="1" si="200"/>
        <v>42.845574818283183</v>
      </c>
      <c r="BD160" s="15">
        <f t="shared" ca="1" si="179"/>
        <v>3.7576023682589574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112.72807104776872</v>
      </c>
      <c r="BI160" s="127">
        <f t="shared" ca="1" si="183"/>
        <v>4.134524785654949</v>
      </c>
      <c r="BJ160" s="127">
        <f t="shared" ca="1" si="201"/>
        <v>62.459902175225636</v>
      </c>
      <c r="BL160" s="121">
        <f t="shared" si="184"/>
        <v>45170</v>
      </c>
      <c r="BM160" s="73">
        <f t="shared" ca="1" si="204"/>
        <v>42.845574818283183</v>
      </c>
      <c r="BN160" s="15">
        <f t="shared" ca="1" si="185"/>
        <v>3.7576023682589574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112.72807104776872</v>
      </c>
      <c r="BS160" s="127">
        <f t="shared" ca="1" si="189"/>
        <v>3.0250301223314366</v>
      </c>
      <c r="BT160" s="127">
        <f t="shared" ca="1" si="202"/>
        <v>20.594625059974675</v>
      </c>
      <c r="BZ160" s="583">
        <f t="shared" si="190"/>
        <v>1</v>
      </c>
      <c r="CA160" s="121">
        <f t="shared" si="191"/>
        <v>45170</v>
      </c>
      <c r="CB160" s="127">
        <f t="shared" ca="1" si="192"/>
        <v>42.845574818283183</v>
      </c>
      <c r="CC160" s="15">
        <f t="shared" ca="1" si="193"/>
        <v>3.7576023682589574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112.72807104776872</v>
      </c>
      <c r="CH160" s="127">
        <f t="shared" ca="1" si="197"/>
        <v>4.0425197682055671</v>
      </c>
      <c r="CI160" s="127">
        <f t="shared" ca="1" si="203"/>
        <v>56.969712570739674</v>
      </c>
    </row>
    <row r="161" spans="24:87" x14ac:dyDescent="0.2">
      <c r="X161" s="121">
        <f t="shared" si="159"/>
        <v>45200</v>
      </c>
      <c r="Y161" s="73">
        <f t="shared" ca="1" si="159"/>
        <v>44.019815059445179</v>
      </c>
      <c r="Z161" s="15">
        <f t="shared" ca="1" si="160"/>
        <v>3.7846398748047374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117.32383611894686</v>
      </c>
      <c r="AE161" s="127">
        <f t="shared" ca="1" si="164"/>
        <v>3.9996783305813239</v>
      </c>
      <c r="AF161" s="127">
        <f t="shared" ca="1" si="165"/>
        <v>54.580590302327899</v>
      </c>
      <c r="AH161" s="121">
        <f t="shared" si="154"/>
        <v>45200</v>
      </c>
      <c r="AI161" s="73">
        <f t="shared" ca="1" si="166"/>
        <v>43.484949572981428</v>
      </c>
      <c r="AJ161" s="15">
        <f t="shared" ca="1" si="167"/>
        <v>3.7724148913993734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116.94486163338057</v>
      </c>
      <c r="AO161" s="127">
        <f t="shared" ca="1" si="171"/>
        <v>4.0374126212455419</v>
      </c>
      <c r="AP161" s="127">
        <f t="shared" ca="1" si="198"/>
        <v>56.679501582250609</v>
      </c>
      <c r="AR161" s="121">
        <f t="shared" si="172"/>
        <v>45200</v>
      </c>
      <c r="AS161" s="73">
        <f t="shared" ca="1" si="199"/>
        <v>43.484949572981428</v>
      </c>
      <c r="AT161" s="15">
        <f t="shared" ca="1" si="173"/>
        <v>3.7724148913993734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116.94486163338057</v>
      </c>
      <c r="AY161" s="127">
        <f t="shared" ca="1" si="177"/>
        <v>3.8295526606888544</v>
      </c>
      <c r="AZ161" s="127">
        <f t="shared" ca="1" si="155"/>
        <v>46.041937258247906</v>
      </c>
      <c r="BB161" s="121">
        <f t="shared" si="178"/>
        <v>45200</v>
      </c>
      <c r="BC161" s="73">
        <f t="shared" ca="1" si="200"/>
        <v>43.484949572981428</v>
      </c>
      <c r="BD161" s="15">
        <f t="shared" ca="1" si="179"/>
        <v>3.7724148913993734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116.94486163338057</v>
      </c>
      <c r="BI161" s="127">
        <f t="shared" ca="1" si="183"/>
        <v>4.134524785654949</v>
      </c>
      <c r="BJ161" s="127">
        <f t="shared" ca="1" si="201"/>
        <v>62.459902175225636</v>
      </c>
      <c r="BL161" s="121">
        <f t="shared" si="184"/>
        <v>45200</v>
      </c>
      <c r="BM161" s="73">
        <f t="shared" ca="1" si="204"/>
        <v>43.484949572981428</v>
      </c>
      <c r="BN161" s="15">
        <f t="shared" ca="1" si="185"/>
        <v>3.7724148913993734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116.94486163338057</v>
      </c>
      <c r="BS161" s="127">
        <f t="shared" ca="1" si="189"/>
        <v>3.0250301223314366</v>
      </c>
      <c r="BT161" s="127">
        <f t="shared" ca="1" si="202"/>
        <v>20.594625059974675</v>
      </c>
      <c r="BZ161" s="583">
        <f t="shared" si="190"/>
        <v>1</v>
      </c>
      <c r="CA161" s="121">
        <f t="shared" si="191"/>
        <v>45200</v>
      </c>
      <c r="CB161" s="127">
        <f t="shared" ca="1" si="192"/>
        <v>43.484949572981428</v>
      </c>
      <c r="CC161" s="15">
        <f t="shared" ca="1" si="193"/>
        <v>3.7724148913993734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116.94486163338057</v>
      </c>
      <c r="CH161" s="127">
        <f t="shared" ca="1" si="197"/>
        <v>4.0425197682055671</v>
      </c>
      <c r="CI161" s="127">
        <f t="shared" ca="1" si="203"/>
        <v>56.969712570739674</v>
      </c>
    </row>
    <row r="162" spans="24:87" x14ac:dyDescent="0.2">
      <c r="X162" s="121">
        <f t="shared" si="159"/>
        <v>45231</v>
      </c>
      <c r="Y162" s="73">
        <f t="shared" ca="1" si="159"/>
        <v>51.148529656089053</v>
      </c>
      <c r="Z162" s="15">
        <f t="shared" ca="1" si="160"/>
        <v>3.9347337462579599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125.91147988025472</v>
      </c>
      <c r="AE162" s="127">
        <f t="shared" ca="1" si="164"/>
        <v>3.9996783305813239</v>
      </c>
      <c r="AF162" s="127">
        <f t="shared" ca="1" si="165"/>
        <v>54.580590302327899</v>
      </c>
      <c r="AH162" s="121">
        <f t="shared" si="154"/>
        <v>45231</v>
      </c>
      <c r="AI162" s="73">
        <f t="shared" ca="1" si="166"/>
        <v>42.307684108216954</v>
      </c>
      <c r="AJ162" s="15">
        <f t="shared" ca="1" si="167"/>
        <v>3.74496872695918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119.83899926269376</v>
      </c>
      <c r="AO162" s="127">
        <f t="shared" ca="1" si="171"/>
        <v>4.0374126212455419</v>
      </c>
      <c r="AP162" s="127">
        <f t="shared" ca="1" si="198"/>
        <v>56.679501582250609</v>
      </c>
      <c r="AR162" s="121">
        <f t="shared" si="172"/>
        <v>45231</v>
      </c>
      <c r="AS162" s="73">
        <f t="shared" ca="1" si="199"/>
        <v>42.307684108216954</v>
      </c>
      <c r="AT162" s="15">
        <f t="shared" ca="1" si="173"/>
        <v>3.74496872695918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119.83899926269376</v>
      </c>
      <c r="AY162" s="127">
        <f t="shared" ca="1" si="177"/>
        <v>3.8295526606888544</v>
      </c>
      <c r="AZ162" s="127">
        <f t="shared" ca="1" si="155"/>
        <v>46.041937258247906</v>
      </c>
      <c r="BB162" s="121">
        <f t="shared" si="178"/>
        <v>45231</v>
      </c>
      <c r="BC162" s="73">
        <f t="shared" ca="1" si="200"/>
        <v>42.307684108216954</v>
      </c>
      <c r="BD162" s="15">
        <f t="shared" ca="1" si="179"/>
        <v>3.74496872695918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119.83899926269376</v>
      </c>
      <c r="BI162" s="127">
        <f t="shared" ca="1" si="183"/>
        <v>4.134524785654949</v>
      </c>
      <c r="BJ162" s="127">
        <f t="shared" ca="1" si="201"/>
        <v>62.459902175225636</v>
      </c>
      <c r="BL162" s="121">
        <f t="shared" si="184"/>
        <v>45231</v>
      </c>
      <c r="BM162" s="73">
        <f t="shared" ca="1" si="204"/>
        <v>42.307684108216954</v>
      </c>
      <c r="BN162" s="15">
        <f t="shared" ca="1" si="185"/>
        <v>3.74496872695918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119.83899926269376</v>
      </c>
      <c r="BS162" s="127">
        <f t="shared" ca="1" si="189"/>
        <v>3.0250301223314366</v>
      </c>
      <c r="BT162" s="127">
        <f t="shared" ca="1" si="202"/>
        <v>20.594625059974675</v>
      </c>
      <c r="BZ162" s="583">
        <f t="shared" si="190"/>
        <v>1</v>
      </c>
      <c r="CA162" s="121">
        <f t="shared" si="191"/>
        <v>45231</v>
      </c>
      <c r="CB162" s="127">
        <f t="shared" ca="1" si="192"/>
        <v>42.307684108216954</v>
      </c>
      <c r="CC162" s="15">
        <f t="shared" ca="1" si="193"/>
        <v>3.74496872695918</v>
      </c>
      <c r="CD162" s="98">
        <f t="shared" ca="1" si="194"/>
        <v>1</v>
      </c>
      <c r="CE162" s="128">
        <f ca="1">IF(CD162&gt;0,32,0)</f>
        <v>32</v>
      </c>
      <c r="CF162" s="128">
        <f t="shared" ca="1" si="195"/>
        <v>1024</v>
      </c>
      <c r="CG162" s="15">
        <f t="shared" ca="1" si="196"/>
        <v>119.83899926269376</v>
      </c>
      <c r="CH162" s="127">
        <f t="shared" ca="1" si="197"/>
        <v>4.0425197682055671</v>
      </c>
      <c r="CI162" s="127">
        <f t="shared" ca="1" si="203"/>
        <v>56.969712570739674</v>
      </c>
    </row>
    <row r="163" spans="24:87" x14ac:dyDescent="0.2">
      <c r="X163" s="121">
        <f t="shared" si="159"/>
        <v>45261</v>
      </c>
      <c r="Y163" s="73">
        <f t="shared" ca="1" si="159"/>
        <v>43.884263959390864</v>
      </c>
      <c r="Z163" s="15">
        <f t="shared" ca="1" si="160"/>
        <v>3.7815558038717749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124.79134152776857</v>
      </c>
      <c r="AE163" s="127">
        <f t="shared" ca="1" si="164"/>
        <v>3.9996783305813239</v>
      </c>
      <c r="AF163" s="127">
        <f t="shared" ca="1" si="165"/>
        <v>54.580590302327899</v>
      </c>
      <c r="AH163" s="121">
        <f t="shared" si="154"/>
        <v>45261</v>
      </c>
      <c r="AI163" s="73">
        <f t="shared" ca="1" si="166"/>
        <v>43.211595904755143</v>
      </c>
      <c r="AJ163" s="15">
        <f t="shared" ca="1" si="167"/>
        <v>3.766108882952047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124.28159313741756</v>
      </c>
      <c r="AO163" s="127">
        <f t="shared" ca="1" si="171"/>
        <v>4.0374126212455419</v>
      </c>
      <c r="AP163" s="127">
        <f t="shared" ca="1" si="198"/>
        <v>56.679501582250609</v>
      </c>
      <c r="AR163" s="121">
        <f t="shared" si="172"/>
        <v>45261</v>
      </c>
      <c r="AS163" s="73">
        <f t="shared" ca="1" si="199"/>
        <v>43.211595904755143</v>
      </c>
      <c r="AT163" s="15">
        <f t="shared" ca="1" si="173"/>
        <v>3.766108882952047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124.28159313741756</v>
      </c>
      <c r="AY163" s="127">
        <f t="shared" ca="1" si="177"/>
        <v>3.8295526606888544</v>
      </c>
      <c r="AZ163" s="127">
        <f t="shared" ca="1" si="155"/>
        <v>46.041937258247906</v>
      </c>
      <c r="BB163" s="121">
        <f t="shared" si="178"/>
        <v>45261</v>
      </c>
      <c r="BC163" s="73">
        <f t="shared" ca="1" si="200"/>
        <v>43.211595904755143</v>
      </c>
      <c r="BD163" s="15">
        <f t="shared" ca="1" si="179"/>
        <v>3.766108882952047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124.28159313741756</v>
      </c>
      <c r="BI163" s="127">
        <f t="shared" ca="1" si="183"/>
        <v>4.134524785654949</v>
      </c>
      <c r="BJ163" s="127">
        <f t="shared" ca="1" si="201"/>
        <v>62.459902175225636</v>
      </c>
      <c r="BL163" s="121">
        <f t="shared" si="184"/>
        <v>45261</v>
      </c>
      <c r="BM163" s="73">
        <f t="shared" ca="1" si="204"/>
        <v>43.211595904755143</v>
      </c>
      <c r="BN163" s="15">
        <f t="shared" ca="1" si="185"/>
        <v>3.766108882952047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124.28159313741756</v>
      </c>
      <c r="BS163" s="127">
        <f t="shared" ca="1" si="189"/>
        <v>3.0250301223314366</v>
      </c>
      <c r="BT163" s="127">
        <f t="shared" ca="1" si="202"/>
        <v>20.594625059974675</v>
      </c>
      <c r="BZ163" s="583">
        <f t="shared" si="190"/>
        <v>0</v>
      </c>
      <c r="CA163" s="121">
        <f t="shared" si="191"/>
        <v>45261</v>
      </c>
      <c r="CB163" s="127">
        <f t="shared" ca="1" si="192"/>
        <v>0</v>
      </c>
      <c r="CC163" s="15">
        <f t="shared" ca="1" si="193"/>
        <v>0</v>
      </c>
      <c r="CD163" s="98">
        <f t="shared" ca="1" si="194"/>
        <v>0</v>
      </c>
      <c r="CE163" s="128">
        <f ca="1">IF(CD163&gt;0,33,0)</f>
        <v>0</v>
      </c>
      <c r="CF163" s="128">
        <f t="shared" ca="1" si="195"/>
        <v>0</v>
      </c>
      <c r="CG163" s="15">
        <f t="shared" ca="1" si="196"/>
        <v>0</v>
      </c>
      <c r="CH163" s="127">
        <f t="shared" ca="1" si="197"/>
        <v>4.0425197682055671</v>
      </c>
      <c r="CI163" s="127">
        <f t="shared" ca="1" si="203"/>
        <v>56.969712570739674</v>
      </c>
    </row>
    <row r="164" spans="24:87" x14ac:dyDescent="0.2">
      <c r="X164" s="121">
        <f t="shared" si="159"/>
        <v>45292</v>
      </c>
      <c r="Y164" s="73">
        <f t="shared" ca="1" si="159"/>
        <v>46.809375000000003</v>
      </c>
      <c r="Z164" s="15">
        <f t="shared" ca="1" si="160"/>
        <v>3.8460835033749468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130.76683911474819</v>
      </c>
      <c r="AE164" s="127">
        <f t="shared" ca="1" si="164"/>
        <v>3.9996783305813239</v>
      </c>
      <c r="AF164" s="127">
        <f t="shared" ca="1" si="165"/>
        <v>54.580590302327899</v>
      </c>
      <c r="AH164" s="121">
        <f t="shared" si="154"/>
        <v>45292</v>
      </c>
      <c r="AI164" s="73">
        <f t="shared" ca="1" si="166"/>
        <v>43.049952073817124</v>
      </c>
      <c r="AJ164" s="15">
        <f t="shared" ca="1" si="167"/>
        <v>3.7623611176052254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127.92027799857766</v>
      </c>
      <c r="AO164" s="127">
        <f t="shared" ca="1" si="171"/>
        <v>4.0374126212455419</v>
      </c>
      <c r="AP164" s="127">
        <f t="shared" ca="1" si="198"/>
        <v>56.679501582250609</v>
      </c>
      <c r="AR164" s="121">
        <f t="shared" si="172"/>
        <v>45292</v>
      </c>
      <c r="AS164" s="73">
        <f t="shared" ca="1" si="199"/>
        <v>43.049952073817124</v>
      </c>
      <c r="AT164" s="15">
        <f t="shared" ca="1" si="173"/>
        <v>3.7623611176052254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127.92027799857766</v>
      </c>
      <c r="AY164" s="127">
        <f t="shared" ca="1" si="177"/>
        <v>3.8295526606888544</v>
      </c>
      <c r="AZ164" s="127">
        <f t="shared" ca="1" si="155"/>
        <v>46.041937258247906</v>
      </c>
      <c r="BB164" s="121">
        <f t="shared" si="178"/>
        <v>45292</v>
      </c>
      <c r="BC164" s="73">
        <f t="shared" ca="1" si="200"/>
        <v>43.049952073817124</v>
      </c>
      <c r="BD164" s="15">
        <f t="shared" ca="1" si="179"/>
        <v>3.7623611176052254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127.92027799857766</v>
      </c>
      <c r="BI164" s="127">
        <f t="shared" ca="1" si="183"/>
        <v>4.134524785654949</v>
      </c>
      <c r="BJ164" s="127">
        <f t="shared" ca="1" si="201"/>
        <v>62.459902175225636</v>
      </c>
      <c r="BL164" s="121">
        <f t="shared" si="184"/>
        <v>45292</v>
      </c>
      <c r="BM164" s="73">
        <f t="shared" ca="1" si="204"/>
        <v>43.049952073817124</v>
      </c>
      <c r="BN164" s="15">
        <f t="shared" ca="1" si="185"/>
        <v>3.7623611176052254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127.92027799857766</v>
      </c>
      <c r="BS164" s="127">
        <f t="shared" ca="1" si="189"/>
        <v>3.0250301223314366</v>
      </c>
      <c r="BT164" s="127">
        <f t="shared" ca="1" si="202"/>
        <v>20.594625059974675</v>
      </c>
      <c r="BZ164" s="583">
        <f t="shared" si="190"/>
        <v>0</v>
      </c>
      <c r="CA164" s="121">
        <f t="shared" si="191"/>
        <v>45292</v>
      </c>
      <c r="CB164" s="127">
        <f t="shared" ca="1" si="192"/>
        <v>0</v>
      </c>
      <c r="CC164" s="15">
        <f t="shared" ca="1" si="193"/>
        <v>0</v>
      </c>
      <c r="CD164" s="98">
        <f t="shared" ca="1" si="194"/>
        <v>0</v>
      </c>
      <c r="CE164" s="128">
        <f ca="1">IF(CD164&gt;0,34,0)</f>
        <v>0</v>
      </c>
      <c r="CF164" s="128">
        <f t="shared" ca="1" si="195"/>
        <v>0</v>
      </c>
      <c r="CG164" s="15">
        <f t="shared" ca="1" si="196"/>
        <v>0</v>
      </c>
      <c r="CH164" s="127">
        <f t="shared" ca="1" si="197"/>
        <v>4.0425197682055671</v>
      </c>
      <c r="CI164" s="127">
        <f t="shared" ca="1" si="203"/>
        <v>56.969712570739674</v>
      </c>
    </row>
    <row r="165" spans="24:87" x14ac:dyDescent="0.2">
      <c r="X165" s="121">
        <f t="shared" si="159"/>
        <v>45323</v>
      </c>
      <c r="Y165" s="73">
        <f t="shared" ca="1" si="159"/>
        <v>34.877551020408163</v>
      </c>
      <c r="Z165" s="15">
        <f t="shared" ca="1" si="160"/>
        <v>3.5518433850049642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124.31451847517374</v>
      </c>
      <c r="AE165" s="127">
        <f t="shared" ca="1" si="164"/>
        <v>3.9996783305813239</v>
      </c>
      <c r="AF165" s="127">
        <f t="shared" ca="1" si="165"/>
        <v>54.580590302327899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4.0374126212455419</v>
      </c>
      <c r="AP165" s="127">
        <f t="shared" ca="1" si="198"/>
        <v>56.679501582250609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3.8295526606888544</v>
      </c>
      <c r="AZ165" s="127">
        <f t="shared" ca="1" si="155"/>
        <v>46.041937258247906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4.134524785654949</v>
      </c>
      <c r="BJ165" s="127">
        <f t="shared" ca="1" si="201"/>
        <v>62.459902175225636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3.0250301223314366</v>
      </c>
      <c r="BT165" s="127">
        <f t="shared" ca="1" si="202"/>
        <v>20.594625059974675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4.0425197682055671</v>
      </c>
      <c r="CI165" s="127">
        <f t="shared" ca="1" si="203"/>
        <v>56.969712570739674</v>
      </c>
    </row>
    <row r="166" spans="24:87" x14ac:dyDescent="0.2">
      <c r="X166" s="121">
        <f t="shared" si="159"/>
        <v>45352</v>
      </c>
      <c r="Y166" s="73">
        <f t="shared" ca="1" si="159"/>
        <v>38.530040733197559</v>
      </c>
      <c r="Z166" s="15">
        <f t="shared" ca="1" si="160"/>
        <v>3.6514382158188612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131.45177576947901</v>
      </c>
      <c r="AE166" s="127">
        <f t="shared" ca="1" si="164"/>
        <v>3.9996783305813239</v>
      </c>
      <c r="AF166" s="127">
        <f t="shared" ca="1" si="165"/>
        <v>54.580590302327899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4.0374126212455419</v>
      </c>
      <c r="AP166" s="127">
        <f t="shared" ca="1" si="198"/>
        <v>56.679501582250609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3.8295526606888544</v>
      </c>
      <c r="AZ166" s="127">
        <f t="shared" ca="1" si="155"/>
        <v>46.041937258247906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4.134524785654949</v>
      </c>
      <c r="BJ166" s="127">
        <f t="shared" ca="1" si="201"/>
        <v>62.459902175225636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3.0250301223314366</v>
      </c>
      <c r="BT166" s="127">
        <f t="shared" ca="1" si="202"/>
        <v>20.594625059974675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4.0425197682055671</v>
      </c>
      <c r="CI166" s="127">
        <f t="shared" ca="1" si="203"/>
        <v>56.969712570739674</v>
      </c>
    </row>
    <row r="167" spans="24:87" x14ac:dyDescent="0.2">
      <c r="X167" s="121" t="s">
        <v>86</v>
      </c>
      <c r="Y167" s="73">
        <f t="shared" ref="Y167:AD167" ca="1" si="205">SUM(Y131:Y166)</f>
        <v>1686.3619537214856</v>
      </c>
      <c r="Z167" s="15">
        <f t="shared" ca="1" si="205"/>
        <v>137.44584793308988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2504.5831836164425</v>
      </c>
      <c r="AE167" s="66"/>
      <c r="AF167" s="120"/>
      <c r="AH167" s="121" t="s">
        <v>86</v>
      </c>
      <c r="AI167" s="73">
        <f t="shared" ref="AI167:AN167" ca="1" si="206">SUM(AI131:AI166)</f>
        <v>1425.5042616799169</v>
      </c>
      <c r="AJ167" s="15">
        <f t="shared" ca="1" si="206"/>
        <v>118.41117675424373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2227.2872976130479</v>
      </c>
      <c r="AO167" s="66"/>
      <c r="AP167" s="120"/>
      <c r="AR167" s="121" t="s">
        <v>86</v>
      </c>
      <c r="AS167" s="73">
        <f t="shared" ref="AS167:AX167" ca="1" si="207">SUM(AS131:AS166)</f>
        <v>1053.5758826637336</v>
      </c>
      <c r="AT167" s="15">
        <f t="shared" ca="1" si="207"/>
        <v>90.640761312651691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2034.3501479829572</v>
      </c>
      <c r="AY167" s="66"/>
      <c r="AZ167" s="120"/>
      <c r="BB167" s="121" t="s">
        <v>86</v>
      </c>
      <c r="BC167" s="73">
        <f t="shared" ref="BC167:BH167" ca="1" si="208">SUM(BC131:BC166)</f>
        <v>790.43311297163109</v>
      </c>
      <c r="BD167" s="15">
        <f t="shared" ca="1" si="208"/>
        <v>67.972025815188957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1727.6424727323656</v>
      </c>
      <c r="BI167" s="66"/>
      <c r="BJ167" s="120"/>
      <c r="BL167" s="121" t="s">
        <v>86</v>
      </c>
      <c r="BM167" s="73">
        <f t="shared" ref="BM167:BR167" ca="1" si="209">SUM(BM131:BM166)</f>
        <v>494.40609595938082</v>
      </c>
      <c r="BN167" s="15">
        <f t="shared" ca="1" si="209"/>
        <v>44.605623425927647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1272.796655584038</v>
      </c>
      <c r="BS167" s="66"/>
      <c r="BT167" s="120"/>
      <c r="CA167" s="121" t="s">
        <v>86</v>
      </c>
      <c r="CB167" s="73">
        <f t="shared" ref="CB167:CG167" ca="1" si="210">SUM(CB131:CB166)</f>
        <v>843.14130629352053</v>
      </c>
      <c r="CC167" s="15">
        <f t="shared" ca="1" si="210"/>
        <v>71.943417785786778</v>
      </c>
      <c r="CD167" s="98">
        <f t="shared" ca="1" si="210"/>
        <v>19</v>
      </c>
      <c r="CE167" s="128">
        <f t="shared" ca="1" si="210"/>
        <v>437</v>
      </c>
      <c r="CF167" s="7">
        <f t="shared" ca="1" si="210"/>
        <v>10621</v>
      </c>
      <c r="CG167" s="15">
        <f t="shared" ca="1" si="210"/>
        <v>1648.1056849743156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3.8179402203636079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69.571755100456741</v>
      </c>
      <c r="AH168" s="7" t="s">
        <v>176</v>
      </c>
      <c r="AI168" s="7"/>
      <c r="AJ168" s="15">
        <f ca="1">+AJ167/AK167</f>
        <v>3.8197153791691525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71.847977342356387</v>
      </c>
      <c r="AR168" s="7" t="s">
        <v>176</v>
      </c>
      <c r="AS168" s="7"/>
      <c r="AT168" s="15">
        <f ca="1">+AT167/AU167</f>
        <v>3.7766983880271536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84.764589499289883</v>
      </c>
      <c r="BB168" s="7" t="s">
        <v>176</v>
      </c>
      <c r="BC168" s="7"/>
      <c r="BD168" s="15">
        <f ca="1">+BD167/BE167</f>
        <v>3.7762236563993863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95.980137374020316</v>
      </c>
      <c r="BL168" s="7" t="s">
        <v>176</v>
      </c>
      <c r="BM168" s="7"/>
      <c r="BN168" s="15">
        <f ca="1">+BN167/BO167</f>
        <v>3.7171352854939705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106.0663879653365</v>
      </c>
      <c r="CA168" s="7" t="s">
        <v>176</v>
      </c>
      <c r="CB168" s="7"/>
      <c r="CC168" s="15">
        <f ca="1">+CC167/CD167</f>
        <v>3.7864956729361463</v>
      </c>
      <c r="CD168" s="7"/>
      <c r="CE168" s="7">
        <f ca="1">+CE167/CD167</f>
        <v>23</v>
      </c>
      <c r="CF168" s="7">
        <f ca="1">+CF167/CD167</f>
        <v>559</v>
      </c>
      <c r="CG168" s="15">
        <f ca="1">+CG167/CD167</f>
        <v>86.742404472332396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19</v>
      </c>
    </row>
    <row r="171" spans="24:87" x14ac:dyDescent="0.2">
      <c r="X171" t="s">
        <v>254</v>
      </c>
      <c r="Y171" s="66">
        <f ca="1">Z167</f>
        <v>137.44584793308988</v>
      </c>
      <c r="AH171" t="s">
        <v>254</v>
      </c>
      <c r="AI171" s="66">
        <f ca="1">AJ167</f>
        <v>118.41117675424373</v>
      </c>
      <c r="AR171" t="s">
        <v>254</v>
      </c>
      <c r="AS171" s="66">
        <f ca="1">AT167</f>
        <v>90.640761312651691</v>
      </c>
      <c r="BB171" t="s">
        <v>254</v>
      </c>
      <c r="BC171" s="66">
        <f ca="1">BD167</f>
        <v>67.972025815188957</v>
      </c>
      <c r="BL171" t="s">
        <v>254</v>
      </c>
      <c r="BM171" s="66">
        <f ca="1">BN167</f>
        <v>44.605623425927647</v>
      </c>
      <c r="CA171" t="s">
        <v>254</v>
      </c>
      <c r="CB171" s="66">
        <f ca="1">CC167</f>
        <v>71.943417785786778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69.571755100456741</v>
      </c>
      <c r="AA173" t="s">
        <v>244</v>
      </c>
      <c r="AH173" s="1" t="s">
        <v>255</v>
      </c>
      <c r="AI173" s="59">
        <f ca="1">+AN168</f>
        <v>71.847977342356387</v>
      </c>
      <c r="AK173" t="s">
        <v>244</v>
      </c>
      <c r="AR173" s="1" t="s">
        <v>255</v>
      </c>
      <c r="AS173" s="59">
        <f ca="1">+AX168</f>
        <v>84.764589499289883</v>
      </c>
      <c r="AU173" t="s">
        <v>244</v>
      </c>
      <c r="BB173" s="1" t="s">
        <v>255</v>
      </c>
      <c r="BC173" s="59">
        <f ca="1">+BH168</f>
        <v>95.980137374020316</v>
      </c>
      <c r="BE173" t="s">
        <v>244</v>
      </c>
      <c r="BL173" s="1" t="s">
        <v>255</v>
      </c>
      <c r="BM173" s="59">
        <f ca="1">+BR168</f>
        <v>106.0663879653365</v>
      </c>
      <c r="BO173" t="s">
        <v>244</v>
      </c>
      <c r="CA173" s="1" t="s">
        <v>255</v>
      </c>
      <c r="CB173" s="59">
        <f ca="1">+CG168</f>
        <v>86.742404472332396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23</v>
      </c>
    </row>
    <row r="175" spans="24:87" x14ac:dyDescent="0.2">
      <c r="X175" s="1" t="s">
        <v>256</v>
      </c>
      <c r="Y175" s="59">
        <f ca="1">Y171/Y170</f>
        <v>3.8179402203636079</v>
      </c>
      <c r="AH175" s="1" t="s">
        <v>256</v>
      </c>
      <c r="AI175" s="59">
        <f ca="1">AI171/AI170</f>
        <v>3.8197153791691525</v>
      </c>
      <c r="AR175" s="1" t="s">
        <v>256</v>
      </c>
      <c r="AS175" s="59">
        <f ca="1">AS171/AS170</f>
        <v>3.7766983880271536</v>
      </c>
      <c r="BB175" s="1" t="s">
        <v>256</v>
      </c>
      <c r="BC175" s="59">
        <f ca="1">BC171/BC170</f>
        <v>3.7762236563993863</v>
      </c>
      <c r="BL175" s="1" t="s">
        <v>256</v>
      </c>
      <c r="BM175" s="59">
        <f ca="1">BM171/BM170</f>
        <v>3.7171352854939705</v>
      </c>
      <c r="CA175" s="1" t="s">
        <v>256</v>
      </c>
      <c r="CB175" s="59">
        <f ca="1">CB171/CB170</f>
        <v>3.7864956729361463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559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529</v>
      </c>
    </row>
    <row r="178" spans="24:87" x14ac:dyDescent="0.2">
      <c r="X178" s="28" t="s">
        <v>247</v>
      </c>
      <c r="Y178" s="66">
        <f ca="1">(Y173-Y175*Y174)/(Y176-Y177)</f>
        <v>-9.8236816333900599E-3</v>
      </c>
      <c r="AH178" s="28" t="s">
        <v>247</v>
      </c>
      <c r="AI178" s="66">
        <f ca="1">(AI173-AI175*AI174)/(AI176-AI177)</f>
        <v>-9.0826857732189126E-3</v>
      </c>
      <c r="AR178" s="28" t="s">
        <v>247</v>
      </c>
      <c r="AS178" s="66">
        <f ca="1">(AS173-AS175*AS174)/(AS176-AS177)</f>
        <v>-4.4060709145268802E-3</v>
      </c>
      <c r="BB178" s="28" t="s">
        <v>247</v>
      </c>
      <c r="BC178" s="66">
        <f ca="1">(BC173-BC175*BC174)/(BC176-BC177)</f>
        <v>-1.1649505789375868E-2</v>
      </c>
      <c r="BL178" s="28" t="s">
        <v>247</v>
      </c>
      <c r="BM178" s="66">
        <f ca="1">(BM173-BM175*BM174)/(BM176-BM177)</f>
        <v>1.0743971644056298E-2</v>
      </c>
      <c r="CA178" s="28" t="s">
        <v>247</v>
      </c>
      <c r="CB178" s="66">
        <f ca="1">(CB173-CB175*CB174)/(CB176-CB177)</f>
        <v>-1.1566533506632481E-2</v>
      </c>
    </row>
    <row r="179" spans="24:87" x14ac:dyDescent="0.2">
      <c r="X179" s="28" t="s">
        <v>248</v>
      </c>
      <c r="Y179" s="66">
        <f ca="1">Y175-Y178*Y174</f>
        <v>3.9996783305813239</v>
      </c>
      <c r="AH179" s="28" t="s">
        <v>248</v>
      </c>
      <c r="AI179" s="66">
        <f ca="1">AI175-AI178*AI174</f>
        <v>3.9922864088603118</v>
      </c>
      <c r="AR179" s="28" t="s">
        <v>248</v>
      </c>
      <c r="AS179" s="66">
        <f ca="1">AS175-AS178*AS174</f>
        <v>3.8758349836040082</v>
      </c>
      <c r="BB179" s="28" t="s">
        <v>248</v>
      </c>
      <c r="BC179" s="66">
        <f ca="1">BC175-BC178*BC174</f>
        <v>4.073286054028471</v>
      </c>
      <c r="BL179" s="28" t="s">
        <v>248</v>
      </c>
      <c r="BM179" s="66">
        <f ca="1">BM175-BM178*BM174</f>
        <v>3.4109320936383662</v>
      </c>
      <c r="CA179" s="28" t="s">
        <v>248</v>
      </c>
      <c r="CB179" s="66">
        <f ca="1">CB175-CB178*CB174</f>
        <v>4.0525259435886936</v>
      </c>
    </row>
    <row r="180" spans="24:87" x14ac:dyDescent="0.2">
      <c r="X180" t="s">
        <v>249</v>
      </c>
      <c r="Y180" s="126">
        <f ca="1">EXP(12*Y178+Y179)/EXP(Y179)-1</f>
        <v>-0.11120101229281854</v>
      </c>
      <c r="AH180" t="s">
        <v>249</v>
      </c>
      <c r="AI180" s="126">
        <f ca="1">EXP(12*AI178+AI179)/EXP(AI179)-1</f>
        <v>-0.1032626142324693</v>
      </c>
      <c r="AR180" t="s">
        <v>249</v>
      </c>
      <c r="AS180" s="126">
        <f ca="1">EXP(12*AS178+AS179)/EXP(AS179)-1</f>
        <v>-5.1499394256647291E-2</v>
      </c>
      <c r="BB180" t="s">
        <v>249</v>
      </c>
      <c r="BC180" s="126">
        <f ca="1">EXP(12*BC178+BC179)/EXP(BC179)-1</f>
        <v>-0.13046271876633242</v>
      </c>
      <c r="BL180" t="s">
        <v>249</v>
      </c>
      <c r="BM180" s="126">
        <f ca="1">EXP(12*BM178+BM179)/EXP(BM179)-1</f>
        <v>0.13760782633022606</v>
      </c>
      <c r="CA180" t="s">
        <v>249</v>
      </c>
      <c r="CB180" s="126">
        <f ca="1">EXP(12*CB178+CB179)/EXP(CB179)-1</f>
        <v>-0.12959651769595726</v>
      </c>
    </row>
    <row r="181" spans="24:87" x14ac:dyDescent="0.2">
      <c r="X181" t="s">
        <v>250</v>
      </c>
      <c r="Y181" t="str">
        <f ca="1">FIXED(Y180*100,1,TRUE)</f>
        <v>-11.1</v>
      </c>
      <c r="AH181" t="s">
        <v>250</v>
      </c>
      <c r="AI181" t="str">
        <f ca="1">FIXED(AI180*100,1,TRUE)</f>
        <v>-10.3</v>
      </c>
      <c r="AR181" t="s">
        <v>250</v>
      </c>
      <c r="AS181" t="str">
        <f ca="1">FIXED(AS180*100,1,TRUE)</f>
        <v>-5.1</v>
      </c>
      <c r="BB181" t="s">
        <v>250</v>
      </c>
      <c r="BC181" t="str">
        <f ca="1">FIXED(BC180*100,1,TRUE)</f>
        <v>-13.0</v>
      </c>
      <c r="BL181" t="s">
        <v>250</v>
      </c>
      <c r="BM181" t="str">
        <f ca="1">FIXED(BM180*100,1,TRUE)</f>
        <v>13.8</v>
      </c>
      <c r="CA181" t="s">
        <v>250</v>
      </c>
      <c r="CB181" t="str">
        <f ca="1">FIXED(CB180*100,1,TRUE)</f>
        <v>-13.0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42.919151732377529</v>
      </c>
      <c r="Z193" s="15">
        <f>IF(Y193=0,0,LN(Y193))</f>
        <v>3.7593181536430866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3.7593181536430866</v>
      </c>
      <c r="AE193" s="127">
        <f ca="1">Y$116*$V193+Y$117</f>
        <v>3.9996783305813239</v>
      </c>
      <c r="AF193" s="127">
        <f ca="1">EXP(AE193)</f>
        <v>54.580590302327899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4.0374126212455419</v>
      </c>
      <c r="AP193" s="127">
        <f ca="1">EXP(AO193)</f>
        <v>56.679501582250609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3.8295526606888544</v>
      </c>
      <c r="AZ193" s="127">
        <f ca="1">EXP(AY193)</f>
        <v>46.041937258247906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4.134524785654949</v>
      </c>
      <c r="BJ193" s="127">
        <f ca="1">EXP(BI193)</f>
        <v>62.459902175225636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3.0250301223314366</v>
      </c>
      <c r="BT193" s="127">
        <f ca="1">EXP(BS193)</f>
        <v>20.594625059974675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4.0425197682055671</v>
      </c>
      <c r="CI193" s="127">
        <f ca="1">EXP(CH193)</f>
        <v>56.969712570739674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59.249342218400699</v>
      </c>
      <c r="Z194" s="15">
        <f t="shared" ref="Z194:Z228" si="213">IF(Y194=0,0,LN(Y194))</f>
        <v>4.0817546781544705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8.1635093563089409</v>
      </c>
      <c r="AE194" s="127">
        <f t="shared" ref="AE194:AE228" ca="1" si="217">Y$116*$V194+Y$117</f>
        <v>3.9996783305813239</v>
      </c>
      <c r="AF194" s="127">
        <f ca="1">EXP(AE194)</f>
        <v>54.580590302327899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4.0374126212455419</v>
      </c>
      <c r="AP194" s="127">
        <f ca="1">EXP(AO194)</f>
        <v>56.679501582250609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3.8295526606888544</v>
      </c>
      <c r="AZ194" s="127">
        <f ca="1">EXP(AY194)</f>
        <v>46.041937258247906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4.134524785654949</v>
      </c>
      <c r="BJ194" s="127">
        <f ca="1">EXP(BI194)</f>
        <v>62.459902175225636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3.0250301223314366</v>
      </c>
      <c r="BT194" s="127">
        <f ca="1">EXP(BS194)</f>
        <v>20.594625059974675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4.0425197682055671</v>
      </c>
      <c r="CI194" s="127">
        <f ca="1">EXP(CH194)</f>
        <v>56.969712570739674</v>
      </c>
    </row>
    <row r="195" spans="24:87" x14ac:dyDescent="0.2">
      <c r="X195" s="121">
        <f t="shared" si="211"/>
        <v>44348</v>
      </c>
      <c r="Y195" s="73">
        <f t="shared" si="212"/>
        <v>89.537532573289894</v>
      </c>
      <c r="Z195" s="15">
        <f t="shared" si="213"/>
        <v>4.4946578957354486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13.483973687206346</v>
      </c>
      <c r="AE195" s="127">
        <f t="shared" ca="1" si="217"/>
        <v>3.9996783305813239</v>
      </c>
      <c r="AF195" s="127">
        <f ca="1">EXP(AE195)</f>
        <v>54.580590302327899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4.0374126212455419</v>
      </c>
      <c r="AP195" s="127">
        <f ca="1">EXP(AO195)</f>
        <v>56.679501582250609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3.8295526606888544</v>
      </c>
      <c r="AZ195" s="127">
        <f ca="1">EXP(AY195)</f>
        <v>46.041937258247906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4.134524785654949</v>
      </c>
      <c r="BJ195" s="127">
        <f ca="1">EXP(BI195)</f>
        <v>62.459902175225636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3.0250301223314366</v>
      </c>
      <c r="BT195" s="127">
        <f ca="1">EXP(BS195)</f>
        <v>20.594625059974675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4.0425197682055671</v>
      </c>
      <c r="CI195" s="127">
        <f ca="1">EXP(CH195)</f>
        <v>56.969712570739674</v>
      </c>
    </row>
    <row r="196" spans="24:87" x14ac:dyDescent="0.2">
      <c r="X196" s="121">
        <f t="shared" si="211"/>
        <v>44378</v>
      </c>
      <c r="Y196" s="73">
        <f t="shared" si="212"/>
        <v>44.010058873002535</v>
      </c>
      <c r="Z196" s="15">
        <f t="shared" si="213"/>
        <v>3.7844182185408632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15.137672874163453</v>
      </c>
      <c r="AE196" s="127">
        <f t="shared" ca="1" si="217"/>
        <v>3.9996783305813239</v>
      </c>
      <c r="AF196" s="127">
        <f ca="1">EXP(AE196)</f>
        <v>54.580590302327899</v>
      </c>
      <c r="AH196" s="121">
        <f t="shared" si="218"/>
        <v>44378</v>
      </c>
      <c r="AI196" s="73">
        <f t="shared" si="219"/>
        <v>60.949740631930261</v>
      </c>
      <c r="AJ196" s="15">
        <f t="shared" si="220"/>
        <v>4.1100496004946043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16.440198401978417</v>
      </c>
      <c r="AO196" s="127">
        <f t="shared" ca="1" si="224"/>
        <v>4.0374126212455419</v>
      </c>
      <c r="AP196" s="127">
        <f ca="1">EXP(AO196)</f>
        <v>56.679501582250609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3.8295526606888544</v>
      </c>
      <c r="AZ196" s="127">
        <f ca="1">EXP(AY196)</f>
        <v>46.041937258247906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4.134524785654949</v>
      </c>
      <c r="BJ196" s="127">
        <f ca="1">EXP(BI196)</f>
        <v>62.459902175225636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3.0250301223314366</v>
      </c>
      <c r="BT196" s="127">
        <f ca="1">EXP(BS196)</f>
        <v>20.594625059974675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4.0425197682055671</v>
      </c>
      <c r="CI196" s="127">
        <f ca="1">EXP(CH196)</f>
        <v>56.969712570739674</v>
      </c>
    </row>
    <row r="197" spans="24:87" x14ac:dyDescent="0.2">
      <c r="X197" s="121">
        <f t="shared" si="211"/>
        <v>44409</v>
      </c>
      <c r="Y197" s="73">
        <f t="shared" si="212"/>
        <v>60.316068003487331</v>
      </c>
      <c r="Z197" s="15">
        <f t="shared" si="213"/>
        <v>4.0995985359564475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20.497992679782236</v>
      </c>
      <c r="AE197" s="127">
        <f t="shared" ca="1" si="217"/>
        <v>3.9996783305813239</v>
      </c>
      <c r="AF197" s="127">
        <f t="shared" ref="AF197:AF228" ca="1" si="251">EXP(AE197)</f>
        <v>54.580590302327899</v>
      </c>
      <c r="AH197" s="121">
        <f t="shared" si="218"/>
        <v>44409</v>
      </c>
      <c r="AI197" s="73">
        <f t="shared" si="219"/>
        <v>60.521242705828733</v>
      </c>
      <c r="AJ197" s="15">
        <f t="shared" si="220"/>
        <v>4.1029944225135155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20.514972112567577</v>
      </c>
      <c r="AO197" s="127">
        <f t="shared" ca="1" si="224"/>
        <v>4.0374126212455419</v>
      </c>
      <c r="AP197" s="127">
        <f t="shared" ref="AP197:AP228" ca="1" si="252">EXP(AO197)</f>
        <v>56.679501582250609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3.8295526606888544</v>
      </c>
      <c r="AZ197" s="127">
        <f t="shared" ref="AZ197:AZ228" ca="1" si="253">EXP(AY197)</f>
        <v>46.041937258247906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4.134524785654949</v>
      </c>
      <c r="BJ197" s="127">
        <f t="shared" ref="BJ197:BJ228" ca="1" si="254">EXP(BI197)</f>
        <v>62.459902175225636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3.0250301223314366</v>
      </c>
      <c r="BT197" s="127">
        <f t="shared" ref="BT197:BT228" ca="1" si="255">EXP(BS197)</f>
        <v>20.594625059974675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4.0425197682055671</v>
      </c>
      <c r="CI197" s="127">
        <f t="shared" ref="CI197:CI228" ca="1" si="256">EXP(CH197)</f>
        <v>56.969712570739674</v>
      </c>
    </row>
    <row r="198" spans="24:87" x14ac:dyDescent="0.2">
      <c r="X198" s="121">
        <f t="shared" si="211"/>
        <v>44440</v>
      </c>
      <c r="Y198" s="73">
        <f t="shared" si="212"/>
        <v>47.366209964412811</v>
      </c>
      <c r="Z198" s="15">
        <f t="shared" si="213"/>
        <v>3.8579091045393308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23.147454627235984</v>
      </c>
      <c r="AE198" s="127">
        <f t="shared" ca="1" si="217"/>
        <v>3.9996783305813239</v>
      </c>
      <c r="AF198" s="127">
        <f t="shared" ca="1" si="251"/>
        <v>54.580590302327899</v>
      </c>
      <c r="AH198" s="121">
        <f t="shared" si="218"/>
        <v>44440</v>
      </c>
      <c r="AI198" s="73">
        <f t="shared" si="219"/>
        <v>54.076775346491452</v>
      </c>
      <c r="AJ198" s="15">
        <f t="shared" si="220"/>
        <v>3.9904048024881975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23.942428814929187</v>
      </c>
      <c r="AO198" s="127">
        <f t="shared" ca="1" si="224"/>
        <v>4.0374126212455419</v>
      </c>
      <c r="AP198" s="127">
        <f t="shared" ca="1" si="252"/>
        <v>56.679501582250609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3.8295526606888544</v>
      </c>
      <c r="AZ198" s="127">
        <f t="shared" ca="1" si="253"/>
        <v>46.041937258247906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4.134524785654949</v>
      </c>
      <c r="BJ198" s="127">
        <f t="shared" ca="1" si="254"/>
        <v>62.459902175225636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3.0250301223314366</v>
      </c>
      <c r="BT198" s="127">
        <f t="shared" ca="1" si="255"/>
        <v>20.594625059974675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4.0425197682055671</v>
      </c>
      <c r="CI198" s="127">
        <f t="shared" ca="1" si="256"/>
        <v>56.969712570739674</v>
      </c>
    </row>
    <row r="199" spans="24:87" x14ac:dyDescent="0.2">
      <c r="X199" s="121">
        <f t="shared" si="211"/>
        <v>44470</v>
      </c>
      <c r="Y199" s="73">
        <f t="shared" si="212"/>
        <v>65.219232158988262</v>
      </c>
      <c r="Z199" s="15">
        <f t="shared" si="213"/>
        <v>4.177754397200613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29.244280780404292</v>
      </c>
      <c r="AE199" s="127">
        <f t="shared" ca="1" si="217"/>
        <v>3.9996783305813239</v>
      </c>
      <c r="AF199" s="127">
        <f t="shared" ca="1" si="251"/>
        <v>54.580590302327899</v>
      </c>
      <c r="AH199" s="121">
        <f t="shared" si="218"/>
        <v>44470</v>
      </c>
      <c r="AI199" s="73">
        <f t="shared" si="219"/>
        <v>52.922063795715268</v>
      </c>
      <c r="AJ199" s="15">
        <f t="shared" si="220"/>
        <v>3.9688203368936548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27.781742358255585</v>
      </c>
      <c r="AO199" s="127">
        <f t="shared" ca="1" si="224"/>
        <v>4.0374126212455419</v>
      </c>
      <c r="AP199" s="127">
        <f t="shared" ca="1" si="252"/>
        <v>56.679501582250609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3.8295526606888544</v>
      </c>
      <c r="AZ199" s="127">
        <f t="shared" ca="1" si="253"/>
        <v>46.041937258247906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4.134524785654949</v>
      </c>
      <c r="BJ199" s="127">
        <f t="shared" ca="1" si="254"/>
        <v>62.459902175225636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3.0250301223314366</v>
      </c>
      <c r="BT199" s="127">
        <f t="shared" ca="1" si="255"/>
        <v>20.594625059974675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4.0425197682055671</v>
      </c>
      <c r="CI199" s="127">
        <f t="shared" ca="1" si="256"/>
        <v>56.969712570739674</v>
      </c>
    </row>
    <row r="200" spans="24:87" x14ac:dyDescent="0.2">
      <c r="X200" s="121">
        <f t="shared" si="211"/>
        <v>44501</v>
      </c>
      <c r="Y200" s="73">
        <f t="shared" si="212"/>
        <v>56.678354661791616</v>
      </c>
      <c r="Z200" s="15">
        <f t="shared" si="213"/>
        <v>4.0373923858512422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32.299139086809937</v>
      </c>
      <c r="AE200" s="127">
        <f t="shared" ca="1" si="217"/>
        <v>3.9996783305813239</v>
      </c>
      <c r="AF200" s="127">
        <f t="shared" ca="1" si="251"/>
        <v>54.580590302327899</v>
      </c>
      <c r="AH200" s="121">
        <f t="shared" si="218"/>
        <v>44501</v>
      </c>
      <c r="AI200" s="73">
        <f t="shared" si="219"/>
        <v>50.380168600563898</v>
      </c>
      <c r="AJ200" s="15">
        <f t="shared" si="220"/>
        <v>3.9195976174961551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31.356780939969241</v>
      </c>
      <c r="AO200" s="127">
        <f t="shared" ca="1" si="224"/>
        <v>4.0374126212455419</v>
      </c>
      <c r="AP200" s="127">
        <f t="shared" ca="1" si="252"/>
        <v>56.679501582250609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3.8295526606888544</v>
      </c>
      <c r="AZ200" s="127">
        <f t="shared" ca="1" si="253"/>
        <v>46.041937258247906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4.134524785654949</v>
      </c>
      <c r="BJ200" s="127">
        <f t="shared" ca="1" si="254"/>
        <v>62.459902175225636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3.0250301223314366</v>
      </c>
      <c r="BT200" s="127">
        <f t="shared" ca="1" si="255"/>
        <v>20.594625059974675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4.0425197682055671</v>
      </c>
      <c r="CI200" s="127">
        <f t="shared" ca="1" si="256"/>
        <v>56.969712570739674</v>
      </c>
    </row>
    <row r="201" spans="24:87" x14ac:dyDescent="0.2">
      <c r="X201" s="121">
        <f t="shared" si="211"/>
        <v>44531</v>
      </c>
      <c r="Y201" s="73">
        <f t="shared" si="212"/>
        <v>50.870728417266207</v>
      </c>
      <c r="Z201" s="15">
        <f t="shared" si="213"/>
        <v>3.9292876779235488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35.363589101311938</v>
      </c>
      <c r="AE201" s="127">
        <f t="shared" ca="1" si="217"/>
        <v>3.9996783305813239</v>
      </c>
      <c r="AF201" s="127">
        <f t="shared" ca="1" si="251"/>
        <v>54.580590302327899</v>
      </c>
      <c r="AH201" s="121">
        <f t="shared" si="218"/>
        <v>44531</v>
      </c>
      <c r="AI201" s="73">
        <f t="shared" si="219"/>
        <v>48.640650662150392</v>
      </c>
      <c r="AJ201" s="15">
        <f t="shared" si="220"/>
        <v>3.8844596146685704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34.960136532017131</v>
      </c>
      <c r="AO201" s="127">
        <f t="shared" ca="1" si="224"/>
        <v>4.0374126212455419</v>
      </c>
      <c r="AP201" s="127">
        <f t="shared" ca="1" si="252"/>
        <v>56.679501582250609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3.8295526606888544</v>
      </c>
      <c r="AZ201" s="127">
        <f t="shared" ca="1" si="253"/>
        <v>46.041937258247906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4.134524785654949</v>
      </c>
      <c r="BJ201" s="127">
        <f t="shared" ca="1" si="254"/>
        <v>62.459902175225636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3.0250301223314366</v>
      </c>
      <c r="BT201" s="127">
        <f t="shared" ca="1" si="255"/>
        <v>20.594625059974675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4.0425197682055671</v>
      </c>
      <c r="CI201" s="127">
        <f t="shared" ca="1" si="256"/>
        <v>56.969712570739674</v>
      </c>
    </row>
    <row r="202" spans="24:87" x14ac:dyDescent="0.2">
      <c r="X202" s="121">
        <f t="shared" si="211"/>
        <v>44562</v>
      </c>
      <c r="Y202" s="73">
        <f t="shared" si="212"/>
        <v>37.081789568345329</v>
      </c>
      <c r="Z202" s="15">
        <f t="shared" si="213"/>
        <v>3.6131260018940492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36.131260018940495</v>
      </c>
      <c r="AE202" s="127">
        <f t="shared" ca="1" si="217"/>
        <v>3.9996783305813239</v>
      </c>
      <c r="AF202" s="127">
        <f t="shared" ca="1" si="251"/>
        <v>54.580590302327899</v>
      </c>
      <c r="AH202" s="121">
        <f t="shared" si="218"/>
        <v>44562</v>
      </c>
      <c r="AI202" s="73">
        <f t="shared" si="219"/>
        <v>44.437737273503167</v>
      </c>
      <c r="AJ202" s="15">
        <f t="shared" si="220"/>
        <v>3.7940890470373207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37.940890470373205</v>
      </c>
      <c r="AO202" s="127">
        <f t="shared" ca="1" si="224"/>
        <v>4.0374126212455419</v>
      </c>
      <c r="AP202" s="127">
        <f t="shared" ca="1" si="252"/>
        <v>56.679501582250609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3.8295526606888544</v>
      </c>
      <c r="AZ202" s="127">
        <f t="shared" ca="1" si="253"/>
        <v>46.041937258247906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4.134524785654949</v>
      </c>
      <c r="BJ202" s="127">
        <f t="shared" ca="1" si="254"/>
        <v>62.459902175225636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3.0250301223314366</v>
      </c>
      <c r="BT202" s="127">
        <f t="shared" ca="1" si="255"/>
        <v>20.594625059974675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4.0425197682055671</v>
      </c>
      <c r="CI202" s="127">
        <f t="shared" ca="1" si="256"/>
        <v>56.969712570739674</v>
      </c>
    </row>
    <row r="203" spans="24:87" x14ac:dyDescent="0.2">
      <c r="X203" s="121">
        <f t="shared" si="211"/>
        <v>44593</v>
      </c>
      <c r="Y203" s="73">
        <f t="shared" si="212"/>
        <v>45.064696832579187</v>
      </c>
      <c r="Z203" s="15">
        <f t="shared" si="213"/>
        <v>3.8080991646492124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41.889090811141337</v>
      </c>
      <c r="AE203" s="127">
        <f t="shared" ca="1" si="217"/>
        <v>3.9996783305813239</v>
      </c>
      <c r="AF203" s="127">
        <f t="shared" ca="1" si="251"/>
        <v>54.580590302327899</v>
      </c>
      <c r="AH203" s="121">
        <f t="shared" si="218"/>
        <v>44593</v>
      </c>
      <c r="AI203" s="73">
        <f t="shared" si="219"/>
        <v>41.43325922780074</v>
      </c>
      <c r="AJ203" s="15">
        <f t="shared" si="220"/>
        <v>3.7240839212983015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40.964923134281314</v>
      </c>
      <c r="AO203" s="127">
        <f t="shared" ca="1" si="224"/>
        <v>4.0374126212455419</v>
      </c>
      <c r="AP203" s="127">
        <f t="shared" ca="1" si="252"/>
        <v>56.679501582250609</v>
      </c>
      <c r="AR203" s="121">
        <f t="shared" si="225"/>
        <v>44593</v>
      </c>
      <c r="AS203" s="73">
        <f>+$AI203</f>
        <v>41.43325922780074</v>
      </c>
      <c r="AT203" s="15">
        <f t="shared" si="226"/>
        <v>3.7240839212983015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40.964923134281314</v>
      </c>
      <c r="AY203" s="127">
        <f t="shared" ca="1" si="230"/>
        <v>3.8295526606888544</v>
      </c>
      <c r="AZ203" s="127">
        <f t="shared" ca="1" si="253"/>
        <v>46.041937258247906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4.134524785654949</v>
      </c>
      <c r="BJ203" s="127">
        <f t="shared" ca="1" si="254"/>
        <v>62.459902175225636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3.0250301223314366</v>
      </c>
      <c r="BT203" s="127">
        <f t="shared" ca="1" si="255"/>
        <v>20.594625059974675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4.0425197682055671</v>
      </c>
      <c r="CI203" s="127">
        <f t="shared" ca="1" si="256"/>
        <v>56.969712570739674</v>
      </c>
    </row>
    <row r="204" spans="24:87" x14ac:dyDescent="0.2">
      <c r="X204" s="121">
        <f t="shared" si="211"/>
        <v>44621</v>
      </c>
      <c r="Y204" s="73">
        <f t="shared" si="212"/>
        <v>36.92910233393178</v>
      </c>
      <c r="Z204" s="15">
        <f t="shared" si="213"/>
        <v>3.6089999213373045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43.307999056047656</v>
      </c>
      <c r="AE204" s="127">
        <f t="shared" ca="1" si="217"/>
        <v>3.9996783305813239</v>
      </c>
      <c r="AF204" s="127">
        <f t="shared" ca="1" si="251"/>
        <v>54.580590302327899</v>
      </c>
      <c r="AH204" s="121">
        <f t="shared" si="218"/>
        <v>44621</v>
      </c>
      <c r="AI204" s="73">
        <f t="shared" si="219"/>
        <v>40.633633165262971</v>
      </c>
      <c r="AJ204" s="15">
        <f t="shared" si="220"/>
        <v>3.7045961267565262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44.455153521078316</v>
      </c>
      <c r="AO204" s="127">
        <f t="shared" ca="1" si="224"/>
        <v>4.0374126212455419</v>
      </c>
      <c r="AP204" s="127">
        <f t="shared" ca="1" si="252"/>
        <v>56.679501582250609</v>
      </c>
      <c r="AR204" s="121">
        <f t="shared" si="225"/>
        <v>44621</v>
      </c>
      <c r="AS204" s="73">
        <f t="shared" ref="AS204:AS226" si="257">+$AI204</f>
        <v>40.633633165262971</v>
      </c>
      <c r="AT204" s="15">
        <f t="shared" si="226"/>
        <v>3.7045961267565262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44.455153521078316</v>
      </c>
      <c r="AY204" s="127">
        <f t="shared" ca="1" si="230"/>
        <v>3.8295526606888544</v>
      </c>
      <c r="AZ204" s="127">
        <f t="shared" ca="1" si="253"/>
        <v>46.041937258247906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4.134524785654949</v>
      </c>
      <c r="BJ204" s="127">
        <f t="shared" ca="1" si="254"/>
        <v>62.459902175225636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3.0250301223314366</v>
      </c>
      <c r="BT204" s="127">
        <f t="shared" ca="1" si="255"/>
        <v>20.594625059974675</v>
      </c>
      <c r="BZ204" s="583">
        <f t="shared" si="243"/>
        <v>0</v>
      </c>
      <c r="CA204" s="121">
        <f t="shared" si="244"/>
        <v>44621</v>
      </c>
      <c r="CB204" s="127">
        <f t="shared" si="245"/>
        <v>0</v>
      </c>
      <c r="CC204" s="15">
        <f t="shared" si="246"/>
        <v>0</v>
      </c>
      <c r="CD204" s="98">
        <f t="shared" si="247"/>
        <v>0</v>
      </c>
      <c r="CE204" s="128">
        <f>IF(CD204&gt;0,12,0)</f>
        <v>0</v>
      </c>
      <c r="CF204" s="128">
        <f t="shared" si="248"/>
        <v>0</v>
      </c>
      <c r="CG204" s="15">
        <f t="shared" si="249"/>
        <v>0</v>
      </c>
      <c r="CH204" s="127">
        <f t="shared" ca="1" si="250"/>
        <v>4.0425197682055671</v>
      </c>
      <c r="CI204" s="127">
        <f t="shared" ca="1" si="256"/>
        <v>56.969712570739674</v>
      </c>
    </row>
    <row r="205" spans="24:87" x14ac:dyDescent="0.2">
      <c r="X205" s="121">
        <f t="shared" si="211"/>
        <v>44652</v>
      </c>
      <c r="Y205" s="73">
        <f t="shared" si="212"/>
        <v>40.001751827104876</v>
      </c>
      <c r="Z205" s="15">
        <f t="shared" si="213"/>
        <v>3.6889232488325554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47.956002234823217</v>
      </c>
      <c r="AE205" s="127">
        <f t="shared" ca="1" si="217"/>
        <v>3.9996783305813239</v>
      </c>
      <c r="AF205" s="127">
        <f t="shared" ca="1" si="251"/>
        <v>54.580590302327899</v>
      </c>
      <c r="AH205" s="121">
        <f t="shared" si="218"/>
        <v>44652</v>
      </c>
      <c r="AI205" s="73">
        <f t="shared" si="219"/>
        <v>42.106135998577123</v>
      </c>
      <c r="AJ205" s="15">
        <f t="shared" si="220"/>
        <v>3.7401934782528308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48.622515217286804</v>
      </c>
      <c r="AO205" s="127">
        <f t="shared" ca="1" si="224"/>
        <v>4.0374126212455419</v>
      </c>
      <c r="AP205" s="127">
        <f t="shared" ca="1" si="252"/>
        <v>56.679501582250609</v>
      </c>
      <c r="AR205" s="121">
        <f t="shared" si="225"/>
        <v>44652</v>
      </c>
      <c r="AS205" s="73">
        <f>+$AI205</f>
        <v>42.106135998577123</v>
      </c>
      <c r="AT205" s="15">
        <f t="shared" si="226"/>
        <v>3.7401934782528308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48.622515217286804</v>
      </c>
      <c r="AY205" s="127">
        <f t="shared" ca="1" si="230"/>
        <v>3.8295526606888544</v>
      </c>
      <c r="AZ205" s="127">
        <f t="shared" ca="1" si="253"/>
        <v>46.041937258247906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4.134524785654949</v>
      </c>
      <c r="BJ205" s="127">
        <f t="shared" ca="1" si="254"/>
        <v>62.459902175225636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3.0250301223314366</v>
      </c>
      <c r="BT205" s="127">
        <f t="shared" ca="1" si="255"/>
        <v>20.594625059974675</v>
      </c>
      <c r="BZ205" s="583">
        <f t="shared" si="243"/>
        <v>0</v>
      </c>
      <c r="CA205" s="121">
        <f t="shared" si="244"/>
        <v>44652</v>
      </c>
      <c r="CB205" s="127">
        <f t="shared" si="245"/>
        <v>0</v>
      </c>
      <c r="CC205" s="15">
        <f t="shared" si="246"/>
        <v>0</v>
      </c>
      <c r="CD205" s="98">
        <f t="shared" si="247"/>
        <v>0</v>
      </c>
      <c r="CE205" s="128">
        <f>IF(CD205&gt;0,13,0)</f>
        <v>0</v>
      </c>
      <c r="CF205" s="128">
        <f t="shared" si="248"/>
        <v>0</v>
      </c>
      <c r="CG205" s="15">
        <f t="shared" si="249"/>
        <v>0</v>
      </c>
      <c r="CH205" s="127">
        <f t="shared" ca="1" si="250"/>
        <v>4.0425197682055671</v>
      </c>
      <c r="CI205" s="127">
        <f t="shared" ca="1" si="256"/>
        <v>56.969712570739674</v>
      </c>
    </row>
    <row r="206" spans="24:87" x14ac:dyDescent="0.2">
      <c r="X206" s="121">
        <f t="shared" si="211"/>
        <v>44682</v>
      </c>
      <c r="Y206" s="73">
        <f t="shared" si="212"/>
        <v>38.651486387577066</v>
      </c>
      <c r="Z206" s="15">
        <f t="shared" si="213"/>
        <v>3.6545852319285492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51.164193246999687</v>
      </c>
      <c r="AE206" s="127">
        <f t="shared" ca="1" si="217"/>
        <v>3.9996783305813239</v>
      </c>
      <c r="AF206" s="127">
        <f t="shared" ca="1" si="251"/>
        <v>54.580590302327899</v>
      </c>
      <c r="AH206" s="121">
        <f t="shared" si="218"/>
        <v>44682</v>
      </c>
      <c r="AI206" s="73">
        <f t="shared" si="219"/>
        <v>42.224036231560753</v>
      </c>
      <c r="AJ206" s="15">
        <f t="shared" si="220"/>
        <v>3.7429896378403829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52.401854929765364</v>
      </c>
      <c r="AO206" s="127">
        <f t="shared" ca="1" si="224"/>
        <v>4.0374126212455419</v>
      </c>
      <c r="AP206" s="127">
        <f t="shared" ca="1" si="252"/>
        <v>56.679501582250609</v>
      </c>
      <c r="AR206" s="121">
        <f t="shared" si="225"/>
        <v>44682</v>
      </c>
      <c r="AS206" s="73">
        <f t="shared" si="257"/>
        <v>42.224036231560753</v>
      </c>
      <c r="AT206" s="15">
        <f t="shared" si="226"/>
        <v>3.7429896378403829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52.401854929765364</v>
      </c>
      <c r="AY206" s="127">
        <f t="shared" ca="1" si="230"/>
        <v>3.8295526606888544</v>
      </c>
      <c r="AZ206" s="127">
        <f t="shared" ca="1" si="253"/>
        <v>46.041937258247906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4.134524785654949</v>
      </c>
      <c r="BJ206" s="127">
        <f t="shared" ca="1" si="254"/>
        <v>62.459902175225636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3.0250301223314366</v>
      </c>
      <c r="BT206" s="127">
        <f t="shared" ca="1" si="255"/>
        <v>20.594625059974675</v>
      </c>
      <c r="BZ206" s="583">
        <f t="shared" si="243"/>
        <v>1</v>
      </c>
      <c r="CA206" s="121">
        <f t="shared" si="244"/>
        <v>44682</v>
      </c>
      <c r="CB206" s="127">
        <f t="shared" si="245"/>
        <v>42.224036231560753</v>
      </c>
      <c r="CC206" s="15">
        <f t="shared" si="246"/>
        <v>3.7429896378403829</v>
      </c>
      <c r="CD206" s="98">
        <f t="shared" si="247"/>
        <v>1</v>
      </c>
      <c r="CE206" s="128">
        <f>IF(CD206&gt;0,14,0)</f>
        <v>14</v>
      </c>
      <c r="CF206" s="128">
        <f t="shared" si="248"/>
        <v>196</v>
      </c>
      <c r="CG206" s="15">
        <f t="shared" si="249"/>
        <v>52.401854929765364</v>
      </c>
      <c r="CH206" s="127">
        <f t="shared" ca="1" si="250"/>
        <v>4.0425197682055671</v>
      </c>
      <c r="CI206" s="127">
        <f t="shared" ca="1" si="256"/>
        <v>56.969712570739674</v>
      </c>
    </row>
    <row r="207" spans="24:87" x14ac:dyDescent="0.2">
      <c r="X207" s="121">
        <f t="shared" si="211"/>
        <v>44713</v>
      </c>
      <c r="Y207" s="73">
        <f t="shared" si="212"/>
        <v>46.072972042039574</v>
      </c>
      <c r="Z207" s="15">
        <f t="shared" si="213"/>
        <v>3.8302264883070256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57.453397324605383</v>
      </c>
      <c r="AE207" s="127">
        <f t="shared" ca="1" si="217"/>
        <v>3.9996783305813239</v>
      </c>
      <c r="AF207" s="127">
        <f t="shared" ca="1" si="251"/>
        <v>54.580590302327899</v>
      </c>
      <c r="AH207" s="121">
        <f t="shared" si="218"/>
        <v>44713</v>
      </c>
      <c r="AI207" s="73">
        <f t="shared" si="219"/>
        <v>46.839594654292881</v>
      </c>
      <c r="AJ207" s="15">
        <f t="shared" si="220"/>
        <v>3.8467288848554553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57.700933272831833</v>
      </c>
      <c r="AO207" s="127">
        <f t="shared" ca="1" si="224"/>
        <v>4.0374126212455419</v>
      </c>
      <c r="AP207" s="127">
        <f t="shared" ca="1" si="252"/>
        <v>56.679501582250609</v>
      </c>
      <c r="AR207" s="121">
        <f t="shared" si="225"/>
        <v>44713</v>
      </c>
      <c r="AS207" s="73">
        <f t="shared" si="257"/>
        <v>46.839594654292881</v>
      </c>
      <c r="AT207" s="15">
        <f t="shared" si="226"/>
        <v>3.8467288848554553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57.700933272831833</v>
      </c>
      <c r="AY207" s="127">
        <f t="shared" ca="1" si="230"/>
        <v>3.8295526606888544</v>
      </c>
      <c r="AZ207" s="127">
        <f t="shared" ca="1" si="253"/>
        <v>46.041937258247906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4.134524785654949</v>
      </c>
      <c r="BJ207" s="127">
        <f t="shared" ca="1" si="254"/>
        <v>62.459902175225636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3.0250301223314366</v>
      </c>
      <c r="BT207" s="127">
        <f t="shared" ca="1" si="255"/>
        <v>20.594625059974675</v>
      </c>
      <c r="BZ207" s="583">
        <f t="shared" si="243"/>
        <v>1</v>
      </c>
      <c r="CA207" s="121">
        <f t="shared" si="244"/>
        <v>44713</v>
      </c>
      <c r="CB207" s="127">
        <f t="shared" si="245"/>
        <v>46.839594654292881</v>
      </c>
      <c r="CC207" s="15">
        <f t="shared" si="246"/>
        <v>3.8467288848554553</v>
      </c>
      <c r="CD207" s="98">
        <f t="shared" si="247"/>
        <v>1</v>
      </c>
      <c r="CE207" s="128">
        <f>IF(CD207&gt;0,15,0)</f>
        <v>15</v>
      </c>
      <c r="CF207" s="128">
        <f t="shared" si="248"/>
        <v>225</v>
      </c>
      <c r="CG207" s="15">
        <f t="shared" si="249"/>
        <v>57.700933272831833</v>
      </c>
      <c r="CH207" s="127">
        <f t="shared" ca="1" si="250"/>
        <v>4.0425197682055671</v>
      </c>
      <c r="CI207" s="127">
        <f t="shared" ca="1" si="256"/>
        <v>56.969712570739674</v>
      </c>
    </row>
    <row r="208" spans="24:87" x14ac:dyDescent="0.2">
      <c r="X208" s="121">
        <f t="shared" si="211"/>
        <v>44743</v>
      </c>
      <c r="Y208" s="73">
        <f t="shared" si="212"/>
        <v>45.916806568230278</v>
      </c>
      <c r="Z208" s="15">
        <f t="shared" si="213"/>
        <v>3.8268312062182823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61.229299299492517</v>
      </c>
      <c r="AE208" s="127">
        <f t="shared" ca="1" si="217"/>
        <v>3.9996783305813239</v>
      </c>
      <c r="AF208" s="127">
        <f t="shared" ca="1" si="251"/>
        <v>54.580590302327899</v>
      </c>
      <c r="AH208" s="121">
        <f t="shared" si="218"/>
        <v>44743</v>
      </c>
      <c r="AI208" s="73">
        <f t="shared" si="219"/>
        <v>49.906110414608172</v>
      </c>
      <c r="AJ208" s="15">
        <f t="shared" si="220"/>
        <v>3.9101434484592525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62.562295175348041</v>
      </c>
      <c r="AO208" s="127">
        <f t="shared" ca="1" si="224"/>
        <v>4.0374126212455419</v>
      </c>
      <c r="AP208" s="127">
        <f t="shared" ca="1" si="252"/>
        <v>56.679501582250609</v>
      </c>
      <c r="AR208" s="121">
        <f t="shared" si="225"/>
        <v>44743</v>
      </c>
      <c r="AS208" s="73">
        <f t="shared" si="257"/>
        <v>49.906110414608172</v>
      </c>
      <c r="AT208" s="15">
        <f t="shared" si="226"/>
        <v>3.9101434484592525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62.562295175348041</v>
      </c>
      <c r="AY208" s="127">
        <f t="shared" ca="1" si="230"/>
        <v>3.8295526606888544</v>
      </c>
      <c r="AZ208" s="127">
        <f t="shared" ca="1" si="253"/>
        <v>46.041937258247906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4.134524785654949</v>
      </c>
      <c r="BJ208" s="127">
        <f t="shared" ca="1" si="254"/>
        <v>62.459902175225636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3.0250301223314366</v>
      </c>
      <c r="BT208" s="127">
        <f t="shared" ca="1" si="255"/>
        <v>20.594625059974675</v>
      </c>
      <c r="BZ208" s="583">
        <f t="shared" si="243"/>
        <v>1</v>
      </c>
      <c r="CA208" s="121">
        <f t="shared" si="244"/>
        <v>44743</v>
      </c>
      <c r="CB208" s="127">
        <f t="shared" si="245"/>
        <v>49.906110414608172</v>
      </c>
      <c r="CC208" s="15">
        <f t="shared" si="246"/>
        <v>3.9101434484592525</v>
      </c>
      <c r="CD208" s="98">
        <f t="shared" si="247"/>
        <v>1</v>
      </c>
      <c r="CE208" s="128">
        <f>IF(CD208&gt;0,16,0)</f>
        <v>16</v>
      </c>
      <c r="CF208" s="128">
        <f t="shared" si="248"/>
        <v>256</v>
      </c>
      <c r="CG208" s="15">
        <f t="shared" si="249"/>
        <v>62.562295175348041</v>
      </c>
      <c r="CH208" s="127">
        <f t="shared" ca="1" si="250"/>
        <v>4.0425197682055671</v>
      </c>
      <c r="CI208" s="127">
        <f t="shared" ca="1" si="256"/>
        <v>56.969712570739674</v>
      </c>
    </row>
    <row r="209" spans="24:87" x14ac:dyDescent="0.2">
      <c r="X209" s="121">
        <f t="shared" si="211"/>
        <v>44774</v>
      </c>
      <c r="Y209" s="73">
        <f t="shared" si="212"/>
        <v>45.772098230480971</v>
      </c>
      <c r="Z209" s="15">
        <f t="shared" si="213"/>
        <v>3.823674696535508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65.002469841103633</v>
      </c>
      <c r="AE209" s="127">
        <f t="shared" ca="1" si="217"/>
        <v>3.9996783305813239</v>
      </c>
      <c r="AF209" s="127">
        <f t="shared" ca="1" si="251"/>
        <v>54.580590302327899</v>
      </c>
      <c r="AH209" s="121">
        <f t="shared" si="218"/>
        <v>44774</v>
      </c>
      <c r="AI209" s="73">
        <f t="shared" si="219"/>
        <v>50.746250010747154</v>
      </c>
      <c r="AJ209" s="15">
        <f t="shared" si="220"/>
        <v>3.9268377237779424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66.756241304225014</v>
      </c>
      <c r="AO209" s="127">
        <f t="shared" ca="1" si="224"/>
        <v>4.0374126212455419</v>
      </c>
      <c r="AP209" s="127">
        <f t="shared" ca="1" si="252"/>
        <v>56.679501582250609</v>
      </c>
      <c r="AR209" s="121">
        <f t="shared" si="225"/>
        <v>44774</v>
      </c>
      <c r="AS209" s="73">
        <f t="shared" si="257"/>
        <v>50.746250010747154</v>
      </c>
      <c r="AT209" s="15">
        <f t="shared" si="226"/>
        <v>3.9268377237779424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66.756241304225014</v>
      </c>
      <c r="AY209" s="127">
        <f t="shared" ca="1" si="230"/>
        <v>3.8295526606888544</v>
      </c>
      <c r="AZ209" s="127">
        <f t="shared" ca="1" si="253"/>
        <v>46.041937258247906</v>
      </c>
      <c r="BB209" s="121">
        <f t="shared" si="231"/>
        <v>44774</v>
      </c>
      <c r="BC209" s="73">
        <f t="shared" ref="BC209:BC226" si="258">+$AI209</f>
        <v>50.746250010747154</v>
      </c>
      <c r="BD209" s="15">
        <f t="shared" si="232"/>
        <v>3.9268377237779424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66.756241304225014</v>
      </c>
      <c r="BI209" s="127">
        <f t="shared" ca="1" si="236"/>
        <v>4.134524785654949</v>
      </c>
      <c r="BJ209" s="127">
        <f t="shared" ca="1" si="254"/>
        <v>62.459902175225636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3.0250301223314366</v>
      </c>
      <c r="BT209" s="127">
        <f t="shared" ca="1" si="255"/>
        <v>20.594625059974675</v>
      </c>
      <c r="BZ209" s="583">
        <f t="shared" si="243"/>
        <v>1</v>
      </c>
      <c r="CA209" s="121">
        <f t="shared" si="244"/>
        <v>44774</v>
      </c>
      <c r="CB209" s="127">
        <f t="shared" si="245"/>
        <v>50.746250010747154</v>
      </c>
      <c r="CC209" s="15">
        <f t="shared" si="246"/>
        <v>3.9268377237779424</v>
      </c>
      <c r="CD209" s="98">
        <f t="shared" si="247"/>
        <v>1</v>
      </c>
      <c r="CE209" s="128">
        <f>IF(CD209&gt;0,17,0)</f>
        <v>17</v>
      </c>
      <c r="CF209" s="128">
        <f t="shared" si="248"/>
        <v>289</v>
      </c>
      <c r="CG209" s="15">
        <f t="shared" si="249"/>
        <v>66.756241304225014</v>
      </c>
      <c r="CH209" s="127">
        <f t="shared" ca="1" si="250"/>
        <v>4.0425197682055671</v>
      </c>
      <c r="CI209" s="127">
        <f t="shared" ca="1" si="256"/>
        <v>56.969712570739674</v>
      </c>
    </row>
    <row r="210" spans="24:87" x14ac:dyDescent="0.2">
      <c r="X210" s="121">
        <f t="shared" si="211"/>
        <v>44805</v>
      </c>
      <c r="Y210" s="73">
        <f t="shared" si="212"/>
        <v>64.622452870324537</v>
      </c>
      <c r="Z210" s="15">
        <f t="shared" si="213"/>
        <v>4.1685619180529949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75.034114524953907</v>
      </c>
      <c r="AE210" s="127">
        <f t="shared" ca="1" si="217"/>
        <v>3.9996783305813239</v>
      </c>
      <c r="AF210" s="127">
        <f t="shared" ca="1" si="251"/>
        <v>54.580590302327899</v>
      </c>
      <c r="AH210" s="121">
        <f t="shared" si="218"/>
        <v>44805</v>
      </c>
      <c r="AI210" s="73">
        <f t="shared" si="219"/>
        <v>54.928860055678207</v>
      </c>
      <c r="AJ210" s="15">
        <f t="shared" si="220"/>
        <v>4.0060388944663003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72.108700100393406</v>
      </c>
      <c r="AO210" s="127">
        <f t="shared" ca="1" si="224"/>
        <v>4.0374126212455419</v>
      </c>
      <c r="AP210" s="127">
        <f t="shared" ca="1" si="252"/>
        <v>56.679501582250609</v>
      </c>
      <c r="AR210" s="121">
        <f t="shared" si="225"/>
        <v>44805</v>
      </c>
      <c r="AS210" s="73">
        <f t="shared" si="257"/>
        <v>54.928860055678207</v>
      </c>
      <c r="AT210" s="15">
        <f t="shared" si="226"/>
        <v>4.0060388944663003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72.108700100393406</v>
      </c>
      <c r="AY210" s="127">
        <f t="shared" ca="1" si="230"/>
        <v>3.8295526606888544</v>
      </c>
      <c r="AZ210" s="127">
        <f t="shared" ca="1" si="253"/>
        <v>46.041937258247906</v>
      </c>
      <c r="BB210" s="121">
        <f t="shared" si="231"/>
        <v>44805</v>
      </c>
      <c r="BC210" s="73">
        <f t="shared" si="258"/>
        <v>54.928860055678207</v>
      </c>
      <c r="BD210" s="15">
        <f t="shared" si="232"/>
        <v>4.0060388944663003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72.108700100393406</v>
      </c>
      <c r="BI210" s="127">
        <f t="shared" ca="1" si="236"/>
        <v>4.134524785654949</v>
      </c>
      <c r="BJ210" s="127">
        <f t="shared" ca="1" si="254"/>
        <v>62.459902175225636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3.0250301223314366</v>
      </c>
      <c r="BT210" s="127">
        <f t="shared" ca="1" si="255"/>
        <v>20.594625059974675</v>
      </c>
      <c r="BZ210" s="583">
        <f t="shared" si="243"/>
        <v>1</v>
      </c>
      <c r="CA210" s="121">
        <f t="shared" si="244"/>
        <v>44805</v>
      </c>
      <c r="CB210" s="127">
        <f t="shared" si="245"/>
        <v>54.928860055678207</v>
      </c>
      <c r="CC210" s="15">
        <f t="shared" si="246"/>
        <v>4.0060388944663003</v>
      </c>
      <c r="CD210" s="98">
        <f t="shared" si="247"/>
        <v>1</v>
      </c>
      <c r="CE210" s="128">
        <f>IF(CD210&gt;0,18,0)</f>
        <v>18</v>
      </c>
      <c r="CF210" s="128">
        <f t="shared" si="248"/>
        <v>324</v>
      </c>
      <c r="CG210" s="15">
        <f t="shared" si="249"/>
        <v>72.108700100393406</v>
      </c>
      <c r="CH210" s="127">
        <f t="shared" ca="1" si="250"/>
        <v>4.0425197682055671</v>
      </c>
      <c r="CI210" s="127">
        <f t="shared" ca="1" si="256"/>
        <v>56.969712570739674</v>
      </c>
    </row>
    <row r="211" spans="24:87" x14ac:dyDescent="0.2">
      <c r="X211" s="121">
        <f t="shared" si="211"/>
        <v>44835</v>
      </c>
      <c r="Y211" s="73">
        <f t="shared" si="212"/>
        <v>58.400846388996591</v>
      </c>
      <c r="Z211" s="15">
        <f t="shared" si="213"/>
        <v>4.0673303826914298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77.279277271137161</v>
      </c>
      <c r="AE211" s="127">
        <f t="shared" ca="1" si="217"/>
        <v>3.9996783305813239</v>
      </c>
      <c r="AF211" s="127">
        <f t="shared" ca="1" si="251"/>
        <v>54.580590302327899</v>
      </c>
      <c r="AH211" s="121">
        <f t="shared" si="218"/>
        <v>44835</v>
      </c>
      <c r="AI211" s="73">
        <f t="shared" si="219"/>
        <v>52.692461249451775</v>
      </c>
      <c r="AJ211" s="15">
        <f t="shared" si="220"/>
        <v>3.9644723950196146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75.324975505372677</v>
      </c>
      <c r="AO211" s="127">
        <f t="shared" ca="1" si="224"/>
        <v>4.0374126212455419</v>
      </c>
      <c r="AP211" s="127">
        <f t="shared" ca="1" si="252"/>
        <v>56.679501582250609</v>
      </c>
      <c r="AR211" s="121">
        <f t="shared" si="225"/>
        <v>44835</v>
      </c>
      <c r="AS211" s="73">
        <f t="shared" si="257"/>
        <v>52.692461249451775</v>
      </c>
      <c r="AT211" s="15">
        <f t="shared" si="226"/>
        <v>3.9644723950196146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75.324975505372677</v>
      </c>
      <c r="AY211" s="127">
        <f t="shared" ca="1" si="230"/>
        <v>3.8295526606888544</v>
      </c>
      <c r="AZ211" s="127">
        <f t="shared" ca="1" si="253"/>
        <v>46.041937258247906</v>
      </c>
      <c r="BB211" s="121">
        <f t="shared" si="231"/>
        <v>44835</v>
      </c>
      <c r="BC211" s="73">
        <f t="shared" si="258"/>
        <v>52.692461249451775</v>
      </c>
      <c r="BD211" s="15">
        <f t="shared" si="232"/>
        <v>3.9644723950196146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75.324975505372677</v>
      </c>
      <c r="BI211" s="127">
        <f t="shared" ca="1" si="236"/>
        <v>4.134524785654949</v>
      </c>
      <c r="BJ211" s="127">
        <f t="shared" ca="1" si="254"/>
        <v>62.459902175225636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3.0250301223314366</v>
      </c>
      <c r="BT211" s="127">
        <f t="shared" ca="1" si="255"/>
        <v>20.594625059974675</v>
      </c>
      <c r="BZ211" s="583">
        <f t="shared" si="243"/>
        <v>1</v>
      </c>
      <c r="CA211" s="121">
        <f t="shared" si="244"/>
        <v>44835</v>
      </c>
      <c r="CB211" s="127">
        <f t="shared" si="245"/>
        <v>52.692461249451775</v>
      </c>
      <c r="CC211" s="15">
        <f t="shared" si="246"/>
        <v>3.9644723950196146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75.324975505372677</v>
      </c>
      <c r="CH211" s="127">
        <f t="shared" ca="1" si="250"/>
        <v>4.0425197682055671</v>
      </c>
      <c r="CI211" s="127">
        <f t="shared" ca="1" si="256"/>
        <v>56.969712570739674</v>
      </c>
    </row>
    <row r="212" spans="24:87" x14ac:dyDescent="0.2">
      <c r="X212" s="121">
        <f t="shared" si="211"/>
        <v>44866</v>
      </c>
      <c r="Y212" s="73">
        <f t="shared" si="212"/>
        <v>43.692323964410917</v>
      </c>
      <c r="Z212" s="15">
        <f t="shared" si="213"/>
        <v>3.7771724336844432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75.543448673688857</v>
      </c>
      <c r="AE212" s="127">
        <f t="shared" ca="1" si="217"/>
        <v>3.9996783305813239</v>
      </c>
      <c r="AF212" s="127">
        <f t="shared" ca="1" si="251"/>
        <v>54.580590302327899</v>
      </c>
      <c r="AH212" s="121">
        <f t="shared" si="218"/>
        <v>44866</v>
      </c>
      <c r="AI212" s="73">
        <f t="shared" si="219"/>
        <v>50.518164726304597</v>
      </c>
      <c r="AJ212" s="15">
        <f t="shared" si="220"/>
        <v>3.922332969156245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78.446659383124896</v>
      </c>
      <c r="AO212" s="127">
        <f t="shared" ca="1" si="224"/>
        <v>4.0374126212455419</v>
      </c>
      <c r="AP212" s="127">
        <f t="shared" ca="1" si="252"/>
        <v>56.679501582250609</v>
      </c>
      <c r="AR212" s="121">
        <f t="shared" si="225"/>
        <v>44866</v>
      </c>
      <c r="AS212" s="73">
        <f t="shared" si="257"/>
        <v>50.518164726304597</v>
      </c>
      <c r="AT212" s="15">
        <f t="shared" si="226"/>
        <v>3.922332969156245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78.446659383124896</v>
      </c>
      <c r="AY212" s="127">
        <f t="shared" ca="1" si="230"/>
        <v>3.8295526606888544</v>
      </c>
      <c r="AZ212" s="127">
        <f t="shared" ca="1" si="253"/>
        <v>46.041937258247906</v>
      </c>
      <c r="BB212" s="121">
        <f t="shared" si="231"/>
        <v>44866</v>
      </c>
      <c r="BC212" s="73">
        <f t="shared" si="258"/>
        <v>50.518164726304597</v>
      </c>
      <c r="BD212" s="15">
        <f t="shared" si="232"/>
        <v>3.922332969156245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78.446659383124896</v>
      </c>
      <c r="BI212" s="127">
        <f t="shared" ca="1" si="236"/>
        <v>4.134524785654949</v>
      </c>
      <c r="BJ212" s="127">
        <f t="shared" ca="1" si="254"/>
        <v>62.459902175225636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3.0250301223314366</v>
      </c>
      <c r="BT212" s="127">
        <f t="shared" ca="1" si="255"/>
        <v>20.594625059974675</v>
      </c>
      <c r="BZ212" s="583">
        <f t="shared" si="243"/>
        <v>1</v>
      </c>
      <c r="CA212" s="121">
        <f t="shared" si="244"/>
        <v>44866</v>
      </c>
      <c r="CB212" s="127">
        <f t="shared" si="245"/>
        <v>50.518164726304597</v>
      </c>
      <c r="CC212" s="15">
        <f t="shared" si="246"/>
        <v>3.922332969156245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78.446659383124896</v>
      </c>
      <c r="CH212" s="127">
        <f t="shared" ca="1" si="250"/>
        <v>4.0425197682055671</v>
      </c>
      <c r="CI212" s="127">
        <f t="shared" ca="1" si="256"/>
        <v>56.969712570739674</v>
      </c>
    </row>
    <row r="213" spans="24:87" x14ac:dyDescent="0.2">
      <c r="X213" s="121">
        <f t="shared" si="211"/>
        <v>44896</v>
      </c>
      <c r="Y213" s="73">
        <f t="shared" si="212"/>
        <v>71.168632311625956</v>
      </c>
      <c r="Z213" s="15">
        <f t="shared" si="213"/>
        <v>4.2650521639230137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89.566095442383286</v>
      </c>
      <c r="AE213" s="127">
        <f t="shared" ca="1" si="217"/>
        <v>3.9996783305813239</v>
      </c>
      <c r="AF213" s="127">
        <f t="shared" ca="1" si="251"/>
        <v>54.580590302327899</v>
      </c>
      <c r="AH213" s="121">
        <f t="shared" si="218"/>
        <v>44896</v>
      </c>
      <c r="AI213" s="73">
        <f t="shared" si="219"/>
        <v>45.540775764981809</v>
      </c>
      <c r="AJ213" s="15">
        <f t="shared" si="220"/>
        <v>3.818608095294671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80.190770001188099</v>
      </c>
      <c r="AO213" s="127">
        <f t="shared" ca="1" si="224"/>
        <v>4.0374126212455419</v>
      </c>
      <c r="AP213" s="127">
        <f t="shared" ca="1" si="252"/>
        <v>56.679501582250609</v>
      </c>
      <c r="AR213" s="121">
        <f t="shared" si="225"/>
        <v>44896</v>
      </c>
      <c r="AS213" s="73">
        <f t="shared" si="257"/>
        <v>45.540775764981809</v>
      </c>
      <c r="AT213" s="15">
        <f t="shared" si="226"/>
        <v>3.818608095294671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80.190770001188099</v>
      </c>
      <c r="AY213" s="127">
        <f t="shared" ca="1" si="230"/>
        <v>3.8295526606888544</v>
      </c>
      <c r="AZ213" s="127">
        <f t="shared" ca="1" si="253"/>
        <v>46.041937258247906</v>
      </c>
      <c r="BB213" s="121">
        <f t="shared" si="231"/>
        <v>44896</v>
      </c>
      <c r="BC213" s="73">
        <f t="shared" si="258"/>
        <v>45.540775764981809</v>
      </c>
      <c r="BD213" s="15">
        <f t="shared" si="232"/>
        <v>3.818608095294671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80.190770001188099</v>
      </c>
      <c r="BI213" s="127">
        <f t="shared" ca="1" si="236"/>
        <v>4.134524785654949</v>
      </c>
      <c r="BJ213" s="127">
        <f t="shared" ca="1" si="254"/>
        <v>62.459902175225636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3.0250301223314366</v>
      </c>
      <c r="BT213" s="127">
        <f t="shared" ca="1" si="255"/>
        <v>20.594625059974675</v>
      </c>
      <c r="BZ213" s="583">
        <f t="shared" si="243"/>
        <v>1</v>
      </c>
      <c r="CA213" s="121">
        <f t="shared" si="244"/>
        <v>44896</v>
      </c>
      <c r="CB213" s="127">
        <f t="shared" si="245"/>
        <v>45.540775764981809</v>
      </c>
      <c r="CC213" s="15">
        <f t="shared" si="246"/>
        <v>3.818608095294671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80.190770001188099</v>
      </c>
      <c r="CH213" s="127">
        <f t="shared" ca="1" si="250"/>
        <v>4.0425197682055671</v>
      </c>
      <c r="CI213" s="127">
        <f t="shared" ca="1" si="256"/>
        <v>56.969712570739674</v>
      </c>
    </row>
    <row r="214" spans="24:87" x14ac:dyDescent="0.2">
      <c r="X214" s="121">
        <f t="shared" si="211"/>
        <v>44927</v>
      </c>
      <c r="Y214" s="73">
        <f t="shared" si="212"/>
        <v>32.49841373087169</v>
      </c>
      <c r="Z214" s="15">
        <f t="shared" si="213"/>
        <v>3.481191279863658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76.58620815700047</v>
      </c>
      <c r="AE214" s="127">
        <f t="shared" ca="1" si="217"/>
        <v>3.9996783305813239</v>
      </c>
      <c r="AF214" s="127">
        <f t="shared" ca="1" si="251"/>
        <v>54.580590302327899</v>
      </c>
      <c r="AH214" s="121">
        <f t="shared" si="218"/>
        <v>44927</v>
      </c>
      <c r="AI214" s="73">
        <f t="shared" ca="1" si="219"/>
        <v>41.600505205086627</v>
      </c>
      <c r="AJ214" s="15">
        <f t="shared" ca="1" si="220"/>
        <v>3.7281123115465196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82.018470854023434</v>
      </c>
      <c r="AO214" s="127">
        <f t="shared" ca="1" si="224"/>
        <v>4.0374126212455419</v>
      </c>
      <c r="AP214" s="127">
        <f t="shared" ca="1" si="252"/>
        <v>56.679501582250609</v>
      </c>
      <c r="AR214" s="121">
        <f t="shared" si="225"/>
        <v>44927</v>
      </c>
      <c r="AS214" s="73">
        <f t="shared" ca="1" si="257"/>
        <v>41.600505205086627</v>
      </c>
      <c r="AT214" s="15">
        <f t="shared" ca="1" si="226"/>
        <v>3.7281123115465196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82.018470854023434</v>
      </c>
      <c r="AY214" s="127">
        <f t="shared" ca="1" si="230"/>
        <v>3.8295526606888544</v>
      </c>
      <c r="AZ214" s="127">
        <f t="shared" ca="1" si="253"/>
        <v>46.041937258247906</v>
      </c>
      <c r="BB214" s="121">
        <f t="shared" si="231"/>
        <v>44927</v>
      </c>
      <c r="BC214" s="73">
        <f t="shared" ca="1" si="258"/>
        <v>41.600505205086627</v>
      </c>
      <c r="BD214" s="15">
        <f t="shared" ca="1" si="232"/>
        <v>3.7281123115465196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82.018470854023434</v>
      </c>
      <c r="BI214" s="127">
        <f t="shared" ca="1" si="236"/>
        <v>4.134524785654949</v>
      </c>
      <c r="BJ214" s="127">
        <f t="shared" ca="1" si="254"/>
        <v>62.459902175225636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3.0250301223314366</v>
      </c>
      <c r="BT214" s="127">
        <f t="shared" ca="1" si="255"/>
        <v>20.594625059974675</v>
      </c>
      <c r="BZ214" s="583">
        <f t="shared" si="243"/>
        <v>1</v>
      </c>
      <c r="CA214" s="121">
        <f t="shared" si="244"/>
        <v>44927</v>
      </c>
      <c r="CB214" s="127">
        <f t="shared" ca="1" si="245"/>
        <v>41.600505205086627</v>
      </c>
      <c r="CC214" s="15">
        <f t="shared" ca="1" si="246"/>
        <v>3.7281123115465196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82.018470854023434</v>
      </c>
      <c r="CH214" s="127">
        <f t="shared" ca="1" si="250"/>
        <v>4.0425197682055671</v>
      </c>
      <c r="CI214" s="127">
        <f t="shared" ca="1" si="256"/>
        <v>56.969712570739674</v>
      </c>
    </row>
    <row r="215" spans="24:87" x14ac:dyDescent="0.2">
      <c r="X215" s="121">
        <f t="shared" si="211"/>
        <v>44958</v>
      </c>
      <c r="Y215" s="73">
        <f t="shared" si="212"/>
        <v>32.72631909159788</v>
      </c>
      <c r="Z215" s="15">
        <f t="shared" si="213"/>
        <v>3.4881796193593977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80.228131245266141</v>
      </c>
      <c r="AE215" s="127">
        <f t="shared" ca="1" si="217"/>
        <v>3.9996783305813239</v>
      </c>
      <c r="AF215" s="127">
        <f t="shared" ca="1" si="251"/>
        <v>54.580590302327899</v>
      </c>
      <c r="AH215" s="121">
        <f t="shared" si="218"/>
        <v>44958</v>
      </c>
      <c r="AI215" s="73">
        <f t="shared" ca="1" si="219"/>
        <v>42.272434250083897</v>
      </c>
      <c r="AJ215" s="15">
        <f t="shared" ca="1" si="220"/>
        <v>3.7441352010465159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86.115109624069859</v>
      </c>
      <c r="AO215" s="127">
        <f t="shared" ca="1" si="224"/>
        <v>4.0374126212455419</v>
      </c>
      <c r="AP215" s="127">
        <f t="shared" ca="1" si="252"/>
        <v>56.679501582250609</v>
      </c>
      <c r="AR215" s="121">
        <f t="shared" si="225"/>
        <v>44958</v>
      </c>
      <c r="AS215" s="73">
        <f t="shared" ca="1" si="257"/>
        <v>42.272434250083897</v>
      </c>
      <c r="AT215" s="15">
        <f t="shared" ca="1" si="226"/>
        <v>3.7441352010465159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86.115109624069859</v>
      </c>
      <c r="AY215" s="127">
        <f t="shared" ca="1" si="230"/>
        <v>3.8295526606888544</v>
      </c>
      <c r="AZ215" s="127">
        <f t="shared" ca="1" si="253"/>
        <v>46.041937258247906</v>
      </c>
      <c r="BB215" s="121">
        <f t="shared" si="231"/>
        <v>44958</v>
      </c>
      <c r="BC215" s="73">
        <f t="shared" ca="1" si="258"/>
        <v>42.272434250083897</v>
      </c>
      <c r="BD215" s="15">
        <f t="shared" ca="1" si="232"/>
        <v>3.7441352010465159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86.115109624069859</v>
      </c>
      <c r="BI215" s="127">
        <f t="shared" ca="1" si="236"/>
        <v>4.134524785654949</v>
      </c>
      <c r="BJ215" s="127">
        <f t="shared" ca="1" si="254"/>
        <v>62.459902175225636</v>
      </c>
      <c r="BL215" s="121">
        <f t="shared" si="237"/>
        <v>44958</v>
      </c>
      <c r="BM215" s="73">
        <f t="shared" ref="BM215:BM226" ca="1" si="259">+$AI215</f>
        <v>42.272434250083897</v>
      </c>
      <c r="BN215" s="15">
        <f t="shared" ca="1" si="238"/>
        <v>3.7441352010465159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86.115109624069859</v>
      </c>
      <c r="BS215" s="127">
        <f t="shared" ca="1" si="242"/>
        <v>3.0250301223314366</v>
      </c>
      <c r="BT215" s="127">
        <f t="shared" ca="1" si="255"/>
        <v>20.594625059974675</v>
      </c>
      <c r="BZ215" s="583">
        <f t="shared" si="243"/>
        <v>1</v>
      </c>
      <c r="CA215" s="121">
        <f t="shared" si="244"/>
        <v>44958</v>
      </c>
      <c r="CB215" s="127">
        <f t="shared" ca="1" si="245"/>
        <v>42.272434250083897</v>
      </c>
      <c r="CC215" s="15">
        <f t="shared" ca="1" si="246"/>
        <v>3.7441352010465159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86.115109624069859</v>
      </c>
      <c r="CH215" s="127">
        <f t="shared" ca="1" si="250"/>
        <v>4.0425197682055671</v>
      </c>
      <c r="CI215" s="127">
        <f t="shared" ca="1" si="256"/>
        <v>56.969712570739674</v>
      </c>
    </row>
    <row r="216" spans="24:87" x14ac:dyDescent="0.2">
      <c r="X216" s="121">
        <f t="shared" si="211"/>
        <v>44986</v>
      </c>
      <c r="Y216" s="73">
        <f t="shared" si="212"/>
        <v>34.758119102387823</v>
      </c>
      <c r="Z216" s="15">
        <f t="shared" si="213"/>
        <v>3.5484131879546532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85.161916510911681</v>
      </c>
      <c r="AE216" s="127">
        <f t="shared" ca="1" si="217"/>
        <v>3.9996783305813239</v>
      </c>
      <c r="AF216" s="127">
        <f t="shared" ca="1" si="251"/>
        <v>54.580590302327899</v>
      </c>
      <c r="AH216" s="121">
        <f t="shared" si="218"/>
        <v>44986</v>
      </c>
      <c r="AI216" s="73">
        <f t="shared" ca="1" si="219"/>
        <v>36.588316688252789</v>
      </c>
      <c r="AJ216" s="15">
        <f t="shared" ca="1" si="220"/>
        <v>3.5997289732790376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86.393495358696896</v>
      </c>
      <c r="AO216" s="127">
        <f t="shared" ca="1" si="224"/>
        <v>4.0374126212455419</v>
      </c>
      <c r="AP216" s="127">
        <f t="shared" ca="1" si="252"/>
        <v>56.679501582250609</v>
      </c>
      <c r="AR216" s="121">
        <f t="shared" si="225"/>
        <v>44986</v>
      </c>
      <c r="AS216" s="73">
        <f t="shared" ca="1" si="257"/>
        <v>36.588316688252789</v>
      </c>
      <c r="AT216" s="15">
        <f t="shared" ca="1" si="226"/>
        <v>3.5997289732790376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86.393495358696896</v>
      </c>
      <c r="AY216" s="127">
        <f t="shared" ca="1" si="230"/>
        <v>3.8295526606888544</v>
      </c>
      <c r="AZ216" s="127">
        <f t="shared" ca="1" si="253"/>
        <v>46.041937258247906</v>
      </c>
      <c r="BB216" s="121">
        <f t="shared" si="231"/>
        <v>44986</v>
      </c>
      <c r="BC216" s="73">
        <f t="shared" ca="1" si="258"/>
        <v>36.588316688252789</v>
      </c>
      <c r="BD216" s="15">
        <f t="shared" ca="1" si="232"/>
        <v>3.5997289732790376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86.393495358696896</v>
      </c>
      <c r="BI216" s="127">
        <f t="shared" ca="1" si="236"/>
        <v>4.134524785654949</v>
      </c>
      <c r="BJ216" s="127">
        <f t="shared" ca="1" si="254"/>
        <v>62.459902175225636</v>
      </c>
      <c r="BL216" s="121">
        <f t="shared" si="237"/>
        <v>44986</v>
      </c>
      <c r="BM216" s="73">
        <f t="shared" ca="1" si="259"/>
        <v>36.588316688252789</v>
      </c>
      <c r="BN216" s="15">
        <f t="shared" ca="1" si="238"/>
        <v>3.5997289732790376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86.393495358696896</v>
      </c>
      <c r="BS216" s="127">
        <f t="shared" ca="1" si="242"/>
        <v>3.0250301223314366</v>
      </c>
      <c r="BT216" s="127">
        <f t="shared" ca="1" si="255"/>
        <v>20.594625059974675</v>
      </c>
      <c r="BZ216" s="583">
        <f t="shared" si="243"/>
        <v>1</v>
      </c>
      <c r="CA216" s="121">
        <f t="shared" si="244"/>
        <v>44986</v>
      </c>
      <c r="CB216" s="127">
        <f t="shared" ca="1" si="245"/>
        <v>36.588316688252789</v>
      </c>
      <c r="CC216" s="15">
        <f t="shared" ca="1" si="246"/>
        <v>3.5997289732790376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86.393495358696896</v>
      </c>
      <c r="CH216" s="127">
        <f t="shared" ca="1" si="250"/>
        <v>4.0425197682055671</v>
      </c>
      <c r="CI216" s="127">
        <f t="shared" ca="1" si="256"/>
        <v>56.969712570739674</v>
      </c>
    </row>
    <row r="217" spans="24:87" x14ac:dyDescent="0.2">
      <c r="X217" s="121">
        <f t="shared" si="211"/>
        <v>45017</v>
      </c>
      <c r="Y217" s="73">
        <f t="shared" ca="1" si="212"/>
        <v>34.759223029625488</v>
      </c>
      <c r="Z217" s="15">
        <f t="shared" ca="1" si="213"/>
        <v>3.5484449477200273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88.711123693000687</v>
      </c>
      <c r="AE217" s="127">
        <f t="shared" ca="1" si="217"/>
        <v>3.9996783305813239</v>
      </c>
      <c r="AF217" s="127">
        <f t="shared" ca="1" si="251"/>
        <v>54.580590302327899</v>
      </c>
      <c r="AH217" s="121">
        <f t="shared" si="218"/>
        <v>45017</v>
      </c>
      <c r="AI217" s="73">
        <f t="shared" ca="1" si="219"/>
        <v>38.334102145075924</v>
      </c>
      <c r="AJ217" s="15">
        <f t="shared" ca="1" si="220"/>
        <v>3.6463398954525248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91.158497386313115</v>
      </c>
      <c r="AO217" s="127">
        <f t="shared" ca="1" si="224"/>
        <v>4.0374126212455419</v>
      </c>
      <c r="AP217" s="127">
        <f t="shared" ca="1" si="252"/>
        <v>56.679501582250609</v>
      </c>
      <c r="AR217" s="121">
        <f t="shared" si="225"/>
        <v>45017</v>
      </c>
      <c r="AS217" s="73">
        <f t="shared" ca="1" si="257"/>
        <v>38.334102145075924</v>
      </c>
      <c r="AT217" s="15">
        <f t="shared" ca="1" si="226"/>
        <v>3.6463398954525248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91.158497386313115</v>
      </c>
      <c r="AY217" s="127">
        <f t="shared" ca="1" si="230"/>
        <v>3.8295526606888544</v>
      </c>
      <c r="AZ217" s="127">
        <f t="shared" ca="1" si="253"/>
        <v>46.041937258247906</v>
      </c>
      <c r="BB217" s="121">
        <f t="shared" si="231"/>
        <v>45017</v>
      </c>
      <c r="BC217" s="73">
        <f t="shared" ca="1" si="258"/>
        <v>38.334102145075924</v>
      </c>
      <c r="BD217" s="15">
        <f t="shared" ca="1" si="232"/>
        <v>3.6463398954525248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91.158497386313115</v>
      </c>
      <c r="BI217" s="127">
        <f t="shared" ca="1" si="236"/>
        <v>4.134524785654949</v>
      </c>
      <c r="BJ217" s="127">
        <f t="shared" ca="1" si="254"/>
        <v>62.459902175225636</v>
      </c>
      <c r="BL217" s="121">
        <f t="shared" si="237"/>
        <v>45017</v>
      </c>
      <c r="BM217" s="73">
        <f t="shared" ca="1" si="259"/>
        <v>38.334102145075924</v>
      </c>
      <c r="BN217" s="15">
        <f t="shared" ca="1" si="238"/>
        <v>3.6463398954525248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91.158497386313115</v>
      </c>
      <c r="BS217" s="127">
        <f t="shared" ca="1" si="242"/>
        <v>3.0250301223314366</v>
      </c>
      <c r="BT217" s="127">
        <f t="shared" ca="1" si="255"/>
        <v>20.594625059974675</v>
      </c>
      <c r="BZ217" s="583">
        <f t="shared" si="243"/>
        <v>1</v>
      </c>
      <c r="CA217" s="121">
        <f t="shared" si="244"/>
        <v>45017</v>
      </c>
      <c r="CB217" s="127">
        <f t="shared" ca="1" si="245"/>
        <v>38.334102145075924</v>
      </c>
      <c r="CC217" s="15">
        <f t="shared" ca="1" si="246"/>
        <v>3.6463398954525248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91.158497386313115</v>
      </c>
      <c r="CH217" s="127">
        <f t="shared" ca="1" si="250"/>
        <v>4.0425197682055671</v>
      </c>
      <c r="CI217" s="127">
        <f t="shared" ca="1" si="256"/>
        <v>56.969712570739674</v>
      </c>
    </row>
    <row r="218" spans="24:87" x14ac:dyDescent="0.2">
      <c r="X218" s="121">
        <f t="shared" si="211"/>
        <v>45047</v>
      </c>
      <c r="Y218" s="73">
        <f t="shared" ca="1" si="212"/>
        <v>47.723898234394554</v>
      </c>
      <c r="Z218" s="15">
        <f t="shared" ca="1" si="213"/>
        <v>3.8654322836333268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100.50123937446649</v>
      </c>
      <c r="AE218" s="127">
        <f t="shared" ca="1" si="217"/>
        <v>3.9996783305813239</v>
      </c>
      <c r="AF218" s="127">
        <f t="shared" ca="1" si="251"/>
        <v>54.580590302327899</v>
      </c>
      <c r="AH218" s="121">
        <f t="shared" si="218"/>
        <v>45047</v>
      </c>
      <c r="AI218" s="73">
        <f t="shared" ca="1" si="219"/>
        <v>39.869906264642104</v>
      </c>
      <c r="AJ218" s="15">
        <f t="shared" ca="1" si="220"/>
        <v>3.6856218103657219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95.82616706950877</v>
      </c>
      <c r="AO218" s="127">
        <f t="shared" ca="1" si="224"/>
        <v>4.0374126212455419</v>
      </c>
      <c r="AP218" s="127">
        <f t="shared" ca="1" si="252"/>
        <v>56.679501582250609</v>
      </c>
      <c r="AR218" s="121">
        <f t="shared" si="225"/>
        <v>45047</v>
      </c>
      <c r="AS218" s="73">
        <f t="shared" ca="1" si="257"/>
        <v>39.869906264642104</v>
      </c>
      <c r="AT218" s="15">
        <f t="shared" ca="1" si="226"/>
        <v>3.6856218103657219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95.82616706950877</v>
      </c>
      <c r="AY218" s="127">
        <f t="shared" ca="1" si="230"/>
        <v>3.8295526606888544</v>
      </c>
      <c r="AZ218" s="127">
        <f t="shared" ca="1" si="253"/>
        <v>46.041937258247906</v>
      </c>
      <c r="BB218" s="121">
        <f t="shared" si="231"/>
        <v>45047</v>
      </c>
      <c r="BC218" s="73">
        <f t="shared" ca="1" si="258"/>
        <v>39.869906264642104</v>
      </c>
      <c r="BD218" s="15">
        <f t="shared" ca="1" si="232"/>
        <v>3.6856218103657219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95.82616706950877</v>
      </c>
      <c r="BI218" s="127">
        <f t="shared" ca="1" si="236"/>
        <v>4.134524785654949</v>
      </c>
      <c r="BJ218" s="127">
        <f t="shared" ca="1" si="254"/>
        <v>62.459902175225636</v>
      </c>
      <c r="BL218" s="121">
        <f t="shared" si="237"/>
        <v>45047</v>
      </c>
      <c r="BM218" s="73">
        <f t="shared" ca="1" si="259"/>
        <v>39.869906264642104</v>
      </c>
      <c r="BN218" s="15">
        <f t="shared" ca="1" si="238"/>
        <v>3.6856218103657219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95.82616706950877</v>
      </c>
      <c r="BS218" s="127">
        <f t="shared" ca="1" si="242"/>
        <v>3.0250301223314366</v>
      </c>
      <c r="BT218" s="127">
        <f t="shared" ca="1" si="255"/>
        <v>20.594625059974675</v>
      </c>
      <c r="BZ218" s="583">
        <f t="shared" si="243"/>
        <v>1</v>
      </c>
      <c r="CA218" s="121">
        <f t="shared" si="244"/>
        <v>45047</v>
      </c>
      <c r="CB218" s="127">
        <f t="shared" ca="1" si="245"/>
        <v>39.869906264642104</v>
      </c>
      <c r="CC218" s="15">
        <f t="shared" ca="1" si="246"/>
        <v>3.6856218103657219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95.82616706950877</v>
      </c>
      <c r="CH218" s="127">
        <f t="shared" ca="1" si="250"/>
        <v>4.0425197682055671</v>
      </c>
      <c r="CI218" s="127">
        <f t="shared" ca="1" si="256"/>
        <v>56.969712570739674</v>
      </c>
    </row>
    <row r="219" spans="24:87" x14ac:dyDescent="0.2">
      <c r="X219" s="121">
        <f t="shared" si="211"/>
        <v>45078</v>
      </c>
      <c r="Y219" s="73">
        <f t="shared" ca="1" si="212"/>
        <v>37.06392694063927</v>
      </c>
      <c r="Z219" s="15">
        <f t="shared" ca="1" si="213"/>
        <v>3.6126441769446749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97.541392777506218</v>
      </c>
      <c r="AE219" s="127">
        <f t="shared" ca="1" si="217"/>
        <v>3.9996783305813239</v>
      </c>
      <c r="AF219" s="127">
        <f t="shared" ca="1" si="251"/>
        <v>54.580590302327899</v>
      </c>
      <c r="AH219" s="121">
        <f t="shared" si="218"/>
        <v>45078</v>
      </c>
      <c r="AI219" s="73">
        <f t="shared" ca="1" si="219"/>
        <v>39.594648073238886</v>
      </c>
      <c r="AJ219" s="15">
        <f t="shared" ca="1" si="220"/>
        <v>3.6786939594612114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99.32473690545271</v>
      </c>
      <c r="AO219" s="127">
        <f t="shared" ca="1" si="224"/>
        <v>4.0374126212455419</v>
      </c>
      <c r="AP219" s="127">
        <f t="shared" ca="1" si="252"/>
        <v>56.679501582250609</v>
      </c>
      <c r="AR219" s="121">
        <f t="shared" si="225"/>
        <v>45078</v>
      </c>
      <c r="AS219" s="73">
        <f t="shared" ca="1" si="257"/>
        <v>39.594648073238886</v>
      </c>
      <c r="AT219" s="15">
        <f t="shared" ca="1" si="226"/>
        <v>3.6786939594612114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99.32473690545271</v>
      </c>
      <c r="AY219" s="127">
        <f t="shared" ca="1" si="230"/>
        <v>3.8295526606888544</v>
      </c>
      <c r="AZ219" s="127">
        <f t="shared" ca="1" si="253"/>
        <v>46.041937258247906</v>
      </c>
      <c r="BB219" s="121">
        <f t="shared" si="231"/>
        <v>45078</v>
      </c>
      <c r="BC219" s="73">
        <f t="shared" ca="1" si="258"/>
        <v>39.594648073238886</v>
      </c>
      <c r="BD219" s="15">
        <f t="shared" ca="1" si="232"/>
        <v>3.6786939594612114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99.32473690545271</v>
      </c>
      <c r="BI219" s="127">
        <f t="shared" ca="1" si="236"/>
        <v>4.134524785654949</v>
      </c>
      <c r="BJ219" s="127">
        <f t="shared" ca="1" si="254"/>
        <v>62.459902175225636</v>
      </c>
      <c r="BL219" s="121">
        <f t="shared" si="237"/>
        <v>45078</v>
      </c>
      <c r="BM219" s="73">
        <f t="shared" ca="1" si="259"/>
        <v>39.594648073238886</v>
      </c>
      <c r="BN219" s="15">
        <f t="shared" ca="1" si="238"/>
        <v>3.6786939594612114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99.32473690545271</v>
      </c>
      <c r="BS219" s="127">
        <f t="shared" ca="1" si="242"/>
        <v>3.0250301223314366</v>
      </c>
      <c r="BT219" s="127">
        <f t="shared" ca="1" si="255"/>
        <v>20.594625059974675</v>
      </c>
      <c r="BZ219" s="583">
        <f t="shared" si="243"/>
        <v>1</v>
      </c>
      <c r="CA219" s="121">
        <f t="shared" si="244"/>
        <v>45078</v>
      </c>
      <c r="CB219" s="127">
        <f t="shared" ca="1" si="245"/>
        <v>39.594648073238886</v>
      </c>
      <c r="CC219" s="15">
        <f t="shared" ca="1" si="246"/>
        <v>3.6786939594612114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99.32473690545271</v>
      </c>
      <c r="CH219" s="127">
        <f t="shared" ca="1" si="250"/>
        <v>4.0425197682055671</v>
      </c>
      <c r="CI219" s="127">
        <f t="shared" ca="1" si="256"/>
        <v>56.969712570739674</v>
      </c>
    </row>
    <row r="220" spans="24:87" x14ac:dyDescent="0.2">
      <c r="X220" s="121">
        <f t="shared" si="211"/>
        <v>45108</v>
      </c>
      <c r="Y220" s="73">
        <f t="shared" ca="1" si="212"/>
        <v>42.973126471810502</v>
      </c>
      <c r="Z220" s="15">
        <f t="shared" ca="1" si="213"/>
        <v>3.7605749545492007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105.29609872737763</v>
      </c>
      <c r="AE220" s="127">
        <f t="shared" ca="1" si="217"/>
        <v>3.9996783305813239</v>
      </c>
      <c r="AF220" s="127">
        <f t="shared" ca="1" si="251"/>
        <v>54.580590302327899</v>
      </c>
      <c r="AH220" s="121">
        <f t="shared" si="218"/>
        <v>45108</v>
      </c>
      <c r="AI220" s="73">
        <f t="shared" ca="1" si="219"/>
        <v>41.138080078208837</v>
      </c>
      <c r="AJ220" s="15">
        <f t="shared" ca="1" si="220"/>
        <v>3.7169342151292346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104.07415802361857</v>
      </c>
      <c r="AO220" s="127">
        <f t="shared" ca="1" si="224"/>
        <v>4.0374126212455419</v>
      </c>
      <c r="AP220" s="127">
        <f t="shared" ca="1" si="252"/>
        <v>56.679501582250609</v>
      </c>
      <c r="AR220" s="121">
        <f t="shared" si="225"/>
        <v>45108</v>
      </c>
      <c r="AS220" s="73">
        <f t="shared" ca="1" si="257"/>
        <v>41.138080078208837</v>
      </c>
      <c r="AT220" s="15">
        <f t="shared" ca="1" si="226"/>
        <v>3.7169342151292346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104.07415802361857</v>
      </c>
      <c r="AY220" s="127">
        <f t="shared" ca="1" si="230"/>
        <v>3.8295526606888544</v>
      </c>
      <c r="AZ220" s="127">
        <f t="shared" ca="1" si="253"/>
        <v>46.041937258247906</v>
      </c>
      <c r="BB220" s="121">
        <f t="shared" si="231"/>
        <v>45108</v>
      </c>
      <c r="BC220" s="73">
        <f t="shared" ca="1" si="258"/>
        <v>41.138080078208837</v>
      </c>
      <c r="BD220" s="15">
        <f t="shared" ca="1" si="232"/>
        <v>3.7169342151292346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104.07415802361857</v>
      </c>
      <c r="BI220" s="127">
        <f t="shared" ca="1" si="236"/>
        <v>4.134524785654949</v>
      </c>
      <c r="BJ220" s="127">
        <f t="shared" ca="1" si="254"/>
        <v>62.459902175225636</v>
      </c>
      <c r="BL220" s="121">
        <f t="shared" si="237"/>
        <v>45108</v>
      </c>
      <c r="BM220" s="73">
        <f t="shared" ca="1" si="259"/>
        <v>41.138080078208837</v>
      </c>
      <c r="BN220" s="15">
        <f t="shared" ca="1" si="238"/>
        <v>3.7169342151292346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104.07415802361857</v>
      </c>
      <c r="BS220" s="127">
        <f t="shared" ca="1" si="242"/>
        <v>3.0250301223314366</v>
      </c>
      <c r="BT220" s="127">
        <f t="shared" ca="1" si="255"/>
        <v>20.594625059974675</v>
      </c>
      <c r="BZ220" s="583">
        <f t="shared" si="243"/>
        <v>1</v>
      </c>
      <c r="CA220" s="121">
        <f t="shared" si="244"/>
        <v>45108</v>
      </c>
      <c r="CB220" s="127">
        <f t="shared" ca="1" si="245"/>
        <v>41.138080078208837</v>
      </c>
      <c r="CC220" s="15">
        <f t="shared" ca="1" si="246"/>
        <v>3.7169342151292346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104.07415802361857</v>
      </c>
      <c r="CH220" s="127">
        <f t="shared" ca="1" si="250"/>
        <v>4.0425197682055671</v>
      </c>
      <c r="CI220" s="127">
        <f t="shared" ca="1" si="256"/>
        <v>56.969712570739674</v>
      </c>
    </row>
    <row r="221" spans="24:87" x14ac:dyDescent="0.2">
      <c r="X221" s="121">
        <f t="shared" si="211"/>
        <v>45139</v>
      </c>
      <c r="Y221" s="73">
        <f t="shared" ca="1" si="212"/>
        <v>41.941143808995001</v>
      </c>
      <c r="Z221" s="15">
        <f t="shared" ca="1" si="213"/>
        <v>3.7362672976101119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108.35175163069324</v>
      </c>
      <c r="AE221" s="127">
        <f t="shared" ca="1" si="217"/>
        <v>3.9996783305813239</v>
      </c>
      <c r="AF221" s="127">
        <f t="shared" ca="1" si="251"/>
        <v>54.580590302327899</v>
      </c>
      <c r="AH221" s="121">
        <f t="shared" si="218"/>
        <v>45139</v>
      </c>
      <c r="AI221" s="73">
        <f t="shared" ca="1" si="219"/>
        <v>41.708851981824587</v>
      </c>
      <c r="AJ221" s="15">
        <f t="shared" ca="1" si="220"/>
        <v>3.7307133840186206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108.19068813654</v>
      </c>
      <c r="AO221" s="127">
        <f t="shared" ca="1" si="224"/>
        <v>4.0374126212455419</v>
      </c>
      <c r="AP221" s="127">
        <f t="shared" ca="1" si="252"/>
        <v>56.679501582250609</v>
      </c>
      <c r="AR221" s="121">
        <f t="shared" si="225"/>
        <v>45139</v>
      </c>
      <c r="AS221" s="73">
        <f t="shared" ca="1" si="257"/>
        <v>41.708851981824587</v>
      </c>
      <c r="AT221" s="15">
        <f t="shared" ca="1" si="226"/>
        <v>3.7307133840186206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108.19068813654</v>
      </c>
      <c r="AY221" s="127">
        <f t="shared" ca="1" si="230"/>
        <v>3.8295526606888544</v>
      </c>
      <c r="AZ221" s="127">
        <f t="shared" ca="1" si="253"/>
        <v>46.041937258247906</v>
      </c>
      <c r="BB221" s="121">
        <f t="shared" si="231"/>
        <v>45139</v>
      </c>
      <c r="BC221" s="73">
        <f t="shared" ca="1" si="258"/>
        <v>41.708851981824587</v>
      </c>
      <c r="BD221" s="15">
        <f t="shared" ca="1" si="232"/>
        <v>3.7307133840186206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108.19068813654</v>
      </c>
      <c r="BI221" s="127">
        <f t="shared" ca="1" si="236"/>
        <v>4.134524785654949</v>
      </c>
      <c r="BJ221" s="127">
        <f t="shared" ca="1" si="254"/>
        <v>62.459902175225636</v>
      </c>
      <c r="BL221" s="121">
        <f t="shared" si="237"/>
        <v>45139</v>
      </c>
      <c r="BM221" s="73">
        <f t="shared" ca="1" si="259"/>
        <v>41.708851981824587</v>
      </c>
      <c r="BN221" s="15">
        <f t="shared" ca="1" si="238"/>
        <v>3.7307133840186206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108.19068813654</v>
      </c>
      <c r="BS221" s="127">
        <f t="shared" ca="1" si="242"/>
        <v>3.0250301223314366</v>
      </c>
      <c r="BT221" s="127">
        <f t="shared" ca="1" si="255"/>
        <v>20.594625059974675</v>
      </c>
      <c r="BZ221" s="583">
        <f t="shared" si="243"/>
        <v>1</v>
      </c>
      <c r="CA221" s="121">
        <f t="shared" si="244"/>
        <v>45139</v>
      </c>
      <c r="CB221" s="127">
        <f t="shared" ca="1" si="245"/>
        <v>41.708851981824587</v>
      </c>
      <c r="CC221" s="15">
        <f t="shared" ca="1" si="246"/>
        <v>3.7307133840186206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108.19068813654</v>
      </c>
      <c r="CH221" s="127">
        <f t="shared" ca="1" si="250"/>
        <v>4.0425197682055671</v>
      </c>
      <c r="CI221" s="127">
        <f t="shared" ca="1" si="256"/>
        <v>56.969712570739674</v>
      </c>
    </row>
    <row r="222" spans="24:87" x14ac:dyDescent="0.2">
      <c r="X222" s="121">
        <f t="shared" si="211"/>
        <v>45170</v>
      </c>
      <c r="Y222" s="73">
        <f t="shared" ca="1" si="212"/>
        <v>33.106569953968474</v>
      </c>
      <c r="Z222" s="15">
        <f t="shared" ca="1" si="213"/>
        <v>3.4997317507221748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104.99195252166524</v>
      </c>
      <c r="AE222" s="127">
        <f t="shared" ca="1" si="217"/>
        <v>3.9996783305813239</v>
      </c>
      <c r="AF222" s="127">
        <f t="shared" ca="1" si="251"/>
        <v>54.580590302327899</v>
      </c>
      <c r="AH222" s="121">
        <f t="shared" si="218"/>
        <v>45170</v>
      </c>
      <c r="AI222" s="73">
        <f t="shared" ca="1" si="219"/>
        <v>42.845574818283183</v>
      </c>
      <c r="AJ222" s="15">
        <f t="shared" ca="1" si="220"/>
        <v>3.7576023682589574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112.72807104776872</v>
      </c>
      <c r="AO222" s="127">
        <f t="shared" ca="1" si="224"/>
        <v>4.0374126212455419</v>
      </c>
      <c r="AP222" s="127">
        <f t="shared" ca="1" si="252"/>
        <v>56.679501582250609</v>
      </c>
      <c r="AR222" s="121">
        <f t="shared" si="225"/>
        <v>45170</v>
      </c>
      <c r="AS222" s="73">
        <f t="shared" ca="1" si="257"/>
        <v>42.845574818283183</v>
      </c>
      <c r="AT222" s="15">
        <f t="shared" ca="1" si="226"/>
        <v>3.7576023682589574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112.72807104776872</v>
      </c>
      <c r="AY222" s="127">
        <f t="shared" ca="1" si="230"/>
        <v>3.8295526606888544</v>
      </c>
      <c r="AZ222" s="127">
        <f t="shared" ca="1" si="253"/>
        <v>46.041937258247906</v>
      </c>
      <c r="BB222" s="121">
        <f t="shared" si="231"/>
        <v>45170</v>
      </c>
      <c r="BC222" s="73">
        <f t="shared" ca="1" si="258"/>
        <v>42.845574818283183</v>
      </c>
      <c r="BD222" s="15">
        <f t="shared" ca="1" si="232"/>
        <v>3.7576023682589574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112.72807104776872</v>
      </c>
      <c r="BI222" s="127">
        <f t="shared" ca="1" si="236"/>
        <v>4.134524785654949</v>
      </c>
      <c r="BJ222" s="127">
        <f t="shared" ca="1" si="254"/>
        <v>62.459902175225636</v>
      </c>
      <c r="BL222" s="121">
        <f t="shared" si="237"/>
        <v>45170</v>
      </c>
      <c r="BM222" s="73">
        <f t="shared" ca="1" si="259"/>
        <v>42.845574818283183</v>
      </c>
      <c r="BN222" s="15">
        <f t="shared" ca="1" si="238"/>
        <v>3.7576023682589574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112.72807104776872</v>
      </c>
      <c r="BS222" s="127">
        <f t="shared" ca="1" si="242"/>
        <v>3.0250301223314366</v>
      </c>
      <c r="BT222" s="127">
        <f t="shared" ca="1" si="255"/>
        <v>20.594625059974675</v>
      </c>
      <c r="BZ222" s="583">
        <f t="shared" si="243"/>
        <v>1</v>
      </c>
      <c r="CA222" s="121">
        <f t="shared" si="244"/>
        <v>45170</v>
      </c>
      <c r="CB222" s="127">
        <f t="shared" ca="1" si="245"/>
        <v>42.845574818283183</v>
      </c>
      <c r="CC222" s="15">
        <f t="shared" ca="1" si="246"/>
        <v>3.7576023682589574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112.72807104776872</v>
      </c>
      <c r="CH222" s="127">
        <f t="shared" ca="1" si="250"/>
        <v>4.0425197682055671</v>
      </c>
      <c r="CI222" s="127">
        <f t="shared" ca="1" si="256"/>
        <v>56.969712570739674</v>
      </c>
    </row>
    <row r="223" spans="24:87" x14ac:dyDescent="0.2">
      <c r="X223" s="121">
        <f t="shared" si="211"/>
        <v>45200</v>
      </c>
      <c r="Y223" s="73">
        <f t="shared" ca="1" si="212"/>
        <v>44.019815059445179</v>
      </c>
      <c r="Z223" s="15">
        <f t="shared" ca="1" si="213"/>
        <v>3.7846398748047374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117.32383611894686</v>
      </c>
      <c r="AE223" s="127">
        <f t="shared" ca="1" si="217"/>
        <v>3.9996783305813239</v>
      </c>
      <c r="AF223" s="127">
        <f t="shared" ca="1" si="251"/>
        <v>54.580590302327899</v>
      </c>
      <c r="AH223" s="121">
        <f t="shared" si="218"/>
        <v>45200</v>
      </c>
      <c r="AI223" s="73">
        <f t="shared" ca="1" si="219"/>
        <v>43.484949572981428</v>
      </c>
      <c r="AJ223" s="15">
        <f t="shared" ca="1" si="220"/>
        <v>3.7724148913993734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116.94486163338057</v>
      </c>
      <c r="AO223" s="127">
        <f t="shared" ca="1" si="224"/>
        <v>4.0374126212455419</v>
      </c>
      <c r="AP223" s="127">
        <f t="shared" ca="1" si="252"/>
        <v>56.679501582250609</v>
      </c>
      <c r="AR223" s="121">
        <f t="shared" si="225"/>
        <v>45200</v>
      </c>
      <c r="AS223" s="73">
        <f t="shared" ca="1" si="257"/>
        <v>43.484949572981428</v>
      </c>
      <c r="AT223" s="15">
        <f t="shared" ca="1" si="226"/>
        <v>3.7724148913993734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116.94486163338057</v>
      </c>
      <c r="AY223" s="127">
        <f t="shared" ca="1" si="230"/>
        <v>3.8295526606888544</v>
      </c>
      <c r="AZ223" s="127">
        <f t="shared" ca="1" si="253"/>
        <v>46.041937258247906</v>
      </c>
      <c r="BB223" s="121">
        <f t="shared" si="231"/>
        <v>45200</v>
      </c>
      <c r="BC223" s="73">
        <f t="shared" ca="1" si="258"/>
        <v>43.484949572981428</v>
      </c>
      <c r="BD223" s="15">
        <f t="shared" ca="1" si="232"/>
        <v>3.7724148913993734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116.94486163338057</v>
      </c>
      <c r="BI223" s="127">
        <f t="shared" ca="1" si="236"/>
        <v>4.134524785654949</v>
      </c>
      <c r="BJ223" s="127">
        <f t="shared" ca="1" si="254"/>
        <v>62.459902175225636</v>
      </c>
      <c r="BL223" s="121">
        <f t="shared" si="237"/>
        <v>45200</v>
      </c>
      <c r="BM223" s="73">
        <f t="shared" ca="1" si="259"/>
        <v>43.484949572981428</v>
      </c>
      <c r="BN223" s="15">
        <f t="shared" ca="1" si="238"/>
        <v>3.7724148913993734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116.94486163338057</v>
      </c>
      <c r="BS223" s="127">
        <f t="shared" ca="1" si="242"/>
        <v>3.0250301223314366</v>
      </c>
      <c r="BT223" s="127">
        <f t="shared" ca="1" si="255"/>
        <v>20.594625059974675</v>
      </c>
      <c r="BZ223" s="583">
        <f t="shared" si="243"/>
        <v>1</v>
      </c>
      <c r="CA223" s="121">
        <f t="shared" si="244"/>
        <v>45200</v>
      </c>
      <c r="CB223" s="127">
        <f t="shared" ca="1" si="245"/>
        <v>43.484949572981428</v>
      </c>
      <c r="CC223" s="15">
        <f t="shared" ca="1" si="246"/>
        <v>3.7724148913993734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116.94486163338057</v>
      </c>
      <c r="CH223" s="127">
        <f t="shared" ca="1" si="250"/>
        <v>4.0425197682055671</v>
      </c>
      <c r="CI223" s="127">
        <f t="shared" ca="1" si="256"/>
        <v>56.969712570739674</v>
      </c>
    </row>
    <row r="224" spans="24:87" x14ac:dyDescent="0.2">
      <c r="X224" s="121">
        <f t="shared" si="211"/>
        <v>45231</v>
      </c>
      <c r="Y224" s="73">
        <f t="shared" ca="1" si="212"/>
        <v>51.148529656089053</v>
      </c>
      <c r="Z224" s="15">
        <f t="shared" ca="1" si="213"/>
        <v>3.9347337462579599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125.91147988025472</v>
      </c>
      <c r="AE224" s="127">
        <f t="shared" ca="1" si="217"/>
        <v>3.9996783305813239</v>
      </c>
      <c r="AF224" s="127">
        <f t="shared" ca="1" si="251"/>
        <v>54.580590302327899</v>
      </c>
      <c r="AH224" s="121">
        <f t="shared" si="218"/>
        <v>45231</v>
      </c>
      <c r="AI224" s="73">
        <f t="shared" ca="1" si="219"/>
        <v>42.307684108216954</v>
      </c>
      <c r="AJ224" s="15">
        <f t="shared" ca="1" si="220"/>
        <v>3.74496872695918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119.83899926269376</v>
      </c>
      <c r="AO224" s="127">
        <f t="shared" ca="1" si="224"/>
        <v>4.0374126212455419</v>
      </c>
      <c r="AP224" s="127">
        <f t="shared" ca="1" si="252"/>
        <v>56.679501582250609</v>
      </c>
      <c r="AR224" s="121">
        <f t="shared" si="225"/>
        <v>45231</v>
      </c>
      <c r="AS224" s="73">
        <f t="shared" ca="1" si="257"/>
        <v>42.307684108216954</v>
      </c>
      <c r="AT224" s="15">
        <f t="shared" ca="1" si="226"/>
        <v>3.74496872695918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119.83899926269376</v>
      </c>
      <c r="AY224" s="127">
        <f t="shared" ca="1" si="230"/>
        <v>3.8295526606888544</v>
      </c>
      <c r="AZ224" s="127">
        <f t="shared" ca="1" si="253"/>
        <v>46.041937258247906</v>
      </c>
      <c r="BB224" s="121">
        <f t="shared" si="231"/>
        <v>45231</v>
      </c>
      <c r="BC224" s="73">
        <f t="shared" ca="1" si="258"/>
        <v>42.307684108216954</v>
      </c>
      <c r="BD224" s="15">
        <f t="shared" ca="1" si="232"/>
        <v>3.74496872695918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119.83899926269376</v>
      </c>
      <c r="BI224" s="127">
        <f t="shared" ca="1" si="236"/>
        <v>4.134524785654949</v>
      </c>
      <c r="BJ224" s="127">
        <f t="shared" ca="1" si="254"/>
        <v>62.459902175225636</v>
      </c>
      <c r="BL224" s="121">
        <f t="shared" si="237"/>
        <v>45231</v>
      </c>
      <c r="BM224" s="73">
        <f t="shared" ca="1" si="259"/>
        <v>42.307684108216954</v>
      </c>
      <c r="BN224" s="15">
        <f t="shared" ca="1" si="238"/>
        <v>3.74496872695918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119.83899926269376</v>
      </c>
      <c r="BS224" s="127">
        <f t="shared" ca="1" si="242"/>
        <v>3.0250301223314366</v>
      </c>
      <c r="BT224" s="127">
        <f t="shared" ca="1" si="255"/>
        <v>20.594625059974675</v>
      </c>
      <c r="BZ224" s="583">
        <f t="shared" si="243"/>
        <v>1</v>
      </c>
      <c r="CA224" s="121">
        <f t="shared" si="244"/>
        <v>45231</v>
      </c>
      <c r="CB224" s="127">
        <f t="shared" ca="1" si="245"/>
        <v>42.307684108216954</v>
      </c>
      <c r="CC224" s="15">
        <f t="shared" ca="1" si="246"/>
        <v>3.74496872695918</v>
      </c>
      <c r="CD224" s="98">
        <f t="shared" ca="1" si="247"/>
        <v>1</v>
      </c>
      <c r="CE224" s="128">
        <f ca="1">IF(CD224&gt;0,32,0)</f>
        <v>32</v>
      </c>
      <c r="CF224" s="128">
        <f t="shared" ca="1" si="248"/>
        <v>1024</v>
      </c>
      <c r="CG224" s="15">
        <f t="shared" ca="1" si="249"/>
        <v>119.83899926269376</v>
      </c>
      <c r="CH224" s="127">
        <f t="shared" ca="1" si="250"/>
        <v>4.0425197682055671</v>
      </c>
      <c r="CI224" s="127">
        <f t="shared" ca="1" si="256"/>
        <v>56.969712570739674</v>
      </c>
    </row>
    <row r="225" spans="24:87" x14ac:dyDescent="0.2">
      <c r="X225" s="121">
        <f t="shared" si="211"/>
        <v>45261</v>
      </c>
      <c r="Y225" s="73">
        <f t="shared" ca="1" si="212"/>
        <v>43.884263959390864</v>
      </c>
      <c r="Z225" s="15">
        <f t="shared" ca="1" si="213"/>
        <v>3.7815558038717749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124.79134152776857</v>
      </c>
      <c r="AE225" s="127">
        <f t="shared" ca="1" si="217"/>
        <v>3.9996783305813239</v>
      </c>
      <c r="AF225" s="127">
        <f t="shared" ca="1" si="251"/>
        <v>54.580590302327899</v>
      </c>
      <c r="AH225" s="121">
        <f t="shared" si="218"/>
        <v>45261</v>
      </c>
      <c r="AI225" s="73">
        <f t="shared" ca="1" si="219"/>
        <v>43.211595904755143</v>
      </c>
      <c r="AJ225" s="15">
        <f t="shared" ca="1" si="220"/>
        <v>3.766108882952047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124.28159313741756</v>
      </c>
      <c r="AO225" s="127">
        <f t="shared" ca="1" si="224"/>
        <v>4.0374126212455419</v>
      </c>
      <c r="AP225" s="127">
        <f t="shared" ca="1" si="252"/>
        <v>56.679501582250609</v>
      </c>
      <c r="AR225" s="121">
        <f t="shared" si="225"/>
        <v>45261</v>
      </c>
      <c r="AS225" s="73">
        <f t="shared" ca="1" si="257"/>
        <v>43.211595904755143</v>
      </c>
      <c r="AT225" s="15">
        <f t="shared" ca="1" si="226"/>
        <v>3.766108882952047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124.28159313741756</v>
      </c>
      <c r="AY225" s="127">
        <f t="shared" ca="1" si="230"/>
        <v>3.8295526606888544</v>
      </c>
      <c r="AZ225" s="127">
        <f t="shared" ca="1" si="253"/>
        <v>46.041937258247906</v>
      </c>
      <c r="BB225" s="121">
        <f t="shared" si="231"/>
        <v>45261</v>
      </c>
      <c r="BC225" s="73">
        <f t="shared" ca="1" si="258"/>
        <v>43.211595904755143</v>
      </c>
      <c r="BD225" s="15">
        <f t="shared" ca="1" si="232"/>
        <v>3.766108882952047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124.28159313741756</v>
      </c>
      <c r="BI225" s="127">
        <f t="shared" ca="1" si="236"/>
        <v>4.134524785654949</v>
      </c>
      <c r="BJ225" s="127">
        <f t="shared" ca="1" si="254"/>
        <v>62.459902175225636</v>
      </c>
      <c r="BL225" s="121">
        <f t="shared" si="237"/>
        <v>45261</v>
      </c>
      <c r="BM225" s="73">
        <f t="shared" ca="1" si="259"/>
        <v>43.211595904755143</v>
      </c>
      <c r="BN225" s="15">
        <f t="shared" ca="1" si="238"/>
        <v>3.766108882952047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124.28159313741756</v>
      </c>
      <c r="BS225" s="127">
        <f t="shared" ca="1" si="242"/>
        <v>3.0250301223314366</v>
      </c>
      <c r="BT225" s="127">
        <f t="shared" ca="1" si="255"/>
        <v>20.594625059974675</v>
      </c>
      <c r="BZ225" s="583">
        <f t="shared" si="243"/>
        <v>0</v>
      </c>
      <c r="CA225" s="121">
        <f t="shared" si="244"/>
        <v>45261</v>
      </c>
      <c r="CB225" s="127">
        <f t="shared" ca="1" si="245"/>
        <v>0</v>
      </c>
      <c r="CC225" s="15">
        <f t="shared" ca="1" si="246"/>
        <v>0</v>
      </c>
      <c r="CD225" s="98">
        <f t="shared" ca="1" si="247"/>
        <v>0</v>
      </c>
      <c r="CE225" s="128">
        <f ca="1">IF(CD225&gt;0,33,0)</f>
        <v>0</v>
      </c>
      <c r="CF225" s="128">
        <f t="shared" ca="1" si="248"/>
        <v>0</v>
      </c>
      <c r="CG225" s="15">
        <f t="shared" ca="1" si="249"/>
        <v>0</v>
      </c>
      <c r="CH225" s="127">
        <f t="shared" ca="1" si="250"/>
        <v>4.0425197682055671</v>
      </c>
      <c r="CI225" s="127">
        <f t="shared" ca="1" si="256"/>
        <v>56.969712570739674</v>
      </c>
    </row>
    <row r="226" spans="24:87" x14ac:dyDescent="0.2">
      <c r="X226" s="121">
        <f t="shared" si="211"/>
        <v>45292</v>
      </c>
      <c r="Y226" s="73">
        <f t="shared" ca="1" si="212"/>
        <v>46.809375000000003</v>
      </c>
      <c r="Z226" s="15">
        <f t="shared" ca="1" si="213"/>
        <v>3.8460835033749468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130.76683911474819</v>
      </c>
      <c r="AE226" s="127">
        <f t="shared" ca="1" si="217"/>
        <v>3.9996783305813239</v>
      </c>
      <c r="AF226" s="127">
        <f t="shared" ca="1" si="251"/>
        <v>54.580590302327899</v>
      </c>
      <c r="AH226" s="121">
        <f t="shared" si="218"/>
        <v>45292</v>
      </c>
      <c r="AI226" s="73">
        <f t="shared" ca="1" si="219"/>
        <v>43.049952073817124</v>
      </c>
      <c r="AJ226" s="15">
        <f t="shared" ca="1" si="220"/>
        <v>3.7623611176052254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127.92027799857766</v>
      </c>
      <c r="AO226" s="127">
        <f t="shared" ca="1" si="224"/>
        <v>4.0374126212455419</v>
      </c>
      <c r="AP226" s="127">
        <f t="shared" ca="1" si="252"/>
        <v>56.679501582250609</v>
      </c>
      <c r="AR226" s="121">
        <f t="shared" si="225"/>
        <v>45292</v>
      </c>
      <c r="AS226" s="73">
        <f t="shared" ca="1" si="257"/>
        <v>43.049952073817124</v>
      </c>
      <c r="AT226" s="15">
        <f t="shared" ca="1" si="226"/>
        <v>3.7623611176052254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127.92027799857766</v>
      </c>
      <c r="AY226" s="127">
        <f t="shared" ca="1" si="230"/>
        <v>3.8295526606888544</v>
      </c>
      <c r="AZ226" s="127">
        <f t="shared" ca="1" si="253"/>
        <v>46.041937258247906</v>
      </c>
      <c r="BB226" s="121">
        <f t="shared" si="231"/>
        <v>45292</v>
      </c>
      <c r="BC226" s="73">
        <f t="shared" ca="1" si="258"/>
        <v>43.049952073817124</v>
      </c>
      <c r="BD226" s="15">
        <f t="shared" ca="1" si="232"/>
        <v>3.7623611176052254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127.92027799857766</v>
      </c>
      <c r="BI226" s="127">
        <f t="shared" ca="1" si="236"/>
        <v>4.134524785654949</v>
      </c>
      <c r="BJ226" s="127">
        <f t="shared" ca="1" si="254"/>
        <v>62.459902175225636</v>
      </c>
      <c r="BL226" s="121">
        <f t="shared" si="237"/>
        <v>45292</v>
      </c>
      <c r="BM226" s="73">
        <f t="shared" ca="1" si="259"/>
        <v>43.049952073817124</v>
      </c>
      <c r="BN226" s="15">
        <f t="shared" ca="1" si="238"/>
        <v>3.7623611176052254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127.92027799857766</v>
      </c>
      <c r="BS226" s="127">
        <f t="shared" ca="1" si="242"/>
        <v>3.0250301223314366</v>
      </c>
      <c r="BT226" s="127">
        <f t="shared" ca="1" si="255"/>
        <v>20.594625059974675</v>
      </c>
      <c r="BZ226" s="583">
        <f t="shared" si="243"/>
        <v>0</v>
      </c>
      <c r="CA226" s="121">
        <f t="shared" si="244"/>
        <v>45292</v>
      </c>
      <c r="CB226" s="127">
        <f t="shared" ca="1" si="245"/>
        <v>0</v>
      </c>
      <c r="CC226" s="15">
        <f t="shared" ca="1" si="246"/>
        <v>0</v>
      </c>
      <c r="CD226" s="98">
        <f t="shared" ca="1" si="247"/>
        <v>0</v>
      </c>
      <c r="CE226" s="128">
        <f ca="1">IF(CD226&gt;0,34,0)</f>
        <v>0</v>
      </c>
      <c r="CF226" s="128">
        <f t="shared" ca="1" si="248"/>
        <v>0</v>
      </c>
      <c r="CG226" s="15">
        <f t="shared" ca="1" si="249"/>
        <v>0</v>
      </c>
      <c r="CH226" s="127">
        <f t="shared" ca="1" si="250"/>
        <v>4.0425197682055671</v>
      </c>
      <c r="CI226" s="127">
        <f t="shared" ca="1" si="256"/>
        <v>56.969712570739674</v>
      </c>
    </row>
    <row r="227" spans="24:87" x14ac:dyDescent="0.2">
      <c r="X227" s="121">
        <f t="shared" si="211"/>
        <v>45323</v>
      </c>
      <c r="Y227" s="73">
        <f t="shared" ca="1" si="212"/>
        <v>34.877551020408163</v>
      </c>
      <c r="Z227" s="15">
        <f t="shared" ca="1" si="213"/>
        <v>3.5518433850049642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124.31451847517374</v>
      </c>
      <c r="AE227" s="127">
        <f t="shared" ca="1" si="217"/>
        <v>3.9996783305813239</v>
      </c>
      <c r="AF227" s="127">
        <f t="shared" ca="1" si="251"/>
        <v>54.580590302327899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4.0374126212455419</v>
      </c>
      <c r="AP227" s="127">
        <f t="shared" ca="1" si="252"/>
        <v>56.679501582250609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3.8295526606888544</v>
      </c>
      <c r="AZ227" s="127">
        <f t="shared" ca="1" si="253"/>
        <v>46.041937258247906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4.134524785654949</v>
      </c>
      <c r="BJ227" s="127">
        <f t="shared" ca="1" si="254"/>
        <v>62.459902175225636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3.0250301223314366</v>
      </c>
      <c r="BT227" s="127">
        <f t="shared" ca="1" si="255"/>
        <v>20.594625059974675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4.0425197682055671</v>
      </c>
      <c r="CI227" s="127">
        <f t="shared" ca="1" si="256"/>
        <v>56.969712570739674</v>
      </c>
    </row>
    <row r="228" spans="24:87" x14ac:dyDescent="0.2">
      <c r="X228" s="121">
        <f t="shared" si="211"/>
        <v>45352</v>
      </c>
      <c r="Y228" s="73">
        <f t="shared" ca="1" si="212"/>
        <v>38.530040733197559</v>
      </c>
      <c r="Z228" s="15">
        <f t="shared" ca="1" si="213"/>
        <v>3.6514382158188612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131.45177576947901</v>
      </c>
      <c r="AE228" s="127">
        <f t="shared" ca="1" si="217"/>
        <v>3.9996783305813239</v>
      </c>
      <c r="AF228" s="127">
        <f t="shared" ca="1" si="251"/>
        <v>54.580590302327899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4.0374126212455419</v>
      </c>
      <c r="AP228" s="127">
        <f t="shared" ca="1" si="252"/>
        <v>56.679501582250609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3.8295526606888544</v>
      </c>
      <c r="AZ228" s="127">
        <f t="shared" ca="1" si="253"/>
        <v>46.041937258247906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4.134524785654949</v>
      </c>
      <c r="BJ228" s="127">
        <f t="shared" ca="1" si="254"/>
        <v>62.459902175225636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3.0250301223314366</v>
      </c>
      <c r="BT228" s="127">
        <f t="shared" ca="1" si="255"/>
        <v>20.594625059974675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4.0425197682055671</v>
      </c>
      <c r="CI228" s="127">
        <f t="shared" ca="1" si="256"/>
        <v>56.969712570739674</v>
      </c>
    </row>
    <row r="229" spans="24:87" x14ac:dyDescent="0.2">
      <c r="X229" s="121" t="s">
        <v>86</v>
      </c>
      <c r="Y229" s="73">
        <f t="shared" ref="Y229:AD229" ca="1" si="260">SUM(Y193:Y228)</f>
        <v>1686.3619537214856</v>
      </c>
      <c r="Z229" s="15">
        <f t="shared" ca="1" si="260"/>
        <v>137.44584793308988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2504.5831836164425</v>
      </c>
      <c r="AE229" s="66"/>
      <c r="AF229" s="120"/>
      <c r="AH229" s="121" t="s">
        <v>86</v>
      </c>
      <c r="AI229" s="73">
        <f t="shared" ref="AI229:AN229" ca="1" si="261">SUM(AI193:AI228)</f>
        <v>1425.5042616799169</v>
      </c>
      <c r="AJ229" s="15">
        <f t="shared" ca="1" si="261"/>
        <v>118.41117675424373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2227.2872976130479</v>
      </c>
      <c r="AO229" s="66"/>
      <c r="AP229" s="120"/>
      <c r="AR229" s="121" t="s">
        <v>86</v>
      </c>
      <c r="AS229" s="73">
        <f t="shared" ref="AS229:AX229" ca="1" si="262">SUM(AS193:AS228)</f>
        <v>1053.5758826637336</v>
      </c>
      <c r="AT229" s="15">
        <f t="shared" ca="1" si="262"/>
        <v>90.640761312651691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2034.3501479829572</v>
      </c>
      <c r="AY229" s="66"/>
      <c r="AZ229" s="120"/>
      <c r="BB229" s="121" t="s">
        <v>86</v>
      </c>
      <c r="BC229" s="73">
        <f t="shared" ref="BC229:BH229" ca="1" si="263">SUM(BC193:BC228)</f>
        <v>790.43311297163109</v>
      </c>
      <c r="BD229" s="15">
        <f t="shared" ca="1" si="263"/>
        <v>67.972025815188957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1727.6424727323656</v>
      </c>
      <c r="BI229" s="66"/>
      <c r="BJ229" s="120"/>
      <c r="BL229" s="121" t="s">
        <v>86</v>
      </c>
      <c r="BM229" s="73">
        <f t="shared" ref="BM229:BR229" ca="1" si="264">SUM(BM193:BM228)</f>
        <v>494.40609595938082</v>
      </c>
      <c r="BN229" s="15">
        <f t="shared" ca="1" si="264"/>
        <v>44.605623425927647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1272.796655584038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843.14130629352053</v>
      </c>
      <c r="CC229" s="15">
        <f t="shared" ca="1" si="265"/>
        <v>71.943417785786778</v>
      </c>
      <c r="CD229" s="98">
        <f t="shared" ca="1" si="265"/>
        <v>19</v>
      </c>
      <c r="CE229" s="128">
        <f t="shared" ca="1" si="265"/>
        <v>437</v>
      </c>
      <c r="CF229" s="7">
        <f t="shared" ca="1" si="265"/>
        <v>10621</v>
      </c>
      <c r="CG229" s="15">
        <f t="shared" ca="1" si="265"/>
        <v>1648.1056849743156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3.8179402203636079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69.571755100456741</v>
      </c>
      <c r="AH230" s="7" t="s">
        <v>176</v>
      </c>
      <c r="AI230" s="7"/>
      <c r="AJ230" s="15">
        <f ca="1">+AJ229/AK229</f>
        <v>3.8197153791691525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71.847977342356387</v>
      </c>
      <c r="AR230" s="7" t="s">
        <v>176</v>
      </c>
      <c r="AS230" s="7"/>
      <c r="AT230" s="15">
        <f ca="1">+AT229/AU229</f>
        <v>3.7766983880271536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84.764589499289883</v>
      </c>
      <c r="BB230" s="7" t="s">
        <v>176</v>
      </c>
      <c r="BC230" s="7"/>
      <c r="BD230" s="15">
        <f ca="1">+BD229/BE229</f>
        <v>3.7762236563993863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95.980137374020316</v>
      </c>
      <c r="BL230" s="7" t="s">
        <v>176</v>
      </c>
      <c r="BM230" s="7"/>
      <c r="BN230" s="15">
        <f ca="1">+BN229/BO229</f>
        <v>3.7171352854939705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106.0663879653365</v>
      </c>
      <c r="BZ230" s="583"/>
      <c r="CA230" s="7" t="s">
        <v>176</v>
      </c>
      <c r="CB230" s="7"/>
      <c r="CC230" s="15">
        <f ca="1">+CC229/CD229</f>
        <v>3.7864956729361463</v>
      </c>
      <c r="CD230" s="7"/>
      <c r="CE230" s="7">
        <f ca="1">+CE229/CD229</f>
        <v>23</v>
      </c>
      <c r="CF230" s="7">
        <f ca="1">+CF229/CD229</f>
        <v>559</v>
      </c>
      <c r="CG230" s="15">
        <f ca="1">+CG229/CD229</f>
        <v>86.742404472332396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19</v>
      </c>
    </row>
    <row r="233" spans="24:87" x14ac:dyDescent="0.2">
      <c r="X233" t="s">
        <v>254</v>
      </c>
      <c r="Y233" s="66">
        <f ca="1">Z229</f>
        <v>137.44584793308988</v>
      </c>
      <c r="AH233" t="s">
        <v>254</v>
      </c>
      <c r="AI233" s="66">
        <f ca="1">AJ229</f>
        <v>118.41117675424373</v>
      </c>
      <c r="AR233" t="s">
        <v>254</v>
      </c>
      <c r="AS233" s="66">
        <f ca="1">AT229</f>
        <v>90.640761312651691</v>
      </c>
      <c r="BB233" t="s">
        <v>254</v>
      </c>
      <c r="BC233" s="66">
        <f ca="1">BD229</f>
        <v>67.972025815188957</v>
      </c>
      <c r="BL233" t="s">
        <v>254</v>
      </c>
      <c r="BM233" s="66">
        <f ca="1">BN229</f>
        <v>44.605623425927647</v>
      </c>
      <c r="CA233" t="s">
        <v>254</v>
      </c>
      <c r="CB233" s="66">
        <f ca="1">CC229</f>
        <v>71.943417785786778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69.571755100456741</v>
      </c>
      <c r="AA235" t="s">
        <v>244</v>
      </c>
      <c r="AH235" s="1" t="s">
        <v>255</v>
      </c>
      <c r="AI235" s="59">
        <f ca="1">+AN230</f>
        <v>71.847977342356387</v>
      </c>
      <c r="AK235" t="s">
        <v>244</v>
      </c>
      <c r="AR235" s="1" t="s">
        <v>255</v>
      </c>
      <c r="AS235" s="59">
        <f ca="1">+AX230</f>
        <v>84.764589499289883</v>
      </c>
      <c r="AU235" t="s">
        <v>244</v>
      </c>
      <c r="BB235" s="1" t="s">
        <v>255</v>
      </c>
      <c r="BC235" s="59">
        <f ca="1">+BH230</f>
        <v>95.980137374020316</v>
      </c>
      <c r="BE235" t="s">
        <v>244</v>
      </c>
      <c r="BL235" s="1" t="s">
        <v>255</v>
      </c>
      <c r="BM235" s="59">
        <f ca="1">+BR230</f>
        <v>106.0663879653365</v>
      </c>
      <c r="BO235" t="s">
        <v>244</v>
      </c>
      <c r="CA235" s="1" t="s">
        <v>255</v>
      </c>
      <c r="CB235" s="59">
        <f ca="1">+CG230</f>
        <v>86.742404472332396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23</v>
      </c>
    </row>
    <row r="237" spans="24:87" x14ac:dyDescent="0.2">
      <c r="X237" s="1" t="s">
        <v>256</v>
      </c>
      <c r="Y237" s="59">
        <f ca="1">Y233/Y232</f>
        <v>3.8179402203636079</v>
      </c>
      <c r="AH237" s="1" t="s">
        <v>256</v>
      </c>
      <c r="AI237" s="59">
        <f ca="1">AI233/AI232</f>
        <v>3.8197153791691525</v>
      </c>
      <c r="AR237" s="1" t="s">
        <v>256</v>
      </c>
      <c r="AS237" s="59">
        <f ca="1">AS233/AS232</f>
        <v>3.7766983880271536</v>
      </c>
      <c r="BB237" s="1" t="s">
        <v>256</v>
      </c>
      <c r="BC237" s="59">
        <f ca="1">BC233/BC232</f>
        <v>3.7762236563993863</v>
      </c>
      <c r="BL237" s="1" t="s">
        <v>256</v>
      </c>
      <c r="BM237" s="59">
        <f ca="1">BM233/BM232</f>
        <v>3.7171352854939705</v>
      </c>
      <c r="CA237" s="1" t="s">
        <v>256</v>
      </c>
      <c r="CB237" s="59">
        <f ca="1">CB233/CB232</f>
        <v>3.7864956729361463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559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529</v>
      </c>
    </row>
    <row r="240" spans="24:87" x14ac:dyDescent="0.2">
      <c r="X240" s="28" t="s">
        <v>247</v>
      </c>
      <c r="Y240" s="66">
        <f ca="1">(Y235-Y237*Y236)/(Y238-Y239)</f>
        <v>-9.8236816333900599E-3</v>
      </c>
      <c r="AH240" s="28" t="s">
        <v>247</v>
      </c>
      <c r="AI240" s="66">
        <f ca="1">(AI235-AI237*AI236)/(AI238-AI239)</f>
        <v>-9.0826857732189126E-3</v>
      </c>
      <c r="AR240" s="28" t="s">
        <v>247</v>
      </c>
      <c r="AS240" s="66">
        <f ca="1">(AS235-AS237*AS236)/(AS238-AS239)</f>
        <v>-4.4060709145268802E-3</v>
      </c>
      <c r="BB240" s="28" t="s">
        <v>247</v>
      </c>
      <c r="BC240" s="66">
        <f ca="1">(BC235-BC237*BC236)/(BC238-BC239)</f>
        <v>-1.1649505789375868E-2</v>
      </c>
      <c r="BL240" s="28" t="s">
        <v>247</v>
      </c>
      <c r="BM240" s="66">
        <f ca="1">(BM235-BM237*BM236)/(BM238-BM239)</f>
        <v>1.0743971644056298E-2</v>
      </c>
      <c r="CA240" s="28" t="s">
        <v>247</v>
      </c>
      <c r="CB240" s="66">
        <f ca="1">(CB235-CB237*CB236)/(CB238-CB239)</f>
        <v>-1.1566533506632481E-2</v>
      </c>
    </row>
    <row r="241" spans="24:80" x14ac:dyDescent="0.2">
      <c r="X241" s="28" t="s">
        <v>248</v>
      </c>
      <c r="Y241" s="66">
        <f ca="1">Y237-Y240*Y236</f>
        <v>3.9996783305813239</v>
      </c>
      <c r="AH241" s="28" t="s">
        <v>248</v>
      </c>
      <c r="AI241" s="66">
        <f ca="1">AI237-AI240*AI236</f>
        <v>3.9922864088603118</v>
      </c>
      <c r="AR241" s="28" t="s">
        <v>248</v>
      </c>
      <c r="AS241" s="66">
        <f ca="1">AS237-AS240*AS236</f>
        <v>3.8758349836040082</v>
      </c>
      <c r="BB241" s="28" t="s">
        <v>248</v>
      </c>
      <c r="BC241" s="66">
        <f ca="1">BC237-BC240*BC236</f>
        <v>4.073286054028471</v>
      </c>
      <c r="BL241" s="28" t="s">
        <v>248</v>
      </c>
      <c r="BM241" s="66">
        <f ca="1">BM237-BM240*BM236</f>
        <v>3.4109320936383662</v>
      </c>
      <c r="CA241" s="28" t="s">
        <v>248</v>
      </c>
      <c r="CB241" s="66">
        <f ca="1">CB237-CB240*CB236</f>
        <v>4.0525259435886936</v>
      </c>
    </row>
    <row r="242" spans="24:80" x14ac:dyDescent="0.2">
      <c r="X242" t="s">
        <v>249</v>
      </c>
      <c r="Y242" s="126">
        <f ca="1">EXP(12*Y240+Y241)/EXP(Y241)-1</f>
        <v>-0.11120101229281854</v>
      </c>
      <c r="AH242" t="s">
        <v>249</v>
      </c>
      <c r="AI242" s="126">
        <f ca="1">EXP(12*AI240+AI241)/EXP(AI241)-1</f>
        <v>-0.1032626142324693</v>
      </c>
      <c r="AR242" t="s">
        <v>249</v>
      </c>
      <c r="AS242" s="126">
        <f ca="1">EXP(12*AS240+AS241)/EXP(AS241)-1</f>
        <v>-5.1499394256647291E-2</v>
      </c>
      <c r="BB242" t="s">
        <v>249</v>
      </c>
      <c r="BC242" s="126">
        <f ca="1">EXP(12*BC240+BC241)/EXP(BC241)-1</f>
        <v>-0.13046271876633242</v>
      </c>
      <c r="BL242" t="s">
        <v>249</v>
      </c>
      <c r="BM242" s="126">
        <f ca="1">EXP(12*BM240+BM241)/EXP(BM241)-1</f>
        <v>0.13760782633022606</v>
      </c>
      <c r="CA242" t="s">
        <v>249</v>
      </c>
      <c r="CB242" s="126">
        <f ca="1">EXP(12*CB240+CB241)/EXP(CB241)-1</f>
        <v>-0.12959651769595726</v>
      </c>
    </row>
    <row r="243" spans="24:80" x14ac:dyDescent="0.2">
      <c r="X243" t="s">
        <v>250</v>
      </c>
      <c r="Y243" t="str">
        <f ca="1">FIXED(Y242*100,1,TRUE)</f>
        <v>-11.1</v>
      </c>
      <c r="AH243" t="s">
        <v>250</v>
      </c>
      <c r="AI243" t="str">
        <f ca="1">FIXED(AI242*100,1,TRUE)</f>
        <v>-10.3</v>
      </c>
      <c r="AR243" t="s">
        <v>250</v>
      </c>
      <c r="AS243" t="str">
        <f ca="1">FIXED(AS242*100,1,TRUE)</f>
        <v>-5.1</v>
      </c>
      <c r="BB243" t="s">
        <v>250</v>
      </c>
      <c r="BC243" t="str">
        <f ca="1">FIXED(BC242*100,1,TRUE)</f>
        <v>-13.0</v>
      </c>
      <c r="BL243" t="s">
        <v>250</v>
      </c>
      <c r="BM243" t="str">
        <f ca="1">FIXED(BM242*100,1,TRUE)</f>
        <v>13.8</v>
      </c>
      <c r="CA243" t="s">
        <v>250</v>
      </c>
      <c r="CB243" t="str">
        <f ca="1">FIXED(CB242*100,1,TRUE)</f>
        <v>-13.0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AAMG - Commercial</v>
      </c>
      <c r="AE11" s="198" t="s">
        <v>717</v>
      </c>
      <c r="AN11" s="178"/>
    </row>
    <row r="12" spans="1:40" x14ac:dyDescent="0.2">
      <c r="A12" s="3" t="str">
        <f>Data!$C$1</f>
        <v>AAMG - Commercial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837</v>
      </c>
      <c r="C20" s="41">
        <f>Data!$BO43</f>
        <v>35923.329999999994</v>
      </c>
      <c r="D20" s="41">
        <f>Data!$BM43</f>
        <v>35923.329999999994</v>
      </c>
      <c r="E20" s="41">
        <f>+C20-D20</f>
        <v>0</v>
      </c>
      <c r="F20" s="73">
        <f t="shared" ref="F20:F54" si="0">IF(B20=0,0,+C20/B20)</f>
        <v>42.919151732377529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42.919151732377529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71888.690000000031</v>
      </c>
      <c r="AA20" s="53">
        <f ca="1">Final!C134</f>
        <v>216.23631728013424</v>
      </c>
      <c r="AB20" s="53">
        <f ca="1">Final!E134</f>
        <v>72104.926317280158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2326</v>
      </c>
      <c r="C21" s="41">
        <f>Data!$BO42</f>
        <v>137813.97000000003</v>
      </c>
      <c r="D21" s="41">
        <f>Data!$BM42</f>
        <v>137813.97000000003</v>
      </c>
      <c r="E21" s="41">
        <f t="shared" ref="E21:E55" si="2">+C21-D21</f>
        <v>0</v>
      </c>
      <c r="F21" s="73">
        <f t="shared" si="0"/>
        <v>59.249342218400699</v>
      </c>
      <c r="G21" s="73">
        <f t="shared" si="1"/>
        <v>0</v>
      </c>
      <c r="H21" s="15"/>
      <c r="I21" s="15">
        <f>VLOOKUP($A21,PMPM!$A$81:$C$104,3)</f>
        <v>1</v>
      </c>
      <c r="J21" s="73">
        <f t="shared" ref="J21:J55" si="3">F21*I21</f>
        <v>59.249342218400699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63.902008841356043</v>
      </c>
      <c r="O21" s="120">
        <f>AVERAGE($J20:$J22)*M21</f>
        <v>63.902008841356043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96390.049999999726</v>
      </c>
      <c r="AA21" s="53">
        <f ca="1">Final!C133</f>
        <v>318.6009887797627</v>
      </c>
      <c r="AB21" s="53">
        <f ca="1">Final!E133</f>
        <v>96708.650988779496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1228</v>
      </c>
      <c r="C22" s="41">
        <f>Data!$BO41</f>
        <v>109952.08999999998</v>
      </c>
      <c r="D22" s="41">
        <f>Data!$BM41</f>
        <v>109952.08999999998</v>
      </c>
      <c r="E22" s="41">
        <f t="shared" si="2"/>
        <v>0</v>
      </c>
      <c r="F22" s="73">
        <f t="shared" si="0"/>
        <v>89.537532573289894</v>
      </c>
      <c r="G22" s="73">
        <f t="shared" si="1"/>
        <v>0</v>
      </c>
      <c r="H22" s="15"/>
      <c r="I22" s="15">
        <f>VLOOKUP($A22,PMPM!$A$81:$C$104,3)</f>
        <v>1</v>
      </c>
      <c r="J22" s="73">
        <f t="shared" si="3"/>
        <v>89.537532573289894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64.265644554897719</v>
      </c>
      <c r="O22" s="120">
        <f t="shared" ref="O22:O54" si="8">AVERAGE(J21:J23)*M22</f>
        <v>64.265644554897719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86809.979999999923</v>
      </c>
      <c r="AA22" s="53">
        <f ca="1">Final!C132</f>
        <v>486.41729478684283</v>
      </c>
      <c r="AB22" s="53">
        <f ca="1">Final!E132</f>
        <v>87296.397294786759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1189</v>
      </c>
      <c r="C23" s="41">
        <f>Data!$BO40</f>
        <v>52327.960000000014</v>
      </c>
      <c r="D23" s="41">
        <f>Data!$BM40</f>
        <v>52327.960000000014</v>
      </c>
      <c r="E23" s="41">
        <f t="shared" si="2"/>
        <v>0</v>
      </c>
      <c r="F23" s="73">
        <f t="shared" si="0"/>
        <v>44.010058873002535</v>
      </c>
      <c r="G23" s="73">
        <f t="shared" si="1"/>
        <v>0</v>
      </c>
      <c r="H23" s="15"/>
      <c r="I23" s="15">
        <f>VLOOKUP($A23,PMPM!$A$81:$C$104,3)</f>
        <v>1</v>
      </c>
      <c r="J23" s="73">
        <f t="shared" si="3"/>
        <v>44.010058873002535</v>
      </c>
      <c r="L23" s="2">
        <f t="shared" si="4"/>
        <v>1</v>
      </c>
      <c r="M23">
        <f t="shared" si="6"/>
        <v>1</v>
      </c>
      <c r="N23" s="120">
        <f t="shared" si="7"/>
        <v>64.621219816593239</v>
      </c>
      <c r="O23" s="120">
        <f t="shared" si="8"/>
        <v>64.621219816593239</v>
      </c>
      <c r="P23">
        <f t="shared" si="5"/>
        <v>1</v>
      </c>
      <c r="Q23" s="120">
        <f t="shared" ref="Q23:Q53" si="9">AVERAGE($F20:$F25)*P23</f>
        <v>57.23306056082847</v>
      </c>
      <c r="R23" s="120">
        <f t="shared" ref="R23:R53" si="10">AVERAGE($J20:$J25)*P23</f>
        <v>57.23306056082847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78881.999999999738</v>
      </c>
      <c r="AA23" s="53">
        <f ca="1">Final!C131</f>
        <v>564.33991275102017</v>
      </c>
      <c r="AB23" s="53">
        <f ca="1">Final!E131</f>
        <v>79446.339912750758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1147</v>
      </c>
      <c r="C24" s="41">
        <f>Data!$BO39</f>
        <v>69182.52999999997</v>
      </c>
      <c r="D24" s="41">
        <f>Data!$BM39</f>
        <v>69182.52999999997</v>
      </c>
      <c r="E24" s="41">
        <f t="shared" si="2"/>
        <v>0</v>
      </c>
      <c r="F24" s="73">
        <f t="shared" si="0"/>
        <v>60.316068003487331</v>
      </c>
      <c r="G24" s="73">
        <f t="shared" si="1"/>
        <v>0</v>
      </c>
      <c r="H24" s="15"/>
      <c r="I24" s="15">
        <f>VLOOKUP($A24,PMPM!$A$81:$C$104,3)</f>
        <v>1</v>
      </c>
      <c r="J24" s="73">
        <f t="shared" si="3"/>
        <v>60.316068003487331</v>
      </c>
      <c r="L24" s="2">
        <f t="shared" si="4"/>
        <v>1</v>
      </c>
      <c r="M24">
        <f t="shared" si="6"/>
        <v>1</v>
      </c>
      <c r="N24" s="120">
        <f t="shared" si="7"/>
        <v>50.56411228030089</v>
      </c>
      <c r="O24" s="120">
        <f t="shared" si="8"/>
        <v>50.56411228030089</v>
      </c>
      <c r="P24">
        <f t="shared" si="5"/>
        <v>1</v>
      </c>
      <c r="Q24" s="120">
        <f t="shared" si="9"/>
        <v>60.949740631930261</v>
      </c>
      <c r="R24" s="120">
        <f t="shared" si="10"/>
        <v>60.949740631930261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74416.329999999783</v>
      </c>
      <c r="AA24" s="53">
        <f ca="1">Final!C130</f>
        <v>682.68963175249519</v>
      </c>
      <c r="AB24" s="53">
        <f ca="1">Final!E130</f>
        <v>75099.019631752279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1124</v>
      </c>
      <c r="C25" s="41">
        <f>Data!$BO38</f>
        <v>53239.62</v>
      </c>
      <c r="D25" s="41">
        <f>Data!$BM38</f>
        <v>53239.62</v>
      </c>
      <c r="E25" s="41">
        <f t="shared" si="2"/>
        <v>0</v>
      </c>
      <c r="F25" s="73">
        <f t="shared" si="0"/>
        <v>47.366209964412811</v>
      </c>
      <c r="G25" s="73">
        <f t="shared" si="1"/>
        <v>0</v>
      </c>
      <c r="H25" s="15"/>
      <c r="I25" s="15">
        <f>VLOOKUP($A25,PMPM!$A$81:$C$104,3)</f>
        <v>1</v>
      </c>
      <c r="J25" s="73">
        <f t="shared" si="3"/>
        <v>47.366209964412811</v>
      </c>
      <c r="L25" s="2">
        <f t="shared" si="4"/>
        <v>1</v>
      </c>
      <c r="M25">
        <f t="shared" si="6"/>
        <v>1</v>
      </c>
      <c r="N25" s="120">
        <f t="shared" si="7"/>
        <v>57.633836708962804</v>
      </c>
      <c r="O25" s="120">
        <f t="shared" si="8"/>
        <v>57.633836708962804</v>
      </c>
      <c r="P25">
        <f t="shared" si="5"/>
        <v>1</v>
      </c>
      <c r="Q25" s="120">
        <f t="shared" si="9"/>
        <v>60.521242705828733</v>
      </c>
      <c r="R25" s="120">
        <f t="shared" si="10"/>
        <v>60.521242705828733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271555.43999999959</v>
      </c>
      <c r="AA25" s="53">
        <f ca="1">Final!C129</f>
        <v>1568.5777351156285</v>
      </c>
      <c r="AB25" s="53">
        <f ca="1">Final!E129</f>
        <v>273124.01773511525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1107</v>
      </c>
      <c r="C26" s="41">
        <f>Data!$BO37</f>
        <v>72197.69</v>
      </c>
      <c r="D26" s="41">
        <f>Data!$BM37</f>
        <v>72197.69</v>
      </c>
      <c r="E26" s="41">
        <f t="shared" si="2"/>
        <v>0</v>
      </c>
      <c r="F26" s="73">
        <f t="shared" si="0"/>
        <v>65.219232158988262</v>
      </c>
      <c r="G26" s="73">
        <f t="shared" si="1"/>
        <v>0</v>
      </c>
      <c r="H26" s="15"/>
      <c r="I26" s="15">
        <f>VLOOKUP($A26,PMPM!$A$81:$C$104,3)</f>
        <v>1</v>
      </c>
      <c r="J26" s="73">
        <f t="shared" si="3"/>
        <v>65.219232158988262</v>
      </c>
      <c r="L26" s="2">
        <f t="shared" si="4"/>
        <v>1</v>
      </c>
      <c r="M26">
        <f t="shared" si="6"/>
        <v>1</v>
      </c>
      <c r="N26" s="120">
        <f t="shared" si="7"/>
        <v>56.421265595064227</v>
      </c>
      <c r="O26" s="120">
        <f t="shared" si="8"/>
        <v>56.421265595064227</v>
      </c>
      <c r="P26">
        <f t="shared" si="5"/>
        <v>1</v>
      </c>
      <c r="Q26" s="120">
        <f t="shared" si="9"/>
        <v>54.076775346491452</v>
      </c>
      <c r="R26" s="120">
        <f t="shared" si="10"/>
        <v>54.076775346491452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304004.92999999982</v>
      </c>
      <c r="AA26" s="53">
        <f ca="1">Final!C128</f>
        <v>2915.2877351156203</v>
      </c>
      <c r="AB26" s="53">
        <f ca="1">Final!E128</f>
        <v>306920.21773511544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1094</v>
      </c>
      <c r="C27" s="41">
        <f>Data!$BO36</f>
        <v>62006.120000000024</v>
      </c>
      <c r="D27" s="41">
        <f>Data!$BM36</f>
        <v>62006.120000000024</v>
      </c>
      <c r="E27" s="41">
        <f t="shared" si="2"/>
        <v>0</v>
      </c>
      <c r="F27" s="73">
        <f t="shared" si="0"/>
        <v>56.678354661791616</v>
      </c>
      <c r="G27" s="73">
        <f t="shared" si="1"/>
        <v>0</v>
      </c>
      <c r="H27" s="15"/>
      <c r="I27" s="15">
        <f>VLOOKUP($A27,PMPM!$A$81:$C$104,3)</f>
        <v>1</v>
      </c>
      <c r="J27" s="73">
        <f t="shared" si="3"/>
        <v>56.678354661791616</v>
      </c>
      <c r="L27" s="2">
        <f t="shared" si="4"/>
        <v>1</v>
      </c>
      <c r="M27">
        <f t="shared" si="6"/>
        <v>1</v>
      </c>
      <c r="N27" s="120">
        <f t="shared" si="7"/>
        <v>57.589438412682028</v>
      </c>
      <c r="O27" s="120">
        <f t="shared" si="8"/>
        <v>57.589438412682028</v>
      </c>
      <c r="P27">
        <f t="shared" si="5"/>
        <v>1</v>
      </c>
      <c r="Q27" s="120">
        <f t="shared" si="9"/>
        <v>52.922063795715268</v>
      </c>
      <c r="R27" s="120">
        <f t="shared" si="10"/>
        <v>52.922063795715268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425895.56000000029</v>
      </c>
      <c r="AA27" s="53">
        <f ca="1">Final!C127</f>
        <v>5533.8977351153735</v>
      </c>
      <c r="AB27" s="53">
        <f ca="1">Final!E127</f>
        <v>431429.45773511566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1112</v>
      </c>
      <c r="C28" s="41">
        <f>Data!$BO35</f>
        <v>56568.250000000022</v>
      </c>
      <c r="D28" s="41">
        <f>Data!$BM35</f>
        <v>56568.250000000022</v>
      </c>
      <c r="E28" s="41">
        <f t="shared" si="2"/>
        <v>0</v>
      </c>
      <c r="F28" s="73">
        <f t="shared" si="0"/>
        <v>50.870728417266207</v>
      </c>
      <c r="G28" s="73">
        <f t="shared" si="1"/>
        <v>0</v>
      </c>
      <c r="H28" s="15"/>
      <c r="I28" s="15">
        <f>VLOOKUP($A28,PMPM!$A$81:$C$104,3)</f>
        <v>1</v>
      </c>
      <c r="J28" s="73">
        <f t="shared" si="3"/>
        <v>50.870728417266207</v>
      </c>
      <c r="L28" s="2">
        <f t="shared" si="4"/>
        <v>1</v>
      </c>
      <c r="M28">
        <f t="shared" si="6"/>
        <v>1</v>
      </c>
      <c r="N28" s="120">
        <f t="shared" si="7"/>
        <v>48.210290882467717</v>
      </c>
      <c r="O28" s="120">
        <f t="shared" si="8"/>
        <v>48.210290882467717</v>
      </c>
      <c r="P28">
        <f t="shared" si="5"/>
        <v>1</v>
      </c>
      <c r="Q28" s="120">
        <f t="shared" si="9"/>
        <v>50.380168600563898</v>
      </c>
      <c r="R28" s="120">
        <f t="shared" si="10"/>
        <v>50.380168600563898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406825.34999999992</v>
      </c>
      <c r="AA28" s="53">
        <f ca="1">Final!C126</f>
        <v>8521.1677351153339</v>
      </c>
      <c r="AB28" s="53">
        <f ca="1">Final!E126</f>
        <v>415346.51773511525</v>
      </c>
    </row>
    <row r="29" spans="1:40" x14ac:dyDescent="0.2">
      <c r="A29" s="121">
        <f>Data!AN34</f>
        <v>44562</v>
      </c>
      <c r="B29" s="41">
        <f>Data!AO34</f>
        <v>1112</v>
      </c>
      <c r="C29" s="41">
        <f>Data!$BO34</f>
        <v>41234.950000000004</v>
      </c>
      <c r="D29" s="41">
        <f>Data!$BM34</f>
        <v>41234.950000000004</v>
      </c>
      <c r="E29" s="41">
        <f t="shared" si="2"/>
        <v>0</v>
      </c>
      <c r="F29" s="73">
        <f t="shared" si="0"/>
        <v>37.081789568345329</v>
      </c>
      <c r="G29" s="73">
        <f t="shared" si="1"/>
        <v>0</v>
      </c>
      <c r="H29" s="15"/>
      <c r="I29" s="15">
        <f>VLOOKUP($A29,PMPM!$A$81:$C$104,3)</f>
        <v>1</v>
      </c>
      <c r="J29" s="73">
        <f t="shared" si="3"/>
        <v>37.081789568345329</v>
      </c>
      <c r="L29" s="2">
        <f t="shared" si="4"/>
        <v>1</v>
      </c>
      <c r="M29">
        <f t="shared" si="6"/>
        <v>1</v>
      </c>
      <c r="N29" s="120">
        <f t="shared" si="7"/>
        <v>44.339071606063577</v>
      </c>
      <c r="O29" s="120">
        <f t="shared" si="8"/>
        <v>44.339071606063577</v>
      </c>
      <c r="P29">
        <f t="shared" si="5"/>
        <v>1</v>
      </c>
      <c r="Q29" s="120">
        <f t="shared" si="9"/>
        <v>48.640650662150392</v>
      </c>
      <c r="R29" s="120">
        <f t="shared" si="10"/>
        <v>48.640650662150392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440052.23999999993</v>
      </c>
      <c r="AA29" s="53">
        <f ca="1">Final!C125</f>
        <v>15827.047735115339</v>
      </c>
      <c r="AB29" s="53">
        <f ca="1">Final!E125</f>
        <v>455879.28773511527</v>
      </c>
    </row>
    <row r="30" spans="1:40" x14ac:dyDescent="0.2">
      <c r="A30" s="121">
        <f>Data!AN33</f>
        <v>44593</v>
      </c>
      <c r="B30" s="41">
        <f>Data!AO33</f>
        <v>1105</v>
      </c>
      <c r="C30" s="41">
        <f>Data!$BO33</f>
        <v>49796.490000000005</v>
      </c>
      <c r="D30" s="41">
        <f>Data!$BM33</f>
        <v>49796.490000000005</v>
      </c>
      <c r="E30" s="41">
        <f t="shared" si="2"/>
        <v>0</v>
      </c>
      <c r="F30" s="73">
        <f t="shared" si="0"/>
        <v>45.064696832579187</v>
      </c>
      <c r="G30" s="73">
        <f t="shared" si="1"/>
        <v>0</v>
      </c>
      <c r="H30" s="15"/>
      <c r="I30" s="15">
        <f>VLOOKUP($A30,PMPM!$A$81:$C$104,3)</f>
        <v>1</v>
      </c>
      <c r="J30" s="73">
        <f t="shared" si="3"/>
        <v>45.064696832579187</v>
      </c>
      <c r="L30" s="2">
        <f t="shared" si="4"/>
        <v>1</v>
      </c>
      <c r="M30">
        <f t="shared" si="6"/>
        <v>1</v>
      </c>
      <c r="N30" s="120">
        <f t="shared" si="7"/>
        <v>39.691862911618763</v>
      </c>
      <c r="O30" s="120">
        <f t="shared" si="8"/>
        <v>39.691862911618763</v>
      </c>
      <c r="P30">
        <f t="shared" si="5"/>
        <v>1</v>
      </c>
      <c r="Q30" s="120">
        <f t="shared" si="9"/>
        <v>44.437737273503167</v>
      </c>
      <c r="R30" s="120">
        <f t="shared" si="10"/>
        <v>44.437737273503167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373476.83000000031</v>
      </c>
      <c r="AA30" s="53">
        <f ca="1">Final!C124</f>
        <v>26519.097735115327</v>
      </c>
      <c r="AB30" s="53">
        <f ca="1">Final!E124</f>
        <v>399995.92773511563</v>
      </c>
    </row>
    <row r="31" spans="1:40" x14ac:dyDescent="0.2">
      <c r="A31" s="121">
        <f>Data!AN32</f>
        <v>44621</v>
      </c>
      <c r="B31" s="41">
        <f>Data!AO32</f>
        <v>1114</v>
      </c>
      <c r="C31" s="41">
        <f>Data!$BO32</f>
        <v>41139.020000000004</v>
      </c>
      <c r="D31" s="41">
        <f>Data!$BM32</f>
        <v>41139.020000000004</v>
      </c>
      <c r="E31" s="41">
        <f t="shared" si="2"/>
        <v>0</v>
      </c>
      <c r="F31" s="73">
        <f t="shared" si="0"/>
        <v>36.92910233393178</v>
      </c>
      <c r="G31" s="73">
        <f t="shared" si="1"/>
        <v>0</v>
      </c>
      <c r="H31" s="15"/>
      <c r="I31" s="15">
        <f>VLOOKUP($A31,PMPM!$A$81:$C$104,3)</f>
        <v>1</v>
      </c>
      <c r="J31" s="73">
        <f t="shared" si="3"/>
        <v>36.92910233393178</v>
      </c>
      <c r="L31" s="2">
        <f t="shared" si="4"/>
        <v>1</v>
      </c>
      <c r="M31">
        <f t="shared" si="6"/>
        <v>1</v>
      </c>
      <c r="N31" s="120">
        <f t="shared" si="7"/>
        <v>40.66518366453861</v>
      </c>
      <c r="O31" s="120">
        <f t="shared" si="8"/>
        <v>40.66518366453861</v>
      </c>
      <c r="P31">
        <f t="shared" si="5"/>
        <v>1</v>
      </c>
      <c r="Q31" s="120">
        <f t="shared" si="9"/>
        <v>41.43325922780074</v>
      </c>
      <c r="R31" s="120">
        <f t="shared" si="10"/>
        <v>41.43325922780074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424054.42999999993</v>
      </c>
      <c r="AA31" s="53">
        <f ca="1">Final!C123</f>
        <v>37401.907735115383</v>
      </c>
      <c r="AB31" s="53">
        <f ca="1">Final!E123</f>
        <v>461456.33773511532</v>
      </c>
    </row>
    <row r="32" spans="1:40" x14ac:dyDescent="0.2">
      <c r="A32" s="121">
        <f>Data!AN31</f>
        <v>44652</v>
      </c>
      <c r="B32" s="41">
        <f>Data!AO31</f>
        <v>1107</v>
      </c>
      <c r="C32" s="41">
        <f>Data!$BO31</f>
        <v>44281.939272605101</v>
      </c>
      <c r="D32" s="41">
        <f>Data!$BM31</f>
        <v>44270.220000000016</v>
      </c>
      <c r="E32" s="41">
        <f t="shared" si="2"/>
        <v>11.71927260508528</v>
      </c>
      <c r="F32" s="73">
        <f t="shared" si="0"/>
        <v>40.001751827104876</v>
      </c>
      <c r="G32" s="73">
        <f t="shared" si="1"/>
        <v>1.058651545174822E-2</v>
      </c>
      <c r="H32" s="15"/>
      <c r="I32" s="15">
        <f>VLOOKUP($A32,PMPM!$A$81:$C$104,3)</f>
        <v>1</v>
      </c>
      <c r="J32" s="73">
        <f t="shared" si="3"/>
        <v>40.001751827104876</v>
      </c>
      <c r="L32" s="2">
        <f t="shared" si="4"/>
        <v>1</v>
      </c>
      <c r="M32">
        <f t="shared" si="6"/>
        <v>1</v>
      </c>
      <c r="N32" s="120">
        <f t="shared" si="7"/>
        <v>38.527446849537903</v>
      </c>
      <c r="O32" s="120">
        <f t="shared" si="8"/>
        <v>38.527446849537903</v>
      </c>
      <c r="P32">
        <f t="shared" si="5"/>
        <v>1</v>
      </c>
      <c r="Q32" s="120">
        <f t="shared" si="9"/>
        <v>40.633633165262971</v>
      </c>
      <c r="R32" s="120">
        <f t="shared" si="10"/>
        <v>40.633633165262971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471011.88000000024</v>
      </c>
      <c r="AA32" s="53">
        <f ca="1">Final!C122</f>
        <v>55863.097735115211</v>
      </c>
      <c r="AB32" s="53">
        <f ca="1">Final!E122</f>
        <v>526874.97773511545</v>
      </c>
    </row>
    <row r="33" spans="1:28" x14ac:dyDescent="0.2">
      <c r="A33" s="121">
        <f>Data!AN30</f>
        <v>44682</v>
      </c>
      <c r="B33" s="41">
        <f>Data!AO30</f>
        <v>1106</v>
      </c>
      <c r="C33" s="41">
        <f>Data!$BO30</f>
        <v>42748.543944660232</v>
      </c>
      <c r="D33" s="41">
        <f>Data!$BM30</f>
        <v>42733.460000000028</v>
      </c>
      <c r="E33" s="41">
        <f t="shared" si="2"/>
        <v>15.083944660203997</v>
      </c>
      <c r="F33" s="73">
        <f t="shared" si="0"/>
        <v>38.651486387577066</v>
      </c>
      <c r="G33" s="73">
        <f t="shared" si="1"/>
        <v>1.3638286311215187E-2</v>
      </c>
      <c r="H33" s="15"/>
      <c r="I33" s="15">
        <f>VLOOKUP($A33,PMPM!$A$81:$C$104,3)</f>
        <v>1</v>
      </c>
      <c r="J33" s="73">
        <f t="shared" si="3"/>
        <v>38.651486387577066</v>
      </c>
      <c r="L33" s="2">
        <f t="shared" si="4"/>
        <v>1</v>
      </c>
      <c r="M33">
        <f t="shared" si="6"/>
        <v>1</v>
      </c>
      <c r="N33" s="120">
        <f t="shared" si="7"/>
        <v>41.575403418907172</v>
      </c>
      <c r="O33" s="120">
        <f t="shared" si="8"/>
        <v>41.575403418907172</v>
      </c>
      <c r="P33">
        <f t="shared" si="5"/>
        <v>1</v>
      </c>
      <c r="Q33" s="120">
        <f t="shared" si="9"/>
        <v>42.106135998577123</v>
      </c>
      <c r="R33" s="120">
        <f t="shared" si="10"/>
        <v>42.106135998577123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437035.21000000008</v>
      </c>
      <c r="AA33" s="53">
        <f ca="1">Final!C121</f>
        <v>81666.307735115173</v>
      </c>
      <c r="AB33" s="53">
        <f ca="1">Final!E121</f>
        <v>518701.51773511525</v>
      </c>
    </row>
    <row r="34" spans="1:28" x14ac:dyDescent="0.2">
      <c r="A34" s="121">
        <f>Data!AN29</f>
        <v>44713</v>
      </c>
      <c r="B34" s="41">
        <f>Data!AO29</f>
        <v>1102</v>
      </c>
      <c r="C34" s="41">
        <f>Data!$BO29</f>
        <v>50772.415190327607</v>
      </c>
      <c r="D34" s="41">
        <f>Data!$BM29</f>
        <v>50754.500000000015</v>
      </c>
      <c r="E34" s="41">
        <f t="shared" si="2"/>
        <v>17.915190327592427</v>
      </c>
      <c r="F34" s="73">
        <f t="shared" si="0"/>
        <v>46.072972042039574</v>
      </c>
      <c r="G34" s="73">
        <f t="shared" si="1"/>
        <v>1.6256978518686412E-2</v>
      </c>
      <c r="H34" s="15"/>
      <c r="I34" s="15">
        <f>VLOOKUP($A34,PMPM!$A$81:$C$104,3)</f>
        <v>1</v>
      </c>
      <c r="J34" s="73">
        <f t="shared" si="3"/>
        <v>46.072972042039574</v>
      </c>
      <c r="L34" s="2">
        <f t="shared" si="4"/>
        <v>1</v>
      </c>
      <c r="M34">
        <f t="shared" si="6"/>
        <v>1</v>
      </c>
      <c r="N34" s="120">
        <f t="shared" si="7"/>
        <v>43.547088332615637</v>
      </c>
      <c r="O34" s="120">
        <f t="shared" si="8"/>
        <v>43.547088332615637</v>
      </c>
      <c r="P34">
        <f t="shared" si="5"/>
        <v>1</v>
      </c>
      <c r="Q34" s="120">
        <f t="shared" si="9"/>
        <v>42.224036231560753</v>
      </c>
      <c r="R34" s="120">
        <f t="shared" si="10"/>
        <v>42.224036231560753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402453.81000000006</v>
      </c>
      <c r="AA34" s="53">
        <f ca="1">Final!C120</f>
        <v>107583.3577351151</v>
      </c>
      <c r="AB34" s="53">
        <f ca="1">Final!E120</f>
        <v>510037.16773511516</v>
      </c>
    </row>
    <row r="35" spans="1:28" x14ac:dyDescent="0.2">
      <c r="A35" s="121">
        <f>Data!AN28</f>
        <v>44743</v>
      </c>
      <c r="B35" s="41">
        <f>Data!AO28</f>
        <v>1108</v>
      </c>
      <c r="C35" s="41">
        <f>Data!$BO28</f>
        <v>50875.821677599146</v>
      </c>
      <c r="D35" s="41">
        <f>Data!$BM28</f>
        <v>50857.87</v>
      </c>
      <c r="E35" s="41">
        <f t="shared" si="2"/>
        <v>17.951677599143295</v>
      </c>
      <c r="F35" s="73">
        <f t="shared" si="0"/>
        <v>45.916806568230278</v>
      </c>
      <c r="G35" s="73">
        <f t="shared" si="1"/>
        <v>1.6201875089479508E-2</v>
      </c>
      <c r="H35" s="15"/>
      <c r="I35" s="15">
        <f>VLOOKUP($A35,PMPM!$A$81:$C$104,3)</f>
        <v>1</v>
      </c>
      <c r="J35" s="73">
        <f t="shared" si="3"/>
        <v>45.916806568230278</v>
      </c>
      <c r="L35" s="2">
        <f t="shared" si="4"/>
        <v>1</v>
      </c>
      <c r="M35">
        <f t="shared" si="6"/>
        <v>1</v>
      </c>
      <c r="N35" s="120">
        <f t="shared" si="7"/>
        <v>45.92062561358361</v>
      </c>
      <c r="O35" s="120">
        <f t="shared" si="8"/>
        <v>45.92062561358361</v>
      </c>
      <c r="P35">
        <f t="shared" si="5"/>
        <v>1</v>
      </c>
      <c r="Q35" s="120">
        <f t="shared" si="9"/>
        <v>46.839594654292881</v>
      </c>
      <c r="R35" s="120">
        <f t="shared" si="10"/>
        <v>46.839594654292881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337279.50999999995</v>
      </c>
      <c r="AA35" s="53">
        <f ca="1">Final!C119</f>
        <v>139431.26773511514</v>
      </c>
      <c r="AB35" s="53">
        <f ca="1">Final!E119</f>
        <v>476710.77773511509</v>
      </c>
    </row>
    <row r="36" spans="1:28" x14ac:dyDescent="0.2">
      <c r="A36" s="121">
        <f>Data!AN27</f>
        <v>44774</v>
      </c>
      <c r="B36" s="41">
        <f>Data!AO27</f>
        <v>1103</v>
      </c>
      <c r="C36" s="41">
        <f>Data!$BO27</f>
        <v>50486.62434822051</v>
      </c>
      <c r="D36" s="41">
        <f>Data!$BM27</f>
        <v>50468.810000000019</v>
      </c>
      <c r="E36" s="41">
        <f t="shared" si="2"/>
        <v>17.814348220490501</v>
      </c>
      <c r="F36" s="73">
        <f t="shared" si="0"/>
        <v>45.772098230480971</v>
      </c>
      <c r="G36" s="73">
        <f t="shared" si="1"/>
        <v>1.615081434314642E-2</v>
      </c>
      <c r="H36" s="15"/>
      <c r="I36" s="15">
        <f>VLOOKUP($A36,PMPM!$A$81:$C$104,3)</f>
        <v>1</v>
      </c>
      <c r="J36" s="73">
        <f t="shared" si="3"/>
        <v>45.772098230480971</v>
      </c>
      <c r="L36" s="2">
        <f t="shared" si="4"/>
        <v>1</v>
      </c>
      <c r="M36">
        <f t="shared" si="6"/>
        <v>1</v>
      </c>
      <c r="N36" s="120">
        <f t="shared" si="7"/>
        <v>52.103785889678591</v>
      </c>
      <c r="O36" s="120">
        <f t="shared" si="8"/>
        <v>52.103785889678591</v>
      </c>
      <c r="P36">
        <f t="shared" si="5"/>
        <v>1</v>
      </c>
      <c r="Q36" s="120">
        <f t="shared" si="9"/>
        <v>49.906110414608172</v>
      </c>
      <c r="R36" s="120">
        <f t="shared" si="10"/>
        <v>49.906110414608172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144443.96000000002</v>
      </c>
      <c r="AA36" s="53">
        <f ca="1">Final!C118</f>
        <v>213141.25773511513</v>
      </c>
      <c r="AB36" s="53">
        <f ca="1">Final!E118</f>
        <v>357585.21773511515</v>
      </c>
    </row>
    <row r="37" spans="1:28" x14ac:dyDescent="0.2">
      <c r="A37" s="121">
        <f>Data!AN26</f>
        <v>44805</v>
      </c>
      <c r="B37" s="41">
        <f>Data!AO26</f>
        <v>1145</v>
      </c>
      <c r="C37" s="41">
        <f>Data!$BO26</f>
        <v>73992.70853652159</v>
      </c>
      <c r="D37" s="41">
        <f>Data!$BM26</f>
        <v>73966.600000000006</v>
      </c>
      <c r="E37" s="41">
        <f t="shared" si="2"/>
        <v>26.108536521584028</v>
      </c>
      <c r="F37" s="73">
        <f t="shared" si="0"/>
        <v>64.622452870324537</v>
      </c>
      <c r="G37" s="73">
        <f t="shared" si="1"/>
        <v>2.2802215302693475E-2</v>
      </c>
      <c r="H37" s="15"/>
      <c r="I37" s="15">
        <f>VLOOKUP($A37,PMPM!$A$81:$C$104,3)</f>
        <v>1</v>
      </c>
      <c r="J37" s="73">
        <f t="shared" si="3"/>
        <v>64.622452870324537</v>
      </c>
      <c r="L37" s="2">
        <f t="shared" si="4"/>
        <v>1</v>
      </c>
      <c r="M37">
        <f t="shared" si="6"/>
        <v>1</v>
      </c>
      <c r="N37" s="120">
        <f t="shared" si="7"/>
        <v>56.2651324966007</v>
      </c>
      <c r="O37" s="120">
        <f t="shared" si="8"/>
        <v>56.2651324966007</v>
      </c>
      <c r="P37">
        <f t="shared" si="5"/>
        <v>1</v>
      </c>
      <c r="Q37" s="120">
        <f t="shared" si="9"/>
        <v>50.746250010747154</v>
      </c>
      <c r="R37" s="120">
        <f t="shared" si="10"/>
        <v>50.746250010747154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400197.16773511516</v>
      </c>
      <c r="AB37" s="53">
        <f ca="1">Final!E117</f>
        <v>400197.16773511516</v>
      </c>
    </row>
    <row r="38" spans="1:28" x14ac:dyDescent="0.2">
      <c r="A38" s="121">
        <f>Data!AN25</f>
        <v>44835</v>
      </c>
      <c r="B38" s="41">
        <f>Data!AO25</f>
        <v>1150</v>
      </c>
      <c r="C38" s="41">
        <f>Data!$BO25</f>
        <v>67160.97334734608</v>
      </c>
      <c r="D38" s="41">
        <f>Data!$BM25</f>
        <v>67051.33</v>
      </c>
      <c r="E38" s="41">
        <f t="shared" si="2"/>
        <v>109.64334734607837</v>
      </c>
      <c r="F38" s="73">
        <f t="shared" si="0"/>
        <v>58.400846388996591</v>
      </c>
      <c r="G38" s="73">
        <f t="shared" si="1"/>
        <v>9.5342041170502934E-2</v>
      </c>
      <c r="H38" s="15"/>
      <c r="I38" s="15">
        <f>VLOOKUP($A38,PMPM!$A$81:$C$104,3)</f>
        <v>1</v>
      </c>
      <c r="J38" s="73">
        <f t="shared" si="3"/>
        <v>58.400846388996591</v>
      </c>
      <c r="L38" s="2">
        <f t="shared" si="4"/>
        <v>1</v>
      </c>
      <c r="M38">
        <f t="shared" si="6"/>
        <v>1</v>
      </c>
      <c r="N38" s="120">
        <f t="shared" si="7"/>
        <v>55.571874407910684</v>
      </c>
      <c r="O38" s="120">
        <f t="shared" si="8"/>
        <v>55.571874407910684</v>
      </c>
      <c r="P38">
        <f t="shared" si="5"/>
        <v>1</v>
      </c>
      <c r="Q38" s="120">
        <f t="shared" si="9"/>
        <v>54.928860055678207</v>
      </c>
      <c r="R38" s="120">
        <f t="shared" si="10"/>
        <v>54.928860055678207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1138</v>
      </c>
      <c r="C39" s="41">
        <f>Data!$BO24</f>
        <v>49721.864671499621</v>
      </c>
      <c r="D39" s="41">
        <f>Data!$BM24</f>
        <v>49619.499999999993</v>
      </c>
      <c r="E39" s="41">
        <f t="shared" si="2"/>
        <v>102.36467149962846</v>
      </c>
      <c r="F39" s="73">
        <f t="shared" si="0"/>
        <v>43.692323964410917</v>
      </c>
      <c r="G39" s="73">
        <f t="shared" si="1"/>
        <v>8.995138093113221E-2</v>
      </c>
      <c r="H39" s="15"/>
      <c r="I39" s="15">
        <f>VLOOKUP($A39,PMPM!$A$81:$C$104,3)</f>
        <v>1</v>
      </c>
      <c r="J39" s="73">
        <f t="shared" si="3"/>
        <v>43.692323964410917</v>
      </c>
      <c r="L39" s="2">
        <f t="shared" si="4"/>
        <v>1</v>
      </c>
      <c r="M39">
        <f t="shared" si="6"/>
        <v>1</v>
      </c>
      <c r="N39" s="120">
        <f t="shared" si="7"/>
        <v>57.753934221677831</v>
      </c>
      <c r="O39" s="120">
        <f t="shared" si="8"/>
        <v>57.753934221677831</v>
      </c>
      <c r="P39">
        <f t="shared" si="5"/>
        <v>1</v>
      </c>
      <c r="Q39" s="120">
        <f t="shared" si="9"/>
        <v>52.692461249451775</v>
      </c>
      <c r="R39" s="120">
        <f t="shared" si="10"/>
        <v>52.692461249451775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1136</v>
      </c>
      <c r="C40" s="41">
        <f>Data!$BO23</f>
        <v>80847.56630600708</v>
      </c>
      <c r="D40" s="41">
        <f>Data!$BM23</f>
        <v>80679.75</v>
      </c>
      <c r="E40" s="41">
        <f t="shared" si="2"/>
        <v>167.81630600708013</v>
      </c>
      <c r="F40" s="73">
        <f t="shared" si="0"/>
        <v>71.168632311625956</v>
      </c>
      <c r="G40" s="73">
        <f t="shared" si="1"/>
        <v>0.14772562148510573</v>
      </c>
      <c r="H40" s="15"/>
      <c r="I40" s="15">
        <f>VLOOKUP($A40,PMPM!$A$81:$C$104,3)</f>
        <v>1</v>
      </c>
      <c r="J40" s="73">
        <f t="shared" si="3"/>
        <v>71.168632311625956</v>
      </c>
      <c r="L40" s="2">
        <f t="shared" si="4"/>
        <v>1</v>
      </c>
      <c r="M40">
        <f t="shared" si="6"/>
        <v>1</v>
      </c>
      <c r="N40" s="120">
        <f t="shared" si="7"/>
        <v>49.119790002302857</v>
      </c>
      <c r="O40" s="120">
        <f t="shared" si="8"/>
        <v>49.119790002302857</v>
      </c>
      <c r="P40">
        <f t="shared" si="5"/>
        <v>1</v>
      </c>
      <c r="Q40" s="120">
        <f t="shared" si="9"/>
        <v>50.518164726304597</v>
      </c>
      <c r="R40" s="120">
        <f t="shared" si="10"/>
        <v>50.518164726304597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1152</v>
      </c>
      <c r="C41" s="41">
        <f>Data!$BO22</f>
        <v>37438.172617964185</v>
      </c>
      <c r="D41" s="41">
        <f>Data!$BM22</f>
        <v>37360.250000000007</v>
      </c>
      <c r="E41" s="41">
        <f t="shared" si="2"/>
        <v>77.922617964177334</v>
      </c>
      <c r="F41" s="73">
        <f t="shared" si="0"/>
        <v>32.49841373087169</v>
      </c>
      <c r="G41" s="73">
        <f t="shared" si="1"/>
        <v>6.7641161427237265E-2</v>
      </c>
      <c r="H41" s="15"/>
      <c r="I41" s="15">
        <f>VLOOKUP($A41,PMPM!$A$81:$C$104,3)</f>
        <v>1</v>
      </c>
      <c r="J41" s="73">
        <f t="shared" si="3"/>
        <v>32.49841373087169</v>
      </c>
      <c r="L41" s="2">
        <f t="shared" si="4"/>
        <v>1</v>
      </c>
      <c r="M41">
        <f t="shared" si="6"/>
        <v>1</v>
      </c>
      <c r="N41" s="120">
        <f t="shared" si="7"/>
        <v>45.464455044698504</v>
      </c>
      <c r="O41" s="120">
        <f t="shared" si="8"/>
        <v>45.464455044698504</v>
      </c>
      <c r="P41">
        <f t="shared" si="5"/>
        <v>1</v>
      </c>
      <c r="Q41" s="120">
        <f t="shared" si="9"/>
        <v>45.540775764981809</v>
      </c>
      <c r="R41" s="120">
        <f t="shared" si="10"/>
        <v>45.540775764981809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1190</v>
      </c>
      <c r="C42" s="41">
        <f>Data!$BO21</f>
        <v>38944.319719001476</v>
      </c>
      <c r="D42" s="41">
        <f>Data!$BM21</f>
        <v>38825.97</v>
      </c>
      <c r="E42" s="41">
        <f t="shared" si="2"/>
        <v>118.34971900147502</v>
      </c>
      <c r="F42" s="73">
        <f t="shared" si="0"/>
        <v>32.72631909159788</v>
      </c>
      <c r="G42" s="73">
        <f t="shared" si="1"/>
        <v>9.9453545379390773E-2</v>
      </c>
      <c r="H42" s="15"/>
      <c r="I42" s="15">
        <f>VLOOKUP($A42,PMPM!$A$81:$C$104,3)</f>
        <v>1</v>
      </c>
      <c r="J42" s="73">
        <f t="shared" si="3"/>
        <v>32.72631909159788</v>
      </c>
      <c r="L42" s="2">
        <f t="shared" si="4"/>
        <v>1</v>
      </c>
      <c r="M42">
        <f t="shared" si="6"/>
        <v>1</v>
      </c>
      <c r="N42" s="120">
        <f t="shared" si="7"/>
        <v>33.327617308285802</v>
      </c>
      <c r="O42" s="120">
        <f t="shared" si="8"/>
        <v>33.327617308285802</v>
      </c>
      <c r="P42">
        <f t="shared" ca="1" si="5"/>
        <v>1</v>
      </c>
      <c r="Q42" s="120">
        <f t="shared" ca="1" si="9"/>
        <v>41.600505205086627</v>
      </c>
      <c r="R42" s="120">
        <f t="shared" ca="1" si="10"/>
        <v>41.600505205086627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7104</v>
      </c>
      <c r="C43" s="41">
        <f>Data!$BO20</f>
        <v>246921.67810336311</v>
      </c>
      <c r="D43" s="41">
        <f>Data!$BM20</f>
        <v>246035.78999999998</v>
      </c>
      <c r="E43" s="41">
        <f t="shared" si="2"/>
        <v>885.88810336313327</v>
      </c>
      <c r="F43" s="73">
        <f t="shared" si="0"/>
        <v>34.758119102387823</v>
      </c>
      <c r="G43" s="73">
        <f t="shared" si="1"/>
        <v>0.12470271725269332</v>
      </c>
      <c r="H43" s="15"/>
      <c r="I43" s="15">
        <f>VLOOKUP($A43,PMPM!$A$81:$C$104,3)</f>
        <v>1</v>
      </c>
      <c r="J43" s="73">
        <f t="shared" si="3"/>
        <v>34.758119102387823</v>
      </c>
      <c r="L43" s="2">
        <f t="shared" si="4"/>
        <v>1</v>
      </c>
      <c r="M43">
        <f t="shared" ca="1" si="6"/>
        <v>1</v>
      </c>
      <c r="N43" s="120">
        <f t="shared" ca="1" si="7"/>
        <v>34.081220407870397</v>
      </c>
      <c r="O43" s="120">
        <f t="shared" ca="1" si="8"/>
        <v>34.081220407870397</v>
      </c>
      <c r="P43">
        <f t="shared" ca="1" si="5"/>
        <v>1</v>
      </c>
      <c r="Q43" s="120">
        <f t="shared" ca="1" si="9"/>
        <v>42.272434250083897</v>
      </c>
      <c r="R43" s="120">
        <f t="shared" ca="1" si="10"/>
        <v>42.272434250083897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7156</v>
      </c>
      <c r="C44" s="123">
        <f ca="1">Final!$X22</f>
        <v>248737</v>
      </c>
      <c r="D44" s="41">
        <f>Data!$BM19</f>
        <v>247390.29</v>
      </c>
      <c r="E44" s="41">
        <f t="shared" ca="1" si="2"/>
        <v>1346.7099999999919</v>
      </c>
      <c r="F44" s="73">
        <f t="shared" ca="1" si="0"/>
        <v>34.759223029625488</v>
      </c>
      <c r="G44" s="73">
        <f t="shared" ca="1" si="1"/>
        <v>0.18819312465064167</v>
      </c>
      <c r="H44" s="15"/>
      <c r="I44" s="15">
        <f>VLOOKUP($A44,PMPM!$A$81:$C$104,3)</f>
        <v>1</v>
      </c>
      <c r="J44" s="73">
        <f t="shared" ca="1" si="3"/>
        <v>34.759223029625488</v>
      </c>
      <c r="L44" s="2">
        <f t="shared" ca="1" si="4"/>
        <v>1</v>
      </c>
      <c r="M44">
        <f t="shared" ca="1" si="6"/>
        <v>1</v>
      </c>
      <c r="N44" s="120">
        <f t="shared" ca="1" si="7"/>
        <v>39.080413455469291</v>
      </c>
      <c r="O44" s="120">
        <f t="shared" ca="1" si="8"/>
        <v>39.080413455469291</v>
      </c>
      <c r="P44">
        <f t="shared" ca="1" si="5"/>
        <v>1</v>
      </c>
      <c r="Q44" s="120">
        <f t="shared" ca="1" si="9"/>
        <v>36.588316688252789</v>
      </c>
      <c r="R44" s="120">
        <f t="shared" ca="1" si="10"/>
        <v>36.588316688252789</v>
      </c>
    </row>
    <row r="45" spans="1:28" x14ac:dyDescent="0.2">
      <c r="A45" s="121">
        <f>Data!AN18</f>
        <v>45047</v>
      </c>
      <c r="B45" s="41">
        <f>Data!AO18</f>
        <v>7193</v>
      </c>
      <c r="C45" s="123">
        <f ca="1">Final!$X21</f>
        <v>343278</v>
      </c>
      <c r="D45" s="41">
        <f>Data!$BM18</f>
        <v>340659.39000000025</v>
      </c>
      <c r="E45" s="41">
        <f t="shared" ca="1" si="2"/>
        <v>2618.6099999997532</v>
      </c>
      <c r="F45" s="73">
        <f t="shared" ca="1" si="0"/>
        <v>47.723898234394554</v>
      </c>
      <c r="G45" s="73">
        <f t="shared" ca="1" si="1"/>
        <v>0.36404977061028126</v>
      </c>
      <c r="H45" s="15"/>
      <c r="I45" s="15">
        <f>VLOOKUP($A45,PMPM!$A$81:$C$104,3)</f>
        <v>1</v>
      </c>
      <c r="J45" s="73">
        <f t="shared" ca="1" si="3"/>
        <v>47.723898234394554</v>
      </c>
      <c r="L45" s="2">
        <f t="shared" ca="1" si="4"/>
        <v>1</v>
      </c>
      <c r="M45">
        <f t="shared" ca="1" si="6"/>
        <v>1</v>
      </c>
      <c r="N45" s="120">
        <f t="shared" ca="1" si="7"/>
        <v>39.849016068219775</v>
      </c>
      <c r="O45" s="120">
        <f t="shared" ca="1" si="8"/>
        <v>39.849016068219775</v>
      </c>
      <c r="P45">
        <f t="shared" ca="1" si="5"/>
        <v>1</v>
      </c>
      <c r="Q45" s="120">
        <f t="shared" ca="1" si="9"/>
        <v>38.334102145075924</v>
      </c>
      <c r="R45" s="120">
        <f t="shared" ca="1" si="10"/>
        <v>38.334102145075924</v>
      </c>
    </row>
    <row r="46" spans="1:28" x14ac:dyDescent="0.2">
      <c r="A46" s="121">
        <f>Data!AN17</f>
        <v>45078</v>
      </c>
      <c r="B46" s="41">
        <f>Data!AO17</f>
        <v>7227</v>
      </c>
      <c r="C46" s="123">
        <f ca="1">Final!$X20</f>
        <v>267861</v>
      </c>
      <c r="D46" s="41">
        <f>Data!$BM17</f>
        <v>264873.73000000004</v>
      </c>
      <c r="E46" s="41">
        <f t="shared" ca="1" si="2"/>
        <v>2987.2699999999604</v>
      </c>
      <c r="F46" s="73">
        <f t="shared" ca="1" si="0"/>
        <v>37.06392694063927</v>
      </c>
      <c r="G46" s="73">
        <f t="shared" ca="1" si="1"/>
        <v>0.41334855403348009</v>
      </c>
      <c r="H46" s="15"/>
      <c r="I46" s="15">
        <f>VLOOKUP($A46,PMPM!$A$81:$C$104,3)</f>
        <v>1</v>
      </c>
      <c r="J46" s="73">
        <f t="shared" ca="1" si="3"/>
        <v>37.06392694063927</v>
      </c>
      <c r="L46" s="2">
        <f t="shared" ca="1" si="4"/>
        <v>1</v>
      </c>
      <c r="M46">
        <f t="shared" ca="1" si="6"/>
        <v>1</v>
      </c>
      <c r="N46" s="120">
        <f t="shared" ca="1" si="7"/>
        <v>42.586983882281437</v>
      </c>
      <c r="O46" s="120">
        <f t="shared" ca="1" si="8"/>
        <v>42.586983882281437</v>
      </c>
      <c r="P46">
        <f t="shared" ca="1" si="5"/>
        <v>1</v>
      </c>
      <c r="Q46" s="120">
        <f t="shared" ca="1" si="9"/>
        <v>39.869906264642104</v>
      </c>
      <c r="R46" s="120">
        <f t="shared" ca="1" si="10"/>
        <v>39.869906264642104</v>
      </c>
    </row>
    <row r="47" spans="1:28" x14ac:dyDescent="0.2">
      <c r="A47" s="121">
        <f>Data!AN16</f>
        <v>45108</v>
      </c>
      <c r="B47" s="41">
        <f>Data!AO16</f>
        <v>7219</v>
      </c>
      <c r="C47" s="122">
        <f ca="1">Final!$X19</f>
        <v>310223</v>
      </c>
      <c r="D47" s="41">
        <f>Data!$BM16</f>
        <v>302917.12</v>
      </c>
      <c r="E47" s="41">
        <f t="shared" ca="1" si="2"/>
        <v>7305.8800000000047</v>
      </c>
      <c r="F47" s="73">
        <f t="shared" ca="1" si="0"/>
        <v>42.973126471810502</v>
      </c>
      <c r="G47" s="73">
        <f t="shared" ca="1" si="1"/>
        <v>1.0120349078819788</v>
      </c>
      <c r="H47" s="15"/>
      <c r="I47" s="15">
        <f>VLOOKUP($A47,PMPM!$A$81:$C$104,3)</f>
        <v>1</v>
      </c>
      <c r="J47" s="73">
        <f t="shared" ca="1" si="3"/>
        <v>42.973126471810502</v>
      </c>
      <c r="L47" s="2">
        <f t="shared" ca="1" si="4"/>
        <v>1</v>
      </c>
      <c r="M47">
        <f t="shared" ca="1" si="6"/>
        <v>1</v>
      </c>
      <c r="N47" s="120">
        <f t="shared" ca="1" si="7"/>
        <v>40.659399073814932</v>
      </c>
      <c r="O47" s="120">
        <f t="shared" ca="1" si="8"/>
        <v>40.659399073814932</v>
      </c>
      <c r="P47">
        <f t="shared" ca="1" si="5"/>
        <v>1</v>
      </c>
      <c r="Q47" s="120">
        <f t="shared" ca="1" si="9"/>
        <v>39.594648073238886</v>
      </c>
      <c r="R47" s="120">
        <f t="shared" ca="1" si="10"/>
        <v>39.594648073238886</v>
      </c>
    </row>
    <row r="48" spans="1:28" x14ac:dyDescent="0.2">
      <c r="A48" s="121">
        <f>Data!AN15</f>
        <v>45139</v>
      </c>
      <c r="B48" s="41">
        <f>Data!AO15</f>
        <v>7204</v>
      </c>
      <c r="C48" s="122">
        <f ca="1">Final!$X18</f>
        <v>302144</v>
      </c>
      <c r="D48" s="41">
        <f>Data!$BM15</f>
        <v>291451.95</v>
      </c>
      <c r="E48" s="41">
        <f t="shared" ca="1" si="2"/>
        <v>10692.049999999988</v>
      </c>
      <c r="F48" s="73">
        <f t="shared" ca="1" si="0"/>
        <v>41.941143808995001</v>
      </c>
      <c r="G48" s="73">
        <f t="shared" ca="1" si="1"/>
        <v>1.4841823986674054</v>
      </c>
      <c r="H48" s="15"/>
      <c r="I48" s="15">
        <f>VLOOKUP($A48,PMPM!$A$81:$C$104,3)</f>
        <v>1</v>
      </c>
      <c r="J48" s="73">
        <f t="shared" ca="1" si="3"/>
        <v>41.941143808995001</v>
      </c>
      <c r="L48" s="2">
        <f t="shared" ca="1" si="4"/>
        <v>1</v>
      </c>
      <c r="M48">
        <f t="shared" ca="1" si="6"/>
        <v>1</v>
      </c>
      <c r="N48" s="120">
        <f t="shared" ca="1" si="7"/>
        <v>39.340280078257997</v>
      </c>
      <c r="O48" s="120">
        <f t="shared" ca="1" si="8"/>
        <v>39.340280078257997</v>
      </c>
      <c r="P48">
        <f t="shared" ca="1" si="5"/>
        <v>1</v>
      </c>
      <c r="Q48" s="120">
        <f t="shared" ca="1" si="9"/>
        <v>41.138080078208837</v>
      </c>
      <c r="R48" s="120">
        <f t="shared" ca="1" si="10"/>
        <v>41.138080078208837</v>
      </c>
    </row>
    <row r="49" spans="1:18" x14ac:dyDescent="0.2">
      <c r="A49" s="121">
        <f>Data!AN14</f>
        <v>45170</v>
      </c>
      <c r="B49" s="41">
        <f>Data!AO14</f>
        <v>7169</v>
      </c>
      <c r="C49" s="122">
        <f ca="1">Final!$X17</f>
        <v>237341</v>
      </c>
      <c r="D49" s="41">
        <f>Data!$BM14</f>
        <v>226458.18999999994</v>
      </c>
      <c r="E49" s="41">
        <f t="shared" ca="1" si="2"/>
        <v>10882.810000000056</v>
      </c>
      <c r="F49" s="73">
        <f t="shared" ca="1" si="0"/>
        <v>33.106569953968474</v>
      </c>
      <c r="G49" s="73">
        <f t="shared" ca="1" si="1"/>
        <v>1.518037383177578</v>
      </c>
      <c r="H49" s="15"/>
      <c r="I49" s="15">
        <f>VLOOKUP($A49,PMPM!$A$81:$C$104,3)</f>
        <v>1</v>
      </c>
      <c r="J49" s="73">
        <f t="shared" ca="1" si="3"/>
        <v>33.106569953968474</v>
      </c>
      <c r="L49" s="2">
        <f t="shared" ca="1" si="4"/>
        <v>1</v>
      </c>
      <c r="M49">
        <f t="shared" ca="1" si="6"/>
        <v>1</v>
      </c>
      <c r="N49" s="120">
        <f t="shared" ca="1" si="7"/>
        <v>39.689176274136216</v>
      </c>
      <c r="O49" s="120">
        <f t="shared" ca="1" si="8"/>
        <v>39.689176274136216</v>
      </c>
      <c r="P49">
        <f t="shared" ca="1" si="5"/>
        <v>1</v>
      </c>
      <c r="Q49" s="120">
        <f t="shared" ca="1" si="9"/>
        <v>41.708851981824587</v>
      </c>
      <c r="R49" s="120">
        <f t="shared" ca="1" si="10"/>
        <v>41.708851981824587</v>
      </c>
    </row>
    <row r="50" spans="1:18" x14ac:dyDescent="0.2">
      <c r="A50" s="121">
        <f>Data!AN13</f>
        <v>45200</v>
      </c>
      <c r="B50" s="41">
        <f>Data!AO13</f>
        <v>6813</v>
      </c>
      <c r="C50" s="123">
        <f ca="1">Final!$X16</f>
        <v>299907</v>
      </c>
      <c r="D50" s="41">
        <f>Data!$BM13</f>
        <v>281445.81000000017</v>
      </c>
      <c r="E50" s="41">
        <f t="shared" ca="1" si="2"/>
        <v>18461.189999999828</v>
      </c>
      <c r="F50" s="73">
        <f t="shared" ca="1" si="0"/>
        <v>44.019815059445179</v>
      </c>
      <c r="G50" s="73">
        <f t="shared" ca="1" si="1"/>
        <v>2.7097005724350254</v>
      </c>
      <c r="H50" s="15"/>
      <c r="I50" s="15">
        <f>VLOOKUP($A50,PMPM!$A$81:$C$104,3)</f>
        <v>1</v>
      </c>
      <c r="J50" s="73">
        <f t="shared" ca="1" si="3"/>
        <v>44.019815059445179</v>
      </c>
      <c r="L50" s="2">
        <f t="shared" ca="1" si="4"/>
        <v>1</v>
      </c>
      <c r="M50">
        <f t="shared" ca="1" si="6"/>
        <v>1</v>
      </c>
      <c r="N50" s="120">
        <f t="shared" ca="1" si="7"/>
        <v>42.758304889834243</v>
      </c>
      <c r="O50" s="120">
        <f t="shared" ca="1" si="8"/>
        <v>42.758304889834243</v>
      </c>
      <c r="P50">
        <f t="shared" ca="1" si="5"/>
        <v>1</v>
      </c>
      <c r="Q50" s="120">
        <f t="shared" ca="1" si="9"/>
        <v>42.845574818283183</v>
      </c>
      <c r="R50" s="120">
        <f t="shared" ca="1" si="10"/>
        <v>42.845574818283183</v>
      </c>
    </row>
    <row r="51" spans="1:18" x14ac:dyDescent="0.2">
      <c r="A51" s="121">
        <f>Data!AN12</f>
        <v>45231</v>
      </c>
      <c r="B51" s="41">
        <f>Data!AO12</f>
        <v>6019</v>
      </c>
      <c r="C51" s="123">
        <f ca="1">Final!$X15</f>
        <v>307863</v>
      </c>
      <c r="D51" s="41">
        <f>Data!$BM12</f>
        <v>282059.79000000004</v>
      </c>
      <c r="E51" s="41">
        <f t="shared" ca="1" si="2"/>
        <v>25803.209999999963</v>
      </c>
      <c r="F51" s="73">
        <f t="shared" ca="1" si="0"/>
        <v>51.148529656089053</v>
      </c>
      <c r="G51" s="73">
        <f t="shared" ca="1" si="1"/>
        <v>4.2869596278451505</v>
      </c>
      <c r="H51" s="15"/>
      <c r="I51" s="15">
        <f>VLOOKUP($A51,PMPM!$A$81:$C$104,3)</f>
        <v>1</v>
      </c>
      <c r="J51" s="73">
        <f t="shared" ca="1" si="3"/>
        <v>51.148529656089053</v>
      </c>
      <c r="L51" s="2">
        <f t="shared" ca="1" si="4"/>
        <v>1</v>
      </c>
      <c r="M51">
        <f t="shared" ca="1" si="6"/>
        <v>1</v>
      </c>
      <c r="N51" s="120">
        <f t="shared" ca="1" si="7"/>
        <v>46.350869558308368</v>
      </c>
      <c r="O51" s="120">
        <f t="shared" ca="1" si="8"/>
        <v>46.350869558308368</v>
      </c>
      <c r="P51">
        <f t="shared" ca="1" si="5"/>
        <v>1</v>
      </c>
      <c r="Q51" s="120">
        <f t="shared" ca="1" si="9"/>
        <v>43.484949572981428</v>
      </c>
      <c r="R51" s="120">
        <f t="shared" ca="1" si="10"/>
        <v>43.484949572981428</v>
      </c>
    </row>
    <row r="52" spans="1:18" x14ac:dyDescent="0.2">
      <c r="A52" s="121">
        <f>Data!AN11</f>
        <v>45261</v>
      </c>
      <c r="B52" s="41">
        <f>Data!AO11</f>
        <v>5910</v>
      </c>
      <c r="C52" s="123">
        <f ca="1">Final!$X14</f>
        <v>259356</v>
      </c>
      <c r="D52" s="41">
        <f>Data!$BM11</f>
        <v>233438.95000000007</v>
      </c>
      <c r="E52" s="41">
        <f t="shared" ca="1" si="2"/>
        <v>25917.04999999993</v>
      </c>
      <c r="F52" s="73">
        <f t="shared" ca="1" si="0"/>
        <v>43.884263959390864</v>
      </c>
      <c r="G52" s="73">
        <f t="shared" ca="1" si="1"/>
        <v>4.3852876480541338</v>
      </c>
      <c r="H52" s="15"/>
      <c r="I52" s="15">
        <f>VLOOKUP($A52,PMPM!$A$81:$C$104,3)</f>
        <v>1</v>
      </c>
      <c r="J52" s="73">
        <f t="shared" ca="1" si="3"/>
        <v>43.884263959390864</v>
      </c>
      <c r="L52" s="2">
        <f t="shared" ca="1" si="4"/>
        <v>1</v>
      </c>
      <c r="M52">
        <f t="shared" ca="1" si="6"/>
        <v>1</v>
      </c>
      <c r="N52" s="120">
        <f t="shared" ca="1" si="7"/>
        <v>47.28072287182664</v>
      </c>
      <c r="O52" s="120">
        <f t="shared" ca="1" si="8"/>
        <v>47.28072287182664</v>
      </c>
      <c r="P52">
        <f t="shared" ca="1" si="5"/>
        <v>1</v>
      </c>
      <c r="Q52" s="120">
        <f t="shared" ca="1" si="9"/>
        <v>42.307684108216954</v>
      </c>
      <c r="R52" s="120">
        <f t="shared" ca="1" si="10"/>
        <v>42.307684108216954</v>
      </c>
    </row>
    <row r="53" spans="1:18" x14ac:dyDescent="0.2">
      <c r="A53" s="121">
        <f>Data!AN10</f>
        <v>45292</v>
      </c>
      <c r="B53" s="41">
        <f>Data!AO10</f>
        <v>5760</v>
      </c>
      <c r="C53" s="122">
        <f ca="1">Final!$X13</f>
        <v>269622</v>
      </c>
      <c r="D53" s="41">
        <f>Data!$BM10</f>
        <v>237774.08999999997</v>
      </c>
      <c r="E53" s="41">
        <f t="shared" ca="1" si="2"/>
        <v>31847.910000000033</v>
      </c>
      <c r="F53" s="73">
        <f t="shared" ca="1" si="0"/>
        <v>46.809375000000003</v>
      </c>
      <c r="G53" s="73">
        <f t="shared" ca="1" si="1"/>
        <v>5.5291510416666725</v>
      </c>
      <c r="H53" s="15"/>
      <c r="I53" s="15">
        <f>VLOOKUP($A53,PMPM!$A$81:$C$104,3)</f>
        <v>1</v>
      </c>
      <c r="J53" s="73">
        <f t="shared" ca="1" si="3"/>
        <v>46.809375000000003</v>
      </c>
      <c r="L53" s="2">
        <f t="shared" ca="1" si="4"/>
        <v>1</v>
      </c>
      <c r="M53">
        <f t="shared" ca="1" si="6"/>
        <v>1</v>
      </c>
      <c r="N53" s="120">
        <f t="shared" ca="1" si="7"/>
        <v>41.857063326599679</v>
      </c>
      <c r="O53" s="120">
        <f t="shared" ca="1" si="8"/>
        <v>41.857063326599679</v>
      </c>
      <c r="P53">
        <f t="shared" ca="1" si="5"/>
        <v>1</v>
      </c>
      <c r="Q53" s="120">
        <f t="shared" ca="1" si="9"/>
        <v>43.211595904755143</v>
      </c>
      <c r="R53" s="120">
        <f t="shared" ca="1" si="10"/>
        <v>43.211595904755143</v>
      </c>
    </row>
    <row r="54" spans="1:18" x14ac:dyDescent="0.2">
      <c r="A54" s="121">
        <f>Data!AN9</f>
        <v>45323</v>
      </c>
      <c r="B54" s="41">
        <f>Data!AO9</f>
        <v>5831</v>
      </c>
      <c r="C54" s="122">
        <f ca="1">Final!$X12</f>
        <v>203371</v>
      </c>
      <c r="D54" s="41">
        <f>Data!$BM9</f>
        <v>129661.01000000001</v>
      </c>
      <c r="E54" s="41">
        <f t="shared" ca="1" si="2"/>
        <v>73709.989999999991</v>
      </c>
      <c r="F54" s="73">
        <f t="shared" ca="1" si="0"/>
        <v>34.877551020408163</v>
      </c>
      <c r="G54" s="73">
        <f t="shared" ca="1" si="1"/>
        <v>12.641054707597323</v>
      </c>
      <c r="H54" s="15"/>
      <c r="I54" s="15">
        <f>VLOOKUP($A54,PMPM!$A$81:$C$104,3)</f>
        <v>1</v>
      </c>
      <c r="J54" s="73">
        <f t="shared" ca="1" si="3"/>
        <v>34.877551020408163</v>
      </c>
      <c r="L54" s="2">
        <f t="shared" ca="1" si="4"/>
        <v>1</v>
      </c>
      <c r="M54">
        <f t="shared" ca="1" si="6"/>
        <v>1</v>
      </c>
      <c r="N54" s="120">
        <f t="shared" ca="1" si="7"/>
        <v>40.072322251201911</v>
      </c>
      <c r="O54" s="120">
        <f t="shared" ca="1" si="8"/>
        <v>40.072322251201911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5892</v>
      </c>
      <c r="C55" s="122">
        <f ca="1">Final!$X11</f>
        <v>227019</v>
      </c>
      <c r="D55" s="41">
        <f>Data!$BM8</f>
        <v>39963.089999999982</v>
      </c>
      <c r="E55" s="41">
        <f t="shared" ca="1" si="2"/>
        <v>187055.91000000003</v>
      </c>
      <c r="F55" s="73">
        <f ca="1">IF(B55=0,0,+C55/B55)</f>
        <v>38.530040733197559</v>
      </c>
      <c r="G55" s="73">
        <f ca="1">IF(B55=0,0,+E55/B55)</f>
        <v>31.747438900203672</v>
      </c>
      <c r="H55" s="15"/>
      <c r="I55" s="15">
        <f>VLOOKUP($A55,PMPM!$A$81:$C$104,3)</f>
        <v>1</v>
      </c>
      <c r="J55" s="73">
        <f t="shared" ca="1" si="3"/>
        <v>38.530040733197559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AAMG - Commercial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-0.12309349040752426</v>
      </c>
      <c r="M114" s="278">
        <f ca="1">Charts!O45</f>
        <v>-0.12309349040752426</v>
      </c>
      <c r="O114" s="7" t="s">
        <v>616</v>
      </c>
      <c r="P114" s="147">
        <f ca="1">Trends!G30</f>
        <v>-9.9238432224160719E-2</v>
      </c>
      <c r="Q114" s="147">
        <f ca="1">Trends!Y30</f>
        <v>-9.9238432224160719E-2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-3.0559100933952976E-2</v>
      </c>
      <c r="M115" s="279">
        <f ca="1">Charts!O46</f>
        <v>-3.0559100933952976E-2</v>
      </c>
      <c r="O115" s="10" t="s">
        <v>617</v>
      </c>
      <c r="P115" s="148">
        <f ca="1">Trends!F30</f>
        <v>-0.10416904566584595</v>
      </c>
      <c r="Q115" s="148">
        <f ca="1">Trends!X30</f>
        <v>-0.10416904566584595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-0.15130118192780007</v>
      </c>
      <c r="M116" s="279">
        <f ca="1">Charts!O47</f>
        <v>-0.15130118192780007</v>
      </c>
      <c r="O116" s="10" t="s">
        <v>234</v>
      </c>
      <c r="P116" s="148">
        <f ca="1">Trends!E30</f>
        <v>-0.10411139636847259</v>
      </c>
      <c r="Q116" s="148">
        <f ca="1">Trends!W30</f>
        <v>-0.10411139636847259</v>
      </c>
    </row>
    <row r="117" spans="1:17" ht="15.75" x14ac:dyDescent="0.25">
      <c r="A117" s="303" t="str">
        <f>Data!$C$1</f>
        <v>AAMG - Commercial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-0.12309349040752426</v>
      </c>
      <c r="M168" s="278">
        <f t="shared" ca="1" si="11"/>
        <v>-0.12309349040752426</v>
      </c>
      <c r="O168" s="7" t="str">
        <f t="shared" si="11"/>
        <v>12 Mo</v>
      </c>
      <c r="P168" s="147">
        <f t="shared" ca="1" si="11"/>
        <v>-9.9238432224160719E-2</v>
      </c>
      <c r="Q168" s="147">
        <f t="shared" ca="1" si="11"/>
        <v>-9.9238432224160719E-2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-3.0559100933952976E-2</v>
      </c>
      <c r="M169" s="279">
        <f t="shared" ca="1" si="11"/>
        <v>-3.0559100933952976E-2</v>
      </c>
      <c r="O169" s="10" t="str">
        <f t="shared" si="11"/>
        <v>6 Mo</v>
      </c>
      <c r="P169" s="148">
        <f t="shared" ca="1" si="11"/>
        <v>-0.10416904566584595</v>
      </c>
      <c r="Q169" s="148">
        <f t="shared" ca="1" si="11"/>
        <v>-0.10416904566584595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-0.15130118192780007</v>
      </c>
      <c r="M170" s="279">
        <f t="shared" ca="1" si="11"/>
        <v>-0.15130118192780007</v>
      </c>
      <c r="O170" s="10" t="str">
        <f t="shared" si="11"/>
        <v>3 Mo</v>
      </c>
      <c r="P170" s="148">
        <f t="shared" ca="1" si="11"/>
        <v>-0.10411139636847259</v>
      </c>
      <c r="Q170" s="148">
        <f t="shared" ca="1" si="11"/>
        <v>-0.10411139636847259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15475.389999999998</v>
      </c>
      <c r="D13" s="176">
        <f>Data!D149</f>
        <v>32036.010000000006</v>
      </c>
      <c r="E13" s="176">
        <f>Data!E149</f>
        <v>13250.840000000004</v>
      </c>
      <c r="F13" s="176">
        <f>Data!F149</f>
        <v>16187.230000000003</v>
      </c>
      <c r="G13" s="176">
        <f>Data!G149</f>
        <v>14349.380000000005</v>
      </c>
      <c r="H13" s="176">
        <f>Data!H149</f>
        <v>21217.539999999997</v>
      </c>
      <c r="I13" s="176">
        <f>Data!I149</f>
        <v>7550.34</v>
      </c>
      <c r="J13" s="176">
        <f>Data!J149</f>
        <v>12392.530000000004</v>
      </c>
      <c r="K13" s="176">
        <f>Data!K149</f>
        <v>18493.71000000001</v>
      </c>
      <c r="L13" s="176">
        <f>Data!L149</f>
        <v>13295.170000000009</v>
      </c>
      <c r="M13" s="176">
        <f>Data!M149</f>
        <v>19324.640000000003</v>
      </c>
      <c r="N13" s="176">
        <f>Data!N149</f>
        <v>19279.169999999998</v>
      </c>
      <c r="O13" s="176">
        <f>Data!O149</f>
        <v>13841.910000000005</v>
      </c>
      <c r="P13" s="176">
        <f>Data!P149</f>
        <v>14502.600000000008</v>
      </c>
      <c r="Q13" s="176">
        <f>Data!Q149</f>
        <v>27378.510000000006</v>
      </c>
      <c r="R13" s="176">
        <f>Data!R149</f>
        <v>17465.510000000006</v>
      </c>
      <c r="S13" s="176">
        <f>Data!S149</f>
        <v>13258.350000000008</v>
      </c>
      <c r="T13" s="176">
        <f>Data!T149</f>
        <v>28392.590000000007</v>
      </c>
      <c r="U13" s="176">
        <f>Data!U149</f>
        <v>14748.770000000013</v>
      </c>
      <c r="V13" s="176">
        <f>Data!V149</f>
        <v>4677.2999999999993</v>
      </c>
      <c r="W13" s="176">
        <f>Data!W149</f>
        <v>13276.140000000001</v>
      </c>
      <c r="X13" s="176">
        <f>Data!X149</f>
        <v>9864.0800000000017</v>
      </c>
      <c r="Y13" s="176">
        <f>Data!Y149</f>
        <v>7168.6799999999985</v>
      </c>
      <c r="Z13" s="176">
        <f>Data!Z149</f>
        <v>28758.639999999999</v>
      </c>
      <c r="AA13" s="176">
        <f>Data!AA149</f>
        <v>50536.759999999973</v>
      </c>
      <c r="AB13" s="176">
        <f>Data!AB149</f>
        <v>38568.01</v>
      </c>
      <c r="AC13" s="176">
        <f>Data!AC149</f>
        <v>40550.729999999967</v>
      </c>
      <c r="AD13" s="176">
        <f>Data!AD149</f>
        <v>43824.74</v>
      </c>
      <c r="AE13" s="176">
        <f>Data!AE149</f>
        <v>97647.470000000016</v>
      </c>
      <c r="AF13" s="176">
        <f>Data!AF149</f>
        <v>43579.709999999977</v>
      </c>
      <c r="AG13" s="176">
        <f>Data!AG149</f>
        <v>25706.909999999993</v>
      </c>
      <c r="AH13" s="176">
        <f>Data!AH149</f>
        <v>39279.299999999974</v>
      </c>
      <c r="AI13" s="176">
        <f>Data!AI149</f>
        <v>31889.309999999998</v>
      </c>
      <c r="AJ13" s="176">
        <f>Data!AJ149</f>
        <v>44497.239999999983</v>
      </c>
      <c r="AK13" s="176">
        <f>Data!AK149</f>
        <v>56183.399999999965</v>
      </c>
      <c r="AL13" s="176">
        <f>Data!AL149</f>
        <v>39963.089999999982</v>
      </c>
    </row>
    <row r="14" spans="1:38" x14ac:dyDescent="0.2">
      <c r="A14" s="7" t="s">
        <v>18</v>
      </c>
      <c r="B14" s="7"/>
      <c r="C14" s="176">
        <f>Data!C150</f>
        <v>29056.219999999994</v>
      </c>
      <c r="D14" s="176">
        <f>Data!D150</f>
        <v>111186.73000000004</v>
      </c>
      <c r="E14" s="176">
        <f>Data!E150</f>
        <v>60498.049999999959</v>
      </c>
      <c r="F14" s="176">
        <f>Data!F150</f>
        <v>40800.30000000001</v>
      </c>
      <c r="G14" s="176">
        <f>Data!G150</f>
        <v>63969.219999999958</v>
      </c>
      <c r="H14" s="176">
        <f>Data!H150</f>
        <v>39860.94</v>
      </c>
      <c r="I14" s="176">
        <f>Data!I150</f>
        <v>57629.229999999981</v>
      </c>
      <c r="J14" s="176">
        <f>Data!J150</f>
        <v>50498.500000000029</v>
      </c>
      <c r="K14" s="176">
        <f>Data!K150</f>
        <v>47289.750000000015</v>
      </c>
      <c r="L14" s="176">
        <f>Data!L150</f>
        <v>35273.100000000006</v>
      </c>
      <c r="M14" s="176">
        <f>Data!M150</f>
        <v>45671.070000000007</v>
      </c>
      <c r="N14" s="176">
        <f>Data!N150</f>
        <v>36210.800000000003</v>
      </c>
      <c r="O14" s="176">
        <f>Data!O150</f>
        <v>41195.180000000015</v>
      </c>
      <c r="P14" s="176">
        <f>Data!P150</f>
        <v>37872.430000000029</v>
      </c>
      <c r="Q14" s="176">
        <f>Data!Q150</f>
        <v>45415.87000000001</v>
      </c>
      <c r="R14" s="176">
        <f>Data!R150</f>
        <v>45732.460000000006</v>
      </c>
      <c r="S14" s="176">
        <f>Data!S150</f>
        <v>44899.510000000024</v>
      </c>
      <c r="T14" s="176">
        <f>Data!T150</f>
        <v>62831.14</v>
      </c>
      <c r="U14" s="176">
        <f>Data!U150</f>
        <v>30950.660000000014</v>
      </c>
      <c r="V14" s="176">
        <f>Data!V150</f>
        <v>39772.92</v>
      </c>
      <c r="W14" s="176">
        <f>Data!W150</f>
        <v>41755.920000000006</v>
      </c>
      <c r="X14" s="176">
        <f>Data!X150</f>
        <v>30897.390000000014</v>
      </c>
      <c r="Y14" s="176">
        <f>Data!Y150</f>
        <v>23683.58</v>
      </c>
      <c r="Z14" s="176">
        <f>Data!Z150</f>
        <v>178914.38999999996</v>
      </c>
      <c r="AA14" s="176">
        <f>Data!AA150</f>
        <v>173194.21</v>
      </c>
      <c r="AB14" s="176">
        <f>Data!AB150</f>
        <v>233866.11000000025</v>
      </c>
      <c r="AC14" s="176">
        <f>Data!AC150</f>
        <v>188504.68000000005</v>
      </c>
      <c r="AD14" s="176">
        <f>Data!AD150</f>
        <v>230631.33000000005</v>
      </c>
      <c r="AE14" s="176">
        <f>Data!AE150</f>
        <v>176459.25</v>
      </c>
      <c r="AF14" s="176">
        <f>Data!AF150</f>
        <v>151680.78999999998</v>
      </c>
      <c r="AG14" s="176">
        <f>Data!AG150</f>
        <v>208550.42000000022</v>
      </c>
      <c r="AH14" s="176">
        <f>Data!AH150</f>
        <v>185231.65000000008</v>
      </c>
      <c r="AI14" s="176">
        <f>Data!AI150</f>
        <v>174817.98000000007</v>
      </c>
      <c r="AJ14" s="176">
        <f>Data!AJ150</f>
        <v>213667.33999999997</v>
      </c>
      <c r="AK14" s="176">
        <f>Data!AK150</f>
        <v>129661.01000000001</v>
      </c>
      <c r="AL14" s="176">
        <f>Data!AL150</f>
        <v>39963.089999999982</v>
      </c>
    </row>
    <row r="15" spans="1:38" x14ac:dyDescent="0.2">
      <c r="A15" s="7" t="s">
        <v>19</v>
      </c>
      <c r="B15" s="7"/>
      <c r="C15" s="176">
        <f>Data!C151</f>
        <v>31726.459999999995</v>
      </c>
      <c r="D15" s="176">
        <f>Data!D151</f>
        <v>129809.78000000004</v>
      </c>
      <c r="E15" s="176">
        <f>Data!E151</f>
        <v>62472.469999999958</v>
      </c>
      <c r="F15" s="176">
        <f>Data!F151</f>
        <v>48079.900000000009</v>
      </c>
      <c r="G15" s="176">
        <f>Data!G151</f>
        <v>65882.179999999964</v>
      </c>
      <c r="H15" s="176">
        <f>Data!H151</f>
        <v>46284.29</v>
      </c>
      <c r="I15" s="176">
        <f>Data!I151</f>
        <v>61620.419999999984</v>
      </c>
      <c r="J15" s="176">
        <f>Data!J151</f>
        <v>54500.420000000027</v>
      </c>
      <c r="K15" s="176">
        <f>Data!K151</f>
        <v>48927.690000000017</v>
      </c>
      <c r="L15" s="176">
        <f>Data!L151</f>
        <v>39018.080000000009</v>
      </c>
      <c r="M15" s="176">
        <f>Data!M151</f>
        <v>46823.810000000005</v>
      </c>
      <c r="N15" s="176">
        <f>Data!N151</f>
        <v>38023.810000000005</v>
      </c>
      <c r="O15" s="176">
        <f>Data!O151</f>
        <v>42702.560000000012</v>
      </c>
      <c r="P15" s="176">
        <f>Data!P151</f>
        <v>39362.670000000027</v>
      </c>
      <c r="Q15" s="176">
        <f>Data!Q151</f>
        <v>47480.55000000001</v>
      </c>
      <c r="R15" s="176">
        <f>Data!R151</f>
        <v>49051.48</v>
      </c>
      <c r="S15" s="176">
        <f>Data!S151</f>
        <v>48284.300000000025</v>
      </c>
      <c r="T15" s="176">
        <f>Data!T151</f>
        <v>65331.31</v>
      </c>
      <c r="U15" s="176">
        <f>Data!U151</f>
        <v>63328.660000000011</v>
      </c>
      <c r="V15" s="176">
        <f>Data!V151</f>
        <v>43965.119999999995</v>
      </c>
      <c r="W15" s="176">
        <f>Data!W151</f>
        <v>52618.350000000006</v>
      </c>
      <c r="X15" s="176">
        <f>Data!X151</f>
        <v>32097.440000000013</v>
      </c>
      <c r="Y15" s="176">
        <f>Data!Y151</f>
        <v>31677.68</v>
      </c>
      <c r="Z15" s="176">
        <f>Data!Z151</f>
        <v>206862.95999999996</v>
      </c>
      <c r="AA15" s="176">
        <f>Data!AA151</f>
        <v>210169.96</v>
      </c>
      <c r="AB15" s="176">
        <f>Data!AB151</f>
        <v>294134.51000000024</v>
      </c>
      <c r="AC15" s="176">
        <f>Data!AC151</f>
        <v>224394.36000000004</v>
      </c>
      <c r="AD15" s="176">
        <f>Data!AD151</f>
        <v>251695.97000000006</v>
      </c>
      <c r="AE15" s="176">
        <f>Data!AE151</f>
        <v>242478.35</v>
      </c>
      <c r="AF15" s="176">
        <f>Data!AF151</f>
        <v>195676.57999999996</v>
      </c>
      <c r="AG15" s="176">
        <f>Data!AG151</f>
        <v>251909.4700000002</v>
      </c>
      <c r="AH15" s="176">
        <f>Data!AH151</f>
        <v>253592.42000000004</v>
      </c>
      <c r="AI15" s="176">
        <f>Data!AI151</f>
        <v>214002.35000000006</v>
      </c>
      <c r="AJ15" s="176">
        <f>Data!AJ151</f>
        <v>237774.08999999997</v>
      </c>
      <c r="AK15" s="176">
        <f>Data!AK151</f>
        <v>129661.01000000001</v>
      </c>
      <c r="AL15" s="176">
        <f>Data!AL151</f>
        <v>39963.089999999982</v>
      </c>
    </row>
    <row r="16" spans="1:38" x14ac:dyDescent="0.2">
      <c r="A16" s="7" t="s">
        <v>20</v>
      </c>
      <c r="B16" s="7"/>
      <c r="C16" s="176">
        <f>Data!C152</f>
        <v>33843.539999999994</v>
      </c>
      <c r="D16" s="176">
        <f>Data!D152</f>
        <v>132401.95000000004</v>
      </c>
      <c r="E16" s="176">
        <f>Data!E152</f>
        <v>64853.65999999996</v>
      </c>
      <c r="F16" s="176">
        <f>Data!F152</f>
        <v>49775.470000000008</v>
      </c>
      <c r="G16" s="176">
        <f>Data!G152</f>
        <v>67451.499999999971</v>
      </c>
      <c r="H16" s="176">
        <f>Data!H152</f>
        <v>48849.7</v>
      </c>
      <c r="I16" s="176">
        <f>Data!I152</f>
        <v>63925.629999999983</v>
      </c>
      <c r="J16" s="176">
        <f>Data!J152</f>
        <v>57330.240000000027</v>
      </c>
      <c r="K16" s="176">
        <f>Data!K152</f>
        <v>51398.410000000018</v>
      </c>
      <c r="L16" s="176">
        <f>Data!L152</f>
        <v>39499.060000000012</v>
      </c>
      <c r="M16" s="176">
        <f>Data!M152</f>
        <v>47338.600000000006</v>
      </c>
      <c r="N16" s="176">
        <f>Data!N152</f>
        <v>39220.850000000006</v>
      </c>
      <c r="O16" s="176">
        <f>Data!O152</f>
        <v>43388.490000000013</v>
      </c>
      <c r="P16" s="176">
        <f>Data!P152</f>
        <v>39972.370000000024</v>
      </c>
      <c r="Q16" s="176">
        <f>Data!Q152</f>
        <v>49935.320000000007</v>
      </c>
      <c r="R16" s="176">
        <f>Data!R152</f>
        <v>49872.68</v>
      </c>
      <c r="S16" s="176">
        <f>Data!S152</f>
        <v>49193.540000000023</v>
      </c>
      <c r="T16" s="176">
        <f>Data!T152</f>
        <v>72803.94</v>
      </c>
      <c r="U16" s="176">
        <f>Data!U152</f>
        <v>64903.010000000009</v>
      </c>
      <c r="V16" s="176">
        <f>Data!V152</f>
        <v>45236.52</v>
      </c>
      <c r="W16" s="176">
        <f>Data!W152</f>
        <v>53439.770000000004</v>
      </c>
      <c r="X16" s="176">
        <f>Data!X152</f>
        <v>34673.060000000012</v>
      </c>
      <c r="Y16" s="176">
        <f>Data!Y152</f>
        <v>34330.18</v>
      </c>
      <c r="Z16" s="176">
        <f>Data!Z152</f>
        <v>215514.30999999997</v>
      </c>
      <c r="AA16" s="176">
        <f>Data!AA152</f>
        <v>221497.84999999998</v>
      </c>
      <c r="AB16" s="176">
        <f>Data!AB152</f>
        <v>315100.50000000023</v>
      </c>
      <c r="AC16" s="176">
        <f>Data!AC152</f>
        <v>235901.91000000003</v>
      </c>
      <c r="AD16" s="176">
        <f>Data!AD152</f>
        <v>267357.61000000004</v>
      </c>
      <c r="AE16" s="176">
        <f>Data!AE152</f>
        <v>262196.40000000002</v>
      </c>
      <c r="AF16" s="176">
        <f>Data!AF152</f>
        <v>206635.62999999995</v>
      </c>
      <c r="AG16" s="176">
        <f>Data!AG152</f>
        <v>268086.79000000021</v>
      </c>
      <c r="AH16" s="176">
        <f>Data!AH152</f>
        <v>280085.05000000005</v>
      </c>
      <c r="AI16" s="176">
        <f>Data!AI152</f>
        <v>233438.95000000007</v>
      </c>
      <c r="AJ16" s="176">
        <f>Data!AJ152</f>
        <v>237774.08999999997</v>
      </c>
      <c r="AK16" s="176">
        <f>Data!AK152</f>
        <v>129661.01000000001</v>
      </c>
      <c r="AL16" s="176">
        <f>Data!AL152</f>
        <v>39963.089999999982</v>
      </c>
    </row>
    <row r="17" spans="1:38" x14ac:dyDescent="0.2">
      <c r="A17" s="7" t="s">
        <v>21</v>
      </c>
      <c r="B17" s="7"/>
      <c r="C17" s="176">
        <f>Data!C153</f>
        <v>34323.789999999994</v>
      </c>
      <c r="D17" s="176">
        <f>Data!D153</f>
        <v>134618.79000000004</v>
      </c>
      <c r="E17" s="176">
        <f>Data!E153</f>
        <v>65304.799999999959</v>
      </c>
      <c r="F17" s="176">
        <f>Data!F153</f>
        <v>50428.010000000009</v>
      </c>
      <c r="G17" s="176">
        <f>Data!G153</f>
        <v>68265.319999999978</v>
      </c>
      <c r="H17" s="176">
        <f>Data!H153</f>
        <v>49229.39</v>
      </c>
      <c r="I17" s="176">
        <f>Data!I153</f>
        <v>65452.969999999987</v>
      </c>
      <c r="J17" s="176">
        <f>Data!J153</f>
        <v>58351.850000000028</v>
      </c>
      <c r="K17" s="176">
        <f>Data!K153</f>
        <v>51711.180000000015</v>
      </c>
      <c r="L17" s="176">
        <f>Data!L153</f>
        <v>39772.12000000001</v>
      </c>
      <c r="M17" s="176">
        <f>Data!M153</f>
        <v>47509.62</v>
      </c>
      <c r="N17" s="176">
        <f>Data!N153</f>
        <v>40631.460000000006</v>
      </c>
      <c r="O17" s="176">
        <f>Data!O153</f>
        <v>43638.020000000011</v>
      </c>
      <c r="P17" s="176">
        <f>Data!P153</f>
        <v>41383.840000000026</v>
      </c>
      <c r="Q17" s="176">
        <f>Data!Q153</f>
        <v>49940.740000000005</v>
      </c>
      <c r="R17" s="176">
        <f>Data!R153</f>
        <v>50514.73</v>
      </c>
      <c r="S17" s="176">
        <f>Data!S153</f>
        <v>49917.92000000002</v>
      </c>
      <c r="T17" s="176">
        <f>Data!T153</f>
        <v>73431.27</v>
      </c>
      <c r="U17" s="176">
        <f>Data!U153</f>
        <v>65201.020000000011</v>
      </c>
      <c r="V17" s="176">
        <f>Data!V153</f>
        <v>46579.219999999994</v>
      </c>
      <c r="W17" s="176">
        <f>Data!W153</f>
        <v>54154.890000000007</v>
      </c>
      <c r="X17" s="176">
        <f>Data!X153</f>
        <v>34743.860000000015</v>
      </c>
      <c r="Y17" s="176">
        <f>Data!Y153</f>
        <v>35364.089999999997</v>
      </c>
      <c r="Z17" s="176">
        <f>Data!Z153</f>
        <v>219473.84999999998</v>
      </c>
      <c r="AA17" s="176">
        <f>Data!AA153</f>
        <v>227550.86</v>
      </c>
      <c r="AB17" s="176">
        <f>Data!AB153</f>
        <v>323997.94000000024</v>
      </c>
      <c r="AC17" s="176">
        <f>Data!AC153</f>
        <v>243292.89000000004</v>
      </c>
      <c r="AD17" s="176">
        <f>Data!AD153</f>
        <v>284714.60000000003</v>
      </c>
      <c r="AE17" s="176">
        <f>Data!AE153</f>
        <v>274530.75</v>
      </c>
      <c r="AF17" s="176">
        <f>Data!AF153</f>
        <v>213733.71999999994</v>
      </c>
      <c r="AG17" s="176">
        <f>Data!AG153</f>
        <v>275282.83000000019</v>
      </c>
      <c r="AH17" s="176">
        <f>Data!AH153</f>
        <v>282059.79000000004</v>
      </c>
      <c r="AI17" s="176">
        <f>Data!AI153</f>
        <v>233438.95000000007</v>
      </c>
      <c r="AJ17" s="176">
        <f>Data!AJ153</f>
        <v>237774.08999999997</v>
      </c>
      <c r="AK17" s="176">
        <f>Data!AK153</f>
        <v>129661.01000000001</v>
      </c>
      <c r="AL17" s="176">
        <f>Data!AL153</f>
        <v>39963.089999999982</v>
      </c>
    </row>
    <row r="18" spans="1:38" x14ac:dyDescent="0.2">
      <c r="A18" s="7" t="s">
        <v>22</v>
      </c>
      <c r="B18" s="7"/>
      <c r="C18" s="176">
        <f>Data!C154</f>
        <v>35156.349999999991</v>
      </c>
      <c r="D18" s="176">
        <f>Data!D154</f>
        <v>135016.88000000003</v>
      </c>
      <c r="E18" s="176">
        <f>Data!E154</f>
        <v>65428.399999999958</v>
      </c>
      <c r="F18" s="176">
        <f>Data!F154</f>
        <v>51177.12000000001</v>
      </c>
      <c r="G18" s="176">
        <f>Data!G154</f>
        <v>68375.959999999977</v>
      </c>
      <c r="H18" s="176">
        <f>Data!H154</f>
        <v>49475.69</v>
      </c>
      <c r="I18" s="176">
        <f>Data!I154</f>
        <v>65580.119999999981</v>
      </c>
      <c r="J18" s="176">
        <f>Data!J154</f>
        <v>58844.770000000026</v>
      </c>
      <c r="K18" s="176">
        <f>Data!K154</f>
        <v>51946.330000000016</v>
      </c>
      <c r="L18" s="176">
        <f>Data!L154</f>
        <v>40844.500000000007</v>
      </c>
      <c r="M18" s="176">
        <f>Data!M154</f>
        <v>47631.310000000005</v>
      </c>
      <c r="N18" s="176">
        <f>Data!N154</f>
        <v>40911.920000000006</v>
      </c>
      <c r="O18" s="176">
        <f>Data!O154</f>
        <v>43985.37000000001</v>
      </c>
      <c r="P18" s="176">
        <f>Data!P154</f>
        <v>41452.190000000024</v>
      </c>
      <c r="Q18" s="176">
        <f>Data!Q154</f>
        <v>49950.030000000006</v>
      </c>
      <c r="R18" s="176">
        <f>Data!R154</f>
        <v>50681.9</v>
      </c>
      <c r="S18" s="176">
        <f>Data!S154</f>
        <v>50108.17000000002</v>
      </c>
      <c r="T18" s="176">
        <f>Data!T154</f>
        <v>73502.06</v>
      </c>
      <c r="U18" s="176">
        <f>Data!U154</f>
        <v>65291.270000000011</v>
      </c>
      <c r="V18" s="176">
        <f>Data!V154</f>
        <v>48183.179999999993</v>
      </c>
      <c r="W18" s="176">
        <f>Data!W154</f>
        <v>80096.34</v>
      </c>
      <c r="X18" s="176">
        <f>Data!X154</f>
        <v>35855.310000000012</v>
      </c>
      <c r="Y18" s="176">
        <f>Data!Y154</f>
        <v>37035.539999999994</v>
      </c>
      <c r="Z18" s="176">
        <f>Data!Z154</f>
        <v>229062.50999999998</v>
      </c>
      <c r="AA18" s="176">
        <f>Data!AA154</f>
        <v>232585.31</v>
      </c>
      <c r="AB18" s="176">
        <f>Data!AB154</f>
        <v>327990.16000000021</v>
      </c>
      <c r="AC18" s="176">
        <f>Data!AC154</f>
        <v>248416.83000000005</v>
      </c>
      <c r="AD18" s="176">
        <f>Data!AD154</f>
        <v>291090.28000000003</v>
      </c>
      <c r="AE18" s="176">
        <f>Data!AE154</f>
        <v>281828.96000000002</v>
      </c>
      <c r="AF18" s="176">
        <f>Data!AF154</f>
        <v>222595.65999999995</v>
      </c>
      <c r="AG18" s="176">
        <f>Data!AG154</f>
        <v>281445.81000000017</v>
      </c>
      <c r="AH18" s="176">
        <f>Data!AH154</f>
        <v>282059.79000000004</v>
      </c>
      <c r="AI18" s="176">
        <f>Data!AI154</f>
        <v>233438.95000000007</v>
      </c>
      <c r="AJ18" s="176">
        <f>Data!AJ154</f>
        <v>237774.08999999997</v>
      </c>
      <c r="AK18" s="176">
        <f>Data!AK154</f>
        <v>129661.01000000001</v>
      </c>
      <c r="AL18" s="176">
        <f>Data!AL154</f>
        <v>39963.089999999982</v>
      </c>
    </row>
    <row r="19" spans="1:38" x14ac:dyDescent="0.2">
      <c r="A19" s="7" t="s">
        <v>23</v>
      </c>
      <c r="B19" s="7"/>
      <c r="C19" s="176">
        <f>Data!C155</f>
        <v>35259.30999999999</v>
      </c>
      <c r="D19" s="176">
        <f>Data!D155</f>
        <v>135341.68000000002</v>
      </c>
      <c r="E19" s="176">
        <f>Data!E155</f>
        <v>65710.469999999958</v>
      </c>
      <c r="F19" s="176">
        <f>Data!F155</f>
        <v>51770.240000000013</v>
      </c>
      <c r="G19" s="176">
        <f>Data!G155</f>
        <v>68557.019999999975</v>
      </c>
      <c r="H19" s="176">
        <f>Data!H155</f>
        <v>52103.590000000004</v>
      </c>
      <c r="I19" s="176">
        <f>Data!I155</f>
        <v>65728.579999999987</v>
      </c>
      <c r="J19" s="176">
        <f>Data!J155</f>
        <v>59071.190000000024</v>
      </c>
      <c r="K19" s="176">
        <f>Data!K155</f>
        <v>55346.480000000018</v>
      </c>
      <c r="L19" s="176">
        <f>Data!L155</f>
        <v>40875.860000000008</v>
      </c>
      <c r="M19" s="176">
        <f>Data!M155</f>
        <v>47670.51</v>
      </c>
      <c r="N19" s="176">
        <f>Data!N155</f>
        <v>41020.000000000007</v>
      </c>
      <c r="O19" s="176">
        <f>Data!O155</f>
        <v>44127.840000000011</v>
      </c>
      <c r="P19" s="176">
        <f>Data!P155</f>
        <v>41452.190000000024</v>
      </c>
      <c r="Q19" s="176">
        <f>Data!Q155</f>
        <v>50178.110000000008</v>
      </c>
      <c r="R19" s="176">
        <f>Data!R155</f>
        <v>50704.66</v>
      </c>
      <c r="S19" s="176">
        <f>Data!S155</f>
        <v>50263.17000000002</v>
      </c>
      <c r="T19" s="176">
        <f>Data!T155</f>
        <v>73519.5</v>
      </c>
      <c r="U19" s="176">
        <f>Data!U155</f>
        <v>66289.490000000005</v>
      </c>
      <c r="V19" s="176">
        <f>Data!V155</f>
        <v>48359.609999999993</v>
      </c>
      <c r="W19" s="176">
        <f>Data!W155</f>
        <v>80237.759999999995</v>
      </c>
      <c r="X19" s="176">
        <f>Data!X155</f>
        <v>35882.860000000015</v>
      </c>
      <c r="Y19" s="176">
        <f>Data!Y155</f>
        <v>37721.829999999994</v>
      </c>
      <c r="Z19" s="176">
        <f>Data!Z155</f>
        <v>234556.63999999998</v>
      </c>
      <c r="AA19" s="176">
        <f>Data!AA155</f>
        <v>234557.24</v>
      </c>
      <c r="AB19" s="176">
        <f>Data!AB155</f>
        <v>331370.20000000019</v>
      </c>
      <c r="AC19" s="176">
        <f>Data!AC155</f>
        <v>250989.21000000005</v>
      </c>
      <c r="AD19" s="176">
        <f>Data!AD155</f>
        <v>299451.99000000005</v>
      </c>
      <c r="AE19" s="176">
        <f>Data!AE155</f>
        <v>289028.59000000003</v>
      </c>
      <c r="AF19" s="176">
        <f>Data!AF155</f>
        <v>226458.18999999994</v>
      </c>
      <c r="AG19" s="176">
        <f>Data!AG155</f>
        <v>281445.81000000017</v>
      </c>
      <c r="AH19" s="176">
        <f>Data!AH155</f>
        <v>282059.79000000004</v>
      </c>
      <c r="AI19" s="176">
        <f>Data!AI155</f>
        <v>233438.95000000007</v>
      </c>
      <c r="AJ19" s="176">
        <f>Data!AJ155</f>
        <v>237774.08999999997</v>
      </c>
      <c r="AK19" s="176">
        <f>Data!AK155</f>
        <v>129661.01000000001</v>
      </c>
      <c r="AL19" s="176">
        <f>Data!AL155</f>
        <v>39963.089999999982</v>
      </c>
    </row>
    <row r="20" spans="1:38" x14ac:dyDescent="0.2">
      <c r="A20" s="7" t="s">
        <v>24</v>
      </c>
      <c r="B20" s="7"/>
      <c r="C20" s="176">
        <f>Data!C156</f>
        <v>35259.30999999999</v>
      </c>
      <c r="D20" s="176">
        <f>Data!D156</f>
        <v>136310.86000000002</v>
      </c>
      <c r="E20" s="176">
        <f>Data!E156</f>
        <v>66584.919999999955</v>
      </c>
      <c r="F20" s="176">
        <f>Data!F156</f>
        <v>51770.240000000013</v>
      </c>
      <c r="G20" s="176">
        <f>Data!G156</f>
        <v>68600.219999999972</v>
      </c>
      <c r="H20" s="176">
        <f>Data!H156</f>
        <v>52729.000000000007</v>
      </c>
      <c r="I20" s="176">
        <f>Data!I156</f>
        <v>65852.039999999994</v>
      </c>
      <c r="J20" s="176">
        <f>Data!J156</f>
        <v>61600.940000000024</v>
      </c>
      <c r="K20" s="176">
        <f>Data!K156</f>
        <v>55469.940000000017</v>
      </c>
      <c r="L20" s="176">
        <f>Data!L156</f>
        <v>40875.860000000008</v>
      </c>
      <c r="M20" s="176">
        <f>Data!M156</f>
        <v>47675.950000000004</v>
      </c>
      <c r="N20" s="176">
        <f>Data!N156</f>
        <v>41020.000000000007</v>
      </c>
      <c r="O20" s="176">
        <f>Data!O156</f>
        <v>44127.840000000011</v>
      </c>
      <c r="P20" s="176">
        <f>Data!P156</f>
        <v>42106.050000000025</v>
      </c>
      <c r="Q20" s="176">
        <f>Data!Q156</f>
        <v>50353.090000000011</v>
      </c>
      <c r="R20" s="176">
        <f>Data!R156</f>
        <v>50704.66</v>
      </c>
      <c r="S20" s="176">
        <f>Data!S156</f>
        <v>50263.17000000002</v>
      </c>
      <c r="T20" s="176">
        <f>Data!T156</f>
        <v>73519.5</v>
      </c>
      <c r="U20" s="176">
        <f>Data!U156</f>
        <v>66402.48000000001</v>
      </c>
      <c r="V20" s="176">
        <f>Data!V156</f>
        <v>48436.239999999991</v>
      </c>
      <c r="W20" s="176">
        <f>Data!W156</f>
        <v>80377.47</v>
      </c>
      <c r="X20" s="176">
        <f>Data!X156</f>
        <v>36069.920000000013</v>
      </c>
      <c r="Y20" s="176">
        <f>Data!Y156</f>
        <v>37733.56</v>
      </c>
      <c r="Z20" s="176">
        <f>Data!Z156</f>
        <v>238838.53</v>
      </c>
      <c r="AA20" s="176">
        <f>Data!AA156</f>
        <v>236572.15</v>
      </c>
      <c r="AB20" s="176">
        <f>Data!AB156</f>
        <v>336261.27000000019</v>
      </c>
      <c r="AC20" s="176">
        <f>Data!AC156</f>
        <v>253061.62000000005</v>
      </c>
      <c r="AD20" s="176">
        <f>Data!AD156</f>
        <v>300777.46000000002</v>
      </c>
      <c r="AE20" s="176">
        <f>Data!AE156</f>
        <v>291451.95</v>
      </c>
      <c r="AF20" s="176">
        <f>Data!AF156</f>
        <v>226458.18999999994</v>
      </c>
      <c r="AG20" s="176">
        <f>Data!AG156</f>
        <v>281445.81000000017</v>
      </c>
      <c r="AH20" s="176">
        <f>Data!AH156</f>
        <v>282059.79000000004</v>
      </c>
      <c r="AI20" s="176">
        <f>Data!AI156</f>
        <v>233438.95000000007</v>
      </c>
      <c r="AJ20" s="176">
        <f>Data!AJ156</f>
        <v>237774.08999999997</v>
      </c>
      <c r="AK20" s="176">
        <f>Data!AK156</f>
        <v>129661.01000000001</v>
      </c>
      <c r="AL20" s="176">
        <f>Data!AL156</f>
        <v>39963.089999999982</v>
      </c>
    </row>
    <row r="21" spans="1:38" x14ac:dyDescent="0.2">
      <c r="A21" s="7" t="s">
        <v>25</v>
      </c>
      <c r="B21" s="7"/>
      <c r="C21" s="176">
        <f>Data!C157</f>
        <v>35675.969999999994</v>
      </c>
      <c r="D21" s="176">
        <f>Data!D157</f>
        <v>136679.29</v>
      </c>
      <c r="E21" s="176">
        <f>Data!E157</f>
        <v>66993.819999999949</v>
      </c>
      <c r="F21" s="176">
        <f>Data!F157</f>
        <v>52118.80000000001</v>
      </c>
      <c r="G21" s="176">
        <f>Data!G157</f>
        <v>68600.219999999972</v>
      </c>
      <c r="H21" s="176">
        <f>Data!H157</f>
        <v>52729.000000000007</v>
      </c>
      <c r="I21" s="176">
        <f>Data!I157</f>
        <v>71155.149999999994</v>
      </c>
      <c r="J21" s="176">
        <f>Data!J157</f>
        <v>61708.630000000026</v>
      </c>
      <c r="K21" s="176">
        <f>Data!K157</f>
        <v>55913.590000000018</v>
      </c>
      <c r="L21" s="176">
        <f>Data!L157</f>
        <v>40908.44000000001</v>
      </c>
      <c r="M21" s="176">
        <f>Data!M157</f>
        <v>47675.950000000004</v>
      </c>
      <c r="N21" s="176">
        <f>Data!N157</f>
        <v>41020.000000000007</v>
      </c>
      <c r="O21" s="176">
        <f>Data!O157</f>
        <v>44172.44000000001</v>
      </c>
      <c r="P21" s="176">
        <f>Data!P157</f>
        <v>42157.840000000026</v>
      </c>
      <c r="Q21" s="176">
        <f>Data!Q157</f>
        <v>50353.090000000011</v>
      </c>
      <c r="R21" s="176">
        <f>Data!R157</f>
        <v>50704.66</v>
      </c>
      <c r="S21" s="176">
        <f>Data!S157</f>
        <v>50263.17000000002</v>
      </c>
      <c r="T21" s="176">
        <f>Data!T157</f>
        <v>73723.520000000004</v>
      </c>
      <c r="U21" s="176">
        <f>Data!U157</f>
        <v>66439.580000000016</v>
      </c>
      <c r="V21" s="176">
        <f>Data!V157</f>
        <v>48436.239999999991</v>
      </c>
      <c r="W21" s="176">
        <f>Data!W157</f>
        <v>80445.820000000007</v>
      </c>
      <c r="X21" s="176">
        <f>Data!X157</f>
        <v>36567.920000000013</v>
      </c>
      <c r="Y21" s="176">
        <f>Data!Y157</f>
        <v>38273.29</v>
      </c>
      <c r="Z21" s="176">
        <f>Data!Z157</f>
        <v>240502.65</v>
      </c>
      <c r="AA21" s="176">
        <f>Data!AA157</f>
        <v>243406.31</v>
      </c>
      <c r="AB21" s="176">
        <f>Data!AB157</f>
        <v>337594.7100000002</v>
      </c>
      <c r="AC21" s="176">
        <f>Data!AC157</f>
        <v>255973.80000000005</v>
      </c>
      <c r="AD21" s="176">
        <f>Data!AD157</f>
        <v>302917.12</v>
      </c>
      <c r="AE21" s="176">
        <f>Data!AE157</f>
        <v>291451.95</v>
      </c>
      <c r="AF21" s="176">
        <f>Data!AF157</f>
        <v>226458.18999999994</v>
      </c>
      <c r="AG21" s="176">
        <f>Data!AG157</f>
        <v>281445.81000000017</v>
      </c>
      <c r="AH21" s="176">
        <f>Data!AH157</f>
        <v>282059.79000000004</v>
      </c>
      <c r="AI21" s="176">
        <f>Data!AI157</f>
        <v>233438.95000000007</v>
      </c>
      <c r="AJ21" s="176">
        <f>Data!AJ157</f>
        <v>237774.08999999997</v>
      </c>
      <c r="AK21" s="176">
        <f>Data!AK157</f>
        <v>129661.01000000001</v>
      </c>
      <c r="AL21" s="176">
        <f>Data!AL157</f>
        <v>39963.089999999982</v>
      </c>
    </row>
    <row r="22" spans="1:38" x14ac:dyDescent="0.2">
      <c r="A22" s="7" t="s">
        <v>26</v>
      </c>
      <c r="B22" s="7"/>
      <c r="C22" s="176">
        <f>Data!C158</f>
        <v>35675.969999999994</v>
      </c>
      <c r="D22" s="176">
        <f>Data!D158</f>
        <v>136950.43000000002</v>
      </c>
      <c r="E22" s="176">
        <f>Data!E158</f>
        <v>67166.169999999955</v>
      </c>
      <c r="F22" s="176">
        <f>Data!F158</f>
        <v>52118.80000000001</v>
      </c>
      <c r="G22" s="176">
        <f>Data!G158</f>
        <v>68659.299999999974</v>
      </c>
      <c r="H22" s="176">
        <f>Data!H158</f>
        <v>52829.000000000007</v>
      </c>
      <c r="I22" s="176">
        <f>Data!I158</f>
        <v>71459.11</v>
      </c>
      <c r="J22" s="176">
        <f>Data!J158</f>
        <v>61708.630000000026</v>
      </c>
      <c r="K22" s="176">
        <f>Data!K158</f>
        <v>55981.700000000019</v>
      </c>
      <c r="L22" s="176">
        <f>Data!L158</f>
        <v>40951.640000000007</v>
      </c>
      <c r="M22" s="176">
        <f>Data!M158</f>
        <v>47810.950000000004</v>
      </c>
      <c r="N22" s="176">
        <f>Data!N158</f>
        <v>41020.000000000007</v>
      </c>
      <c r="O22" s="176">
        <f>Data!O158</f>
        <v>44172.44000000001</v>
      </c>
      <c r="P22" s="176">
        <f>Data!P158</f>
        <v>42284.340000000026</v>
      </c>
      <c r="Q22" s="176">
        <f>Data!Q158</f>
        <v>50461.170000000013</v>
      </c>
      <c r="R22" s="176">
        <f>Data!R158</f>
        <v>50704.66</v>
      </c>
      <c r="S22" s="176">
        <f>Data!S158</f>
        <v>50468.810000000019</v>
      </c>
      <c r="T22" s="176">
        <f>Data!T158</f>
        <v>73791.02</v>
      </c>
      <c r="U22" s="176">
        <f>Data!U158</f>
        <v>66795.410000000018</v>
      </c>
      <c r="V22" s="176">
        <f>Data!V158</f>
        <v>48436.239999999991</v>
      </c>
      <c r="W22" s="176">
        <f>Data!W158</f>
        <v>80445.820000000007</v>
      </c>
      <c r="X22" s="176">
        <f>Data!X158</f>
        <v>36881.700000000012</v>
      </c>
      <c r="Y22" s="176">
        <f>Data!Y158</f>
        <v>38392.04</v>
      </c>
      <c r="Z22" s="176">
        <f>Data!Z158</f>
        <v>242703.53</v>
      </c>
      <c r="AA22" s="176">
        <f>Data!AA158</f>
        <v>246892.51</v>
      </c>
      <c r="AB22" s="176">
        <f>Data!AB158</f>
        <v>339918.74000000022</v>
      </c>
      <c r="AC22" s="176">
        <f>Data!AC158</f>
        <v>264873.73000000004</v>
      </c>
      <c r="AD22" s="176">
        <f>Data!AD158</f>
        <v>302917.12</v>
      </c>
      <c r="AE22" s="176">
        <f>Data!AE158</f>
        <v>291451.95</v>
      </c>
      <c r="AF22" s="176">
        <f>Data!AF158</f>
        <v>226458.18999999994</v>
      </c>
      <c r="AG22" s="176">
        <f>Data!AG158</f>
        <v>281445.81000000017</v>
      </c>
      <c r="AH22" s="176">
        <f>Data!AH158</f>
        <v>282059.79000000004</v>
      </c>
      <c r="AI22" s="176">
        <f>Data!AI158</f>
        <v>233438.95000000007</v>
      </c>
      <c r="AJ22" s="176">
        <f>Data!AJ158</f>
        <v>237774.08999999997</v>
      </c>
      <c r="AK22" s="176">
        <f>Data!AK158</f>
        <v>129661.01000000001</v>
      </c>
      <c r="AL22" s="176">
        <f>Data!AL158</f>
        <v>39963.089999999982</v>
      </c>
    </row>
    <row r="23" spans="1:38" x14ac:dyDescent="0.2">
      <c r="A23" s="7" t="s">
        <v>27</v>
      </c>
      <c r="B23" s="7"/>
      <c r="C23" s="176">
        <f>Data!C159</f>
        <v>35923.329999999994</v>
      </c>
      <c r="D23" s="176">
        <f>Data!D159</f>
        <v>137523.06000000003</v>
      </c>
      <c r="E23" s="176">
        <f>Data!E159</f>
        <v>67371.549999999959</v>
      </c>
      <c r="F23" s="176">
        <f>Data!F159</f>
        <v>52118.80000000001</v>
      </c>
      <c r="G23" s="176">
        <f>Data!G159</f>
        <v>68798.359999999971</v>
      </c>
      <c r="H23" s="176">
        <f>Data!H159</f>
        <v>52863.060000000005</v>
      </c>
      <c r="I23" s="176">
        <f>Data!I159</f>
        <v>72097.69</v>
      </c>
      <c r="J23" s="176">
        <f>Data!J159</f>
        <v>61907.660000000025</v>
      </c>
      <c r="K23" s="176">
        <f>Data!K159</f>
        <v>56457.860000000022</v>
      </c>
      <c r="L23" s="176">
        <f>Data!L159</f>
        <v>40951.640000000007</v>
      </c>
      <c r="M23" s="176">
        <f>Data!M159</f>
        <v>47841.73</v>
      </c>
      <c r="N23" s="176">
        <f>Data!N159</f>
        <v>41020.000000000007</v>
      </c>
      <c r="O23" s="176">
        <f>Data!O159</f>
        <v>44172.44000000001</v>
      </c>
      <c r="P23" s="176">
        <f>Data!P159</f>
        <v>42327.540000000023</v>
      </c>
      <c r="Q23" s="176">
        <f>Data!Q159</f>
        <v>50655.560000000012</v>
      </c>
      <c r="R23" s="176">
        <f>Data!R159</f>
        <v>50857.87</v>
      </c>
      <c r="S23" s="176">
        <f>Data!S159</f>
        <v>50468.810000000019</v>
      </c>
      <c r="T23" s="176">
        <f>Data!T159</f>
        <v>73791.02</v>
      </c>
      <c r="U23" s="176">
        <f>Data!U159</f>
        <v>66821.590000000011</v>
      </c>
      <c r="V23" s="176">
        <f>Data!V159</f>
        <v>49349.899999999994</v>
      </c>
      <c r="W23" s="176">
        <f>Data!W159</f>
        <v>80565.38</v>
      </c>
      <c r="X23" s="176">
        <f>Data!X159</f>
        <v>36881.700000000012</v>
      </c>
      <c r="Y23" s="176">
        <f>Data!Y159</f>
        <v>38825.97</v>
      </c>
      <c r="Z23" s="176">
        <f>Data!Z159</f>
        <v>243889.59</v>
      </c>
      <c r="AA23" s="176">
        <f>Data!AA159</f>
        <v>247291.95</v>
      </c>
      <c r="AB23" s="176">
        <f>Data!AB159</f>
        <v>340659.39000000025</v>
      </c>
      <c r="AC23" s="176">
        <f>Data!AC159</f>
        <v>264873.73000000004</v>
      </c>
      <c r="AD23" s="176">
        <f>Data!AD159</f>
        <v>302917.12</v>
      </c>
      <c r="AE23" s="176">
        <f>Data!AE159</f>
        <v>291451.95</v>
      </c>
      <c r="AF23" s="176">
        <f>Data!AF159</f>
        <v>226458.18999999994</v>
      </c>
      <c r="AG23" s="176">
        <f>Data!AG159</f>
        <v>281445.81000000017</v>
      </c>
      <c r="AH23" s="176">
        <f>Data!AH159</f>
        <v>282059.79000000004</v>
      </c>
      <c r="AI23" s="176">
        <f>Data!AI159</f>
        <v>233438.95000000007</v>
      </c>
      <c r="AJ23" s="176">
        <f>Data!AJ159</f>
        <v>237774.08999999997</v>
      </c>
      <c r="AK23" s="176">
        <f>Data!AK159</f>
        <v>129661.01000000001</v>
      </c>
      <c r="AL23" s="176">
        <f>Data!AL159</f>
        <v>39963.089999999982</v>
      </c>
    </row>
    <row r="24" spans="1:38" x14ac:dyDescent="0.2">
      <c r="A24" s="7" t="s">
        <v>28</v>
      </c>
      <c r="B24" s="7"/>
      <c r="C24" s="176">
        <f>Data!C160</f>
        <v>35923.329999999994</v>
      </c>
      <c r="D24" s="176">
        <f>Data!D160</f>
        <v>137810.95000000004</v>
      </c>
      <c r="E24" s="176">
        <f>Data!E160</f>
        <v>67371.549999999959</v>
      </c>
      <c r="F24" s="176">
        <f>Data!F160</f>
        <v>52118.80000000001</v>
      </c>
      <c r="G24" s="176">
        <f>Data!G160</f>
        <v>69105.02999999997</v>
      </c>
      <c r="H24" s="176">
        <f>Data!H160</f>
        <v>53109.98</v>
      </c>
      <c r="I24" s="176">
        <f>Data!I160</f>
        <v>72097.69</v>
      </c>
      <c r="J24" s="176">
        <f>Data!J160</f>
        <v>61907.660000000025</v>
      </c>
      <c r="K24" s="176">
        <f>Data!K160</f>
        <v>56501.060000000019</v>
      </c>
      <c r="L24" s="176">
        <f>Data!L160</f>
        <v>41027.210000000006</v>
      </c>
      <c r="M24" s="176">
        <f>Data!M160</f>
        <v>47841.73</v>
      </c>
      <c r="N24" s="176">
        <f>Data!N160</f>
        <v>41139.020000000004</v>
      </c>
      <c r="O24" s="176">
        <f>Data!O160</f>
        <v>44172.44000000001</v>
      </c>
      <c r="P24" s="176">
        <f>Data!P160</f>
        <v>42327.540000000023</v>
      </c>
      <c r="Q24" s="176">
        <f>Data!Q160</f>
        <v>50655.560000000012</v>
      </c>
      <c r="R24" s="176">
        <f>Data!R160</f>
        <v>50857.87</v>
      </c>
      <c r="S24" s="176">
        <f>Data!S160</f>
        <v>50468.810000000019</v>
      </c>
      <c r="T24" s="176">
        <f>Data!T160</f>
        <v>73899.100000000006</v>
      </c>
      <c r="U24" s="176">
        <f>Data!U160</f>
        <v>66821.590000000011</v>
      </c>
      <c r="V24" s="176">
        <f>Data!V160</f>
        <v>49516.539999999994</v>
      </c>
      <c r="W24" s="176">
        <f>Data!W160</f>
        <v>80679.75</v>
      </c>
      <c r="X24" s="176">
        <f>Data!X160</f>
        <v>36996.880000000012</v>
      </c>
      <c r="Y24" s="176">
        <f>Data!Y160</f>
        <v>38825.97</v>
      </c>
      <c r="Z24" s="176">
        <f>Data!Z160</f>
        <v>245130.08</v>
      </c>
      <c r="AA24" s="176">
        <f>Data!AA160</f>
        <v>247390.29</v>
      </c>
      <c r="AB24" s="176">
        <f>Data!AB160</f>
        <v>340659.39000000025</v>
      </c>
      <c r="AC24" s="176">
        <f>Data!AC160</f>
        <v>264873.73000000004</v>
      </c>
      <c r="AD24" s="176">
        <f>Data!AD160</f>
        <v>302917.12</v>
      </c>
      <c r="AE24" s="176">
        <f>Data!AE160</f>
        <v>291451.95</v>
      </c>
      <c r="AF24" s="176">
        <f>Data!AF160</f>
        <v>226458.18999999994</v>
      </c>
      <c r="AG24" s="176">
        <f>Data!AG160</f>
        <v>281445.81000000017</v>
      </c>
      <c r="AH24" s="176">
        <f>Data!AH160</f>
        <v>282059.79000000004</v>
      </c>
      <c r="AI24" s="176">
        <f>Data!AI160</f>
        <v>233438.95000000007</v>
      </c>
      <c r="AJ24" s="176">
        <f>Data!AJ160</f>
        <v>237774.08999999997</v>
      </c>
      <c r="AK24" s="176">
        <f>Data!AK160</f>
        <v>129661.01000000001</v>
      </c>
      <c r="AL24" s="176">
        <f>Data!AL160</f>
        <v>39963.089999999982</v>
      </c>
    </row>
    <row r="25" spans="1:38" x14ac:dyDescent="0.2">
      <c r="A25" s="7" t="s">
        <v>29</v>
      </c>
      <c r="B25" s="7"/>
      <c r="C25" s="176">
        <f>Data!C161</f>
        <v>35923.329999999994</v>
      </c>
      <c r="D25" s="176">
        <f>Data!D161</f>
        <v>137683.04000000004</v>
      </c>
      <c r="E25" s="176">
        <f>Data!E161</f>
        <v>67568.289999999964</v>
      </c>
      <c r="F25" s="176">
        <f>Data!F161</f>
        <v>52229.130000000012</v>
      </c>
      <c r="G25" s="176">
        <f>Data!G161</f>
        <v>69182.52999999997</v>
      </c>
      <c r="H25" s="176">
        <f>Data!H161</f>
        <v>53128.91</v>
      </c>
      <c r="I25" s="176">
        <f>Data!I161</f>
        <v>72097.69</v>
      </c>
      <c r="J25" s="176">
        <f>Data!J161</f>
        <v>61907.660000000025</v>
      </c>
      <c r="K25" s="176">
        <f>Data!K161</f>
        <v>56568.250000000022</v>
      </c>
      <c r="L25" s="176">
        <f>Data!L161</f>
        <v>41027.210000000006</v>
      </c>
      <c r="M25" s="176">
        <f>Data!M161</f>
        <v>49796.490000000005</v>
      </c>
      <c r="N25" s="176">
        <f>Data!N161</f>
        <v>41139.020000000004</v>
      </c>
      <c r="O25" s="176">
        <f>Data!O161</f>
        <v>44207.990000000013</v>
      </c>
      <c r="P25" s="176">
        <f>Data!P161</f>
        <v>42405.230000000025</v>
      </c>
      <c r="Q25" s="176">
        <f>Data!Q161</f>
        <v>50655.560000000012</v>
      </c>
      <c r="R25" s="176">
        <f>Data!R161</f>
        <v>50857.87</v>
      </c>
      <c r="S25" s="176">
        <f>Data!S161</f>
        <v>50468.810000000019</v>
      </c>
      <c r="T25" s="176">
        <f>Data!T161</f>
        <v>73966.600000000006</v>
      </c>
      <c r="U25" s="176">
        <f>Data!U161</f>
        <v>67044.490000000005</v>
      </c>
      <c r="V25" s="176">
        <f>Data!V161</f>
        <v>49516.539999999994</v>
      </c>
      <c r="W25" s="176">
        <f>Data!W161</f>
        <v>80679.75</v>
      </c>
      <c r="X25" s="176">
        <f>Data!X161</f>
        <v>37145.150000000009</v>
      </c>
      <c r="Y25" s="176">
        <f>Data!Y161</f>
        <v>38825.97</v>
      </c>
      <c r="Z25" s="176">
        <f>Data!Z161</f>
        <v>246035.78999999998</v>
      </c>
      <c r="AA25" s="176">
        <f>Data!AA161</f>
        <v>247390.29</v>
      </c>
      <c r="AB25" s="176">
        <f>Data!AB161</f>
        <v>340659.39000000025</v>
      </c>
      <c r="AC25" s="176">
        <f>Data!AC161</f>
        <v>264873.73000000004</v>
      </c>
      <c r="AD25" s="176">
        <f>Data!AD161</f>
        <v>302917.12</v>
      </c>
      <c r="AE25" s="176">
        <f>Data!AE161</f>
        <v>291451.95</v>
      </c>
      <c r="AF25" s="176">
        <f>Data!AF161</f>
        <v>226458.18999999994</v>
      </c>
      <c r="AG25" s="176">
        <f>Data!AG161</f>
        <v>281445.81000000017</v>
      </c>
      <c r="AH25" s="176">
        <f>Data!AH161</f>
        <v>282059.79000000004</v>
      </c>
      <c r="AI25" s="176">
        <f>Data!AI161</f>
        <v>233438.95000000007</v>
      </c>
      <c r="AJ25" s="176">
        <f>Data!AJ161</f>
        <v>237774.08999999997</v>
      </c>
      <c r="AK25" s="176">
        <f>Data!AK161</f>
        <v>129661.01000000001</v>
      </c>
      <c r="AL25" s="176">
        <f>Data!AL161</f>
        <v>39963.089999999982</v>
      </c>
    </row>
    <row r="26" spans="1:38" x14ac:dyDescent="0.2">
      <c r="A26" s="7" t="s">
        <v>30</v>
      </c>
      <c r="B26" s="7"/>
      <c r="C26" s="176">
        <f>Data!C162</f>
        <v>35923.329999999994</v>
      </c>
      <c r="D26" s="176">
        <f>Data!D162</f>
        <v>137789.97000000003</v>
      </c>
      <c r="E26" s="176">
        <f>Data!E162</f>
        <v>91825.589999999967</v>
      </c>
      <c r="F26" s="176">
        <f>Data!F162</f>
        <v>52229.130000000012</v>
      </c>
      <c r="G26" s="176">
        <f>Data!G162</f>
        <v>69182.52999999997</v>
      </c>
      <c r="H26" s="176">
        <f>Data!H162</f>
        <v>53128.91</v>
      </c>
      <c r="I26" s="176">
        <f>Data!I162</f>
        <v>72097.69</v>
      </c>
      <c r="J26" s="176">
        <f>Data!J162</f>
        <v>61907.660000000025</v>
      </c>
      <c r="K26" s="176">
        <f>Data!K162</f>
        <v>56568.250000000022</v>
      </c>
      <c r="L26" s="176">
        <f>Data!L162</f>
        <v>41234.950000000004</v>
      </c>
      <c r="M26" s="176">
        <f>Data!M162</f>
        <v>49796.490000000005</v>
      </c>
      <c r="N26" s="176">
        <f>Data!N162</f>
        <v>41139.020000000004</v>
      </c>
      <c r="O26" s="176">
        <f>Data!O162</f>
        <v>44207.990000000013</v>
      </c>
      <c r="P26" s="176">
        <f>Data!P162</f>
        <v>42405.230000000025</v>
      </c>
      <c r="Q26" s="176">
        <f>Data!Q162</f>
        <v>50754.500000000015</v>
      </c>
      <c r="R26" s="176">
        <f>Data!R162</f>
        <v>50857.87</v>
      </c>
      <c r="S26" s="176">
        <f>Data!S162</f>
        <v>50468.810000000019</v>
      </c>
      <c r="T26" s="176">
        <f>Data!T162</f>
        <v>73966.600000000006</v>
      </c>
      <c r="U26" s="176">
        <f>Data!U162</f>
        <v>67044.490000000005</v>
      </c>
      <c r="V26" s="176">
        <f>Data!V162</f>
        <v>49619.499999999993</v>
      </c>
      <c r="W26" s="176">
        <f>Data!W162</f>
        <v>80679.75</v>
      </c>
      <c r="X26" s="176">
        <f>Data!X162</f>
        <v>37145.150000000009</v>
      </c>
      <c r="Y26" s="176">
        <f>Data!Y162</f>
        <v>38825.97</v>
      </c>
      <c r="Z26" s="176">
        <f>Data!Z162</f>
        <v>246035.78999999998</v>
      </c>
      <c r="AA26" s="176">
        <f>Data!AA162</f>
        <v>247390.29</v>
      </c>
      <c r="AB26" s="176">
        <f>Data!AB162</f>
        <v>340659.39000000025</v>
      </c>
      <c r="AC26" s="176">
        <f>Data!AC162</f>
        <v>264873.73000000004</v>
      </c>
      <c r="AD26" s="176">
        <f>Data!AD162</f>
        <v>302917.12</v>
      </c>
      <c r="AE26" s="176">
        <f>Data!AE162</f>
        <v>291451.95</v>
      </c>
      <c r="AF26" s="176">
        <f>Data!AF162</f>
        <v>226458.18999999994</v>
      </c>
      <c r="AG26" s="176">
        <f>Data!AG162</f>
        <v>281445.81000000017</v>
      </c>
      <c r="AH26" s="176">
        <f>Data!AH162</f>
        <v>282059.79000000004</v>
      </c>
      <c r="AI26" s="176">
        <f>Data!AI162</f>
        <v>233438.95000000007</v>
      </c>
      <c r="AJ26" s="176">
        <f>Data!AJ162</f>
        <v>237774.08999999997</v>
      </c>
      <c r="AK26" s="176">
        <f>Data!AK162</f>
        <v>129661.01000000001</v>
      </c>
      <c r="AL26" s="176">
        <f>Data!AL162</f>
        <v>39963.089999999982</v>
      </c>
    </row>
    <row r="27" spans="1:38" x14ac:dyDescent="0.2">
      <c r="A27" s="7" t="s">
        <v>31</v>
      </c>
      <c r="B27" s="7"/>
      <c r="C27" s="176">
        <f>Data!C163</f>
        <v>35923.329999999994</v>
      </c>
      <c r="D27" s="176">
        <f>Data!D163</f>
        <v>137789.97000000003</v>
      </c>
      <c r="E27" s="176">
        <f>Data!E163</f>
        <v>109826.18999999997</v>
      </c>
      <c r="F27" s="176">
        <f>Data!F163</f>
        <v>52296.630000000012</v>
      </c>
      <c r="G27" s="176">
        <f>Data!G163</f>
        <v>69182.52999999997</v>
      </c>
      <c r="H27" s="176">
        <f>Data!H163</f>
        <v>53128.91</v>
      </c>
      <c r="I27" s="176">
        <f>Data!I163</f>
        <v>72097.69</v>
      </c>
      <c r="J27" s="176">
        <f>Data!J163</f>
        <v>61907.660000000025</v>
      </c>
      <c r="K27" s="176">
        <f>Data!K163</f>
        <v>56568.250000000022</v>
      </c>
      <c r="L27" s="176">
        <f>Data!L163</f>
        <v>41234.950000000004</v>
      </c>
      <c r="M27" s="176">
        <f>Data!M163</f>
        <v>49796.490000000005</v>
      </c>
      <c r="N27" s="176">
        <f>Data!N163</f>
        <v>41139.020000000004</v>
      </c>
      <c r="O27" s="176">
        <f>Data!O163</f>
        <v>44207.990000000013</v>
      </c>
      <c r="P27" s="176">
        <f>Data!P163</f>
        <v>42405.230000000025</v>
      </c>
      <c r="Q27" s="176">
        <f>Data!Q163</f>
        <v>50754.500000000015</v>
      </c>
      <c r="R27" s="176">
        <f>Data!R163</f>
        <v>50857.87</v>
      </c>
      <c r="S27" s="176">
        <f>Data!S163</f>
        <v>50468.810000000019</v>
      </c>
      <c r="T27" s="176">
        <f>Data!T163</f>
        <v>73966.600000000006</v>
      </c>
      <c r="U27" s="176">
        <f>Data!U163</f>
        <v>67044.490000000005</v>
      </c>
      <c r="V27" s="176">
        <f>Data!V163</f>
        <v>49619.499999999993</v>
      </c>
      <c r="W27" s="176">
        <f>Data!W163</f>
        <v>80679.75</v>
      </c>
      <c r="X27" s="176">
        <f>Data!X163</f>
        <v>37360.250000000007</v>
      </c>
      <c r="Y27" s="176">
        <f>Data!Y163</f>
        <v>38825.97</v>
      </c>
      <c r="Z27" s="176">
        <f>Data!Z163</f>
        <v>246035.78999999998</v>
      </c>
      <c r="AA27" s="176">
        <f>Data!AA163</f>
        <v>247390.29</v>
      </c>
      <c r="AB27" s="176">
        <f>Data!AB163</f>
        <v>340659.39000000025</v>
      </c>
      <c r="AC27" s="176">
        <f>Data!AC163</f>
        <v>264873.73000000004</v>
      </c>
      <c r="AD27" s="176">
        <f>Data!AD163</f>
        <v>302917.12</v>
      </c>
      <c r="AE27" s="176">
        <f>Data!AE163</f>
        <v>291451.95</v>
      </c>
      <c r="AF27" s="176">
        <f>Data!AF163</f>
        <v>226458.18999999994</v>
      </c>
      <c r="AG27" s="176">
        <f>Data!AG163</f>
        <v>281445.81000000017</v>
      </c>
      <c r="AH27" s="176">
        <f>Data!AH163</f>
        <v>282059.79000000004</v>
      </c>
      <c r="AI27" s="176">
        <f>Data!AI163</f>
        <v>233438.95000000007</v>
      </c>
      <c r="AJ27" s="176">
        <f>Data!AJ163</f>
        <v>237774.08999999997</v>
      </c>
      <c r="AK27" s="176">
        <f>Data!AK163</f>
        <v>129661.01000000001</v>
      </c>
      <c r="AL27" s="176">
        <f>Data!AL163</f>
        <v>39963.089999999982</v>
      </c>
    </row>
    <row r="28" spans="1:38" x14ac:dyDescent="0.2">
      <c r="A28" s="7" t="s">
        <v>32</v>
      </c>
      <c r="B28" s="7"/>
      <c r="C28" s="176">
        <f>Data!C164</f>
        <v>35923.329999999994</v>
      </c>
      <c r="D28" s="176">
        <f>Data!D164</f>
        <v>137789.97000000003</v>
      </c>
      <c r="E28" s="176">
        <f>Data!E164</f>
        <v>109826.18999999997</v>
      </c>
      <c r="F28" s="176">
        <f>Data!F164</f>
        <v>52296.630000000012</v>
      </c>
      <c r="G28" s="176">
        <f>Data!G164</f>
        <v>69182.52999999997</v>
      </c>
      <c r="H28" s="176">
        <f>Data!H164</f>
        <v>53128.91</v>
      </c>
      <c r="I28" s="176">
        <f>Data!I164</f>
        <v>72097.69</v>
      </c>
      <c r="J28" s="176">
        <f>Data!J164</f>
        <v>61907.660000000025</v>
      </c>
      <c r="K28" s="176">
        <f>Data!K164</f>
        <v>56568.250000000022</v>
      </c>
      <c r="L28" s="176">
        <f>Data!L164</f>
        <v>41234.950000000004</v>
      </c>
      <c r="M28" s="176">
        <f>Data!M164</f>
        <v>49796.490000000005</v>
      </c>
      <c r="N28" s="176">
        <f>Data!N164</f>
        <v>41139.020000000004</v>
      </c>
      <c r="O28" s="176">
        <f>Data!O164</f>
        <v>44270.220000000016</v>
      </c>
      <c r="P28" s="176">
        <f>Data!P164</f>
        <v>42405.230000000025</v>
      </c>
      <c r="Q28" s="176">
        <f>Data!Q164</f>
        <v>50754.500000000015</v>
      </c>
      <c r="R28" s="176">
        <f>Data!R164</f>
        <v>50857.87</v>
      </c>
      <c r="S28" s="176">
        <f>Data!S164</f>
        <v>50468.810000000019</v>
      </c>
      <c r="T28" s="176">
        <f>Data!T164</f>
        <v>73966.600000000006</v>
      </c>
      <c r="U28" s="176">
        <f>Data!U164</f>
        <v>67044.490000000005</v>
      </c>
      <c r="V28" s="176">
        <f>Data!V164</f>
        <v>49619.499999999993</v>
      </c>
      <c r="W28" s="176">
        <f>Data!W164</f>
        <v>80679.75</v>
      </c>
      <c r="X28" s="176">
        <f>Data!X164</f>
        <v>37360.250000000007</v>
      </c>
      <c r="Y28" s="176">
        <f>Data!Y164</f>
        <v>38825.97</v>
      </c>
      <c r="Z28" s="176">
        <f>Data!Z164</f>
        <v>246035.78999999998</v>
      </c>
      <c r="AA28" s="176">
        <f>Data!AA164</f>
        <v>247390.29</v>
      </c>
      <c r="AB28" s="176">
        <f>Data!AB164</f>
        <v>340659.39000000025</v>
      </c>
      <c r="AC28" s="176">
        <f>Data!AC164</f>
        <v>264873.73000000004</v>
      </c>
      <c r="AD28" s="176">
        <f>Data!AD164</f>
        <v>302917.12</v>
      </c>
      <c r="AE28" s="176">
        <f>Data!AE164</f>
        <v>291451.95</v>
      </c>
      <c r="AF28" s="176">
        <f>Data!AF164</f>
        <v>226458.18999999994</v>
      </c>
      <c r="AG28" s="176">
        <f>Data!AG164</f>
        <v>281445.81000000017</v>
      </c>
      <c r="AH28" s="176">
        <f>Data!AH164</f>
        <v>282059.79000000004</v>
      </c>
      <c r="AI28" s="176">
        <f>Data!AI164</f>
        <v>233438.95000000007</v>
      </c>
      <c r="AJ28" s="176">
        <f>Data!AJ164</f>
        <v>237774.08999999997</v>
      </c>
      <c r="AK28" s="176">
        <f>Data!AK164</f>
        <v>129661.01000000001</v>
      </c>
      <c r="AL28" s="176">
        <f>Data!AL164</f>
        <v>39963.089999999982</v>
      </c>
    </row>
    <row r="29" spans="1:38" x14ac:dyDescent="0.2">
      <c r="A29" s="7" t="s">
        <v>33</v>
      </c>
      <c r="B29" s="7"/>
      <c r="C29" s="176">
        <f>Data!C165</f>
        <v>35923.329999999994</v>
      </c>
      <c r="D29" s="176">
        <f>Data!D165</f>
        <v>137789.97000000003</v>
      </c>
      <c r="E29" s="176">
        <f>Data!E165</f>
        <v>109906.28999999998</v>
      </c>
      <c r="F29" s="176">
        <f>Data!F165</f>
        <v>52296.630000000012</v>
      </c>
      <c r="G29" s="176">
        <f>Data!G165</f>
        <v>69182.52999999997</v>
      </c>
      <c r="H29" s="176">
        <f>Data!H165</f>
        <v>53239.62</v>
      </c>
      <c r="I29" s="176">
        <f>Data!I165</f>
        <v>72097.69</v>
      </c>
      <c r="J29" s="176">
        <f>Data!J165</f>
        <v>61907.660000000025</v>
      </c>
      <c r="K29" s="176">
        <f>Data!K165</f>
        <v>56568.250000000022</v>
      </c>
      <c r="L29" s="176">
        <f>Data!L165</f>
        <v>41234.950000000004</v>
      </c>
      <c r="M29" s="176">
        <f>Data!M165</f>
        <v>49796.490000000005</v>
      </c>
      <c r="N29" s="176">
        <f>Data!N165</f>
        <v>41139.020000000004</v>
      </c>
      <c r="O29" s="176">
        <f>Data!O165</f>
        <v>44270.220000000016</v>
      </c>
      <c r="P29" s="176">
        <f>Data!P165</f>
        <v>42405.230000000025</v>
      </c>
      <c r="Q29" s="176">
        <f>Data!Q165</f>
        <v>50754.500000000015</v>
      </c>
      <c r="R29" s="176">
        <f>Data!R165</f>
        <v>50857.87</v>
      </c>
      <c r="S29" s="176">
        <f>Data!S165</f>
        <v>50468.810000000019</v>
      </c>
      <c r="T29" s="176">
        <f>Data!T165</f>
        <v>73966.600000000006</v>
      </c>
      <c r="U29" s="176">
        <f>Data!U165</f>
        <v>67051.33</v>
      </c>
      <c r="V29" s="176">
        <f>Data!V165</f>
        <v>49619.499999999993</v>
      </c>
      <c r="W29" s="176">
        <f>Data!W165</f>
        <v>80679.75</v>
      </c>
      <c r="X29" s="176">
        <f>Data!X165</f>
        <v>37360.250000000007</v>
      </c>
      <c r="Y29" s="176">
        <f>Data!Y165</f>
        <v>38825.97</v>
      </c>
      <c r="Z29" s="176">
        <f>Data!Z165</f>
        <v>246035.78999999998</v>
      </c>
      <c r="AA29" s="176">
        <f>Data!AA165</f>
        <v>247390.29</v>
      </c>
      <c r="AB29" s="176">
        <f>Data!AB165</f>
        <v>340659.39000000025</v>
      </c>
      <c r="AC29" s="176">
        <f>Data!AC165</f>
        <v>264873.73000000004</v>
      </c>
      <c r="AD29" s="176">
        <f>Data!AD165</f>
        <v>302917.12</v>
      </c>
      <c r="AE29" s="176">
        <f>Data!AE165</f>
        <v>291451.95</v>
      </c>
      <c r="AF29" s="176">
        <f>Data!AF165</f>
        <v>226458.18999999994</v>
      </c>
      <c r="AG29" s="176">
        <f>Data!AG165</f>
        <v>281445.81000000017</v>
      </c>
      <c r="AH29" s="176">
        <f>Data!AH165</f>
        <v>282059.79000000004</v>
      </c>
      <c r="AI29" s="176">
        <f>Data!AI165</f>
        <v>233438.95000000007</v>
      </c>
      <c r="AJ29" s="176">
        <f>Data!AJ165</f>
        <v>237774.08999999997</v>
      </c>
      <c r="AK29" s="176">
        <f>Data!AK165</f>
        <v>129661.01000000001</v>
      </c>
      <c r="AL29" s="176">
        <f>Data!AL165</f>
        <v>39963.089999999982</v>
      </c>
    </row>
    <row r="30" spans="1:38" x14ac:dyDescent="0.2">
      <c r="A30" s="7" t="s">
        <v>34</v>
      </c>
      <c r="B30" s="7"/>
      <c r="C30" s="176">
        <f>Data!C166</f>
        <v>35923.329999999994</v>
      </c>
      <c r="D30" s="176">
        <f>Data!D166</f>
        <v>137789.97000000003</v>
      </c>
      <c r="E30" s="176">
        <f>Data!E166</f>
        <v>109906.28999999998</v>
      </c>
      <c r="F30" s="176">
        <f>Data!F166</f>
        <v>52296.630000000012</v>
      </c>
      <c r="G30" s="176">
        <f>Data!G166</f>
        <v>69182.52999999997</v>
      </c>
      <c r="H30" s="176">
        <f>Data!H166</f>
        <v>53239.62</v>
      </c>
      <c r="I30" s="176">
        <f>Data!I166</f>
        <v>72097.69</v>
      </c>
      <c r="J30" s="176">
        <f>Data!J166</f>
        <v>61907.660000000025</v>
      </c>
      <c r="K30" s="176">
        <f>Data!K166</f>
        <v>56568.250000000022</v>
      </c>
      <c r="L30" s="176">
        <f>Data!L166</f>
        <v>41234.950000000004</v>
      </c>
      <c r="M30" s="176">
        <f>Data!M166</f>
        <v>49796.490000000005</v>
      </c>
      <c r="N30" s="176">
        <f>Data!N166</f>
        <v>41139.020000000004</v>
      </c>
      <c r="O30" s="176">
        <f>Data!O166</f>
        <v>44270.220000000016</v>
      </c>
      <c r="P30" s="176">
        <f>Data!P166</f>
        <v>42405.230000000025</v>
      </c>
      <c r="Q30" s="176">
        <f>Data!Q166</f>
        <v>50754.500000000015</v>
      </c>
      <c r="R30" s="176">
        <f>Data!R166</f>
        <v>50857.87</v>
      </c>
      <c r="S30" s="176">
        <f>Data!S166</f>
        <v>50468.810000000019</v>
      </c>
      <c r="T30" s="176">
        <f>Data!T166</f>
        <v>73966.600000000006</v>
      </c>
      <c r="U30" s="176">
        <f>Data!U166</f>
        <v>67051.33</v>
      </c>
      <c r="V30" s="176">
        <f>Data!V166</f>
        <v>49619.499999999993</v>
      </c>
      <c r="W30" s="176">
        <f>Data!W166</f>
        <v>80679.75</v>
      </c>
      <c r="X30" s="176">
        <f>Data!X166</f>
        <v>37360.250000000007</v>
      </c>
      <c r="Y30" s="176">
        <f>Data!Y166</f>
        <v>38825.97</v>
      </c>
      <c r="Z30" s="176">
        <f>Data!Z166</f>
        <v>246035.78999999998</v>
      </c>
      <c r="AA30" s="176">
        <f>Data!AA166</f>
        <v>247390.29</v>
      </c>
      <c r="AB30" s="176">
        <f>Data!AB166</f>
        <v>340659.39000000025</v>
      </c>
      <c r="AC30" s="176">
        <f>Data!AC166</f>
        <v>264873.73000000004</v>
      </c>
      <c r="AD30" s="176">
        <f>Data!AD166</f>
        <v>302917.12</v>
      </c>
      <c r="AE30" s="176">
        <f>Data!AE166</f>
        <v>291451.95</v>
      </c>
      <c r="AF30" s="176">
        <f>Data!AF166</f>
        <v>226458.18999999994</v>
      </c>
      <c r="AG30" s="176">
        <f>Data!AG166</f>
        <v>281445.81000000017</v>
      </c>
      <c r="AH30" s="176">
        <f>Data!AH166</f>
        <v>282059.79000000004</v>
      </c>
      <c r="AI30" s="176">
        <f>Data!AI166</f>
        <v>233438.95000000007</v>
      </c>
      <c r="AJ30" s="176">
        <f>Data!AJ166</f>
        <v>237774.08999999997</v>
      </c>
      <c r="AK30" s="176">
        <f>Data!AK166</f>
        <v>129661.01000000001</v>
      </c>
      <c r="AL30" s="176">
        <f>Data!AL166</f>
        <v>39963.089999999982</v>
      </c>
    </row>
    <row r="31" spans="1:38" x14ac:dyDescent="0.2">
      <c r="A31" s="7" t="s">
        <v>35</v>
      </c>
      <c r="B31" s="7"/>
      <c r="C31" s="176">
        <f>Data!C167</f>
        <v>35923.329999999994</v>
      </c>
      <c r="D31" s="176">
        <f>Data!D167</f>
        <v>137789.97000000003</v>
      </c>
      <c r="E31" s="176">
        <f>Data!E167</f>
        <v>109952.08999999998</v>
      </c>
      <c r="F31" s="176">
        <f>Data!F167</f>
        <v>52296.630000000012</v>
      </c>
      <c r="G31" s="176">
        <f>Data!G167</f>
        <v>69182.52999999997</v>
      </c>
      <c r="H31" s="176">
        <f>Data!H167</f>
        <v>53239.62</v>
      </c>
      <c r="I31" s="176">
        <f>Data!I167</f>
        <v>72197.69</v>
      </c>
      <c r="J31" s="176">
        <f>Data!J167</f>
        <v>61907.660000000025</v>
      </c>
      <c r="K31" s="176">
        <f>Data!K167</f>
        <v>56568.250000000022</v>
      </c>
      <c r="L31" s="176">
        <f>Data!L167</f>
        <v>41234.950000000004</v>
      </c>
      <c r="M31" s="176">
        <f>Data!M167</f>
        <v>49796.490000000005</v>
      </c>
      <c r="N31" s="176">
        <f>Data!N167</f>
        <v>41139.020000000004</v>
      </c>
      <c r="O31" s="176">
        <f>Data!O167</f>
        <v>44270.220000000016</v>
      </c>
      <c r="P31" s="176">
        <f>Data!P167</f>
        <v>42733.460000000028</v>
      </c>
      <c r="Q31" s="176">
        <f>Data!Q167</f>
        <v>50754.500000000015</v>
      </c>
      <c r="R31" s="176">
        <f>Data!R167</f>
        <v>50857.87</v>
      </c>
      <c r="S31" s="176">
        <f>Data!S167</f>
        <v>50468.810000000019</v>
      </c>
      <c r="T31" s="176">
        <f>Data!T167</f>
        <v>73966.600000000006</v>
      </c>
      <c r="U31" s="176">
        <f>Data!U167</f>
        <v>67051.33</v>
      </c>
      <c r="V31" s="176">
        <f>Data!V167</f>
        <v>49619.499999999993</v>
      </c>
      <c r="W31" s="176">
        <f>Data!W167</f>
        <v>80679.75</v>
      </c>
      <c r="X31" s="176">
        <f>Data!X167</f>
        <v>37360.250000000007</v>
      </c>
      <c r="Y31" s="176">
        <f>Data!Y167</f>
        <v>38825.97</v>
      </c>
      <c r="Z31" s="176">
        <f>Data!Z167</f>
        <v>246035.78999999998</v>
      </c>
      <c r="AA31" s="176">
        <f>Data!AA167</f>
        <v>247390.29</v>
      </c>
      <c r="AB31" s="176">
        <f>Data!AB167</f>
        <v>340659.39000000025</v>
      </c>
      <c r="AC31" s="176">
        <f>Data!AC167</f>
        <v>264873.73000000004</v>
      </c>
      <c r="AD31" s="176">
        <f>Data!AD167</f>
        <v>302917.12</v>
      </c>
      <c r="AE31" s="176">
        <f>Data!AE167</f>
        <v>291451.95</v>
      </c>
      <c r="AF31" s="176">
        <f>Data!AF167</f>
        <v>226458.18999999994</v>
      </c>
      <c r="AG31" s="176">
        <f>Data!AG167</f>
        <v>281445.81000000017</v>
      </c>
      <c r="AH31" s="176">
        <f>Data!AH167</f>
        <v>282059.79000000004</v>
      </c>
      <c r="AI31" s="176">
        <f>Data!AI167</f>
        <v>233438.95000000007</v>
      </c>
      <c r="AJ31" s="176">
        <f>Data!AJ167</f>
        <v>237774.08999999997</v>
      </c>
      <c r="AK31" s="176">
        <f>Data!AK167</f>
        <v>129661.01000000001</v>
      </c>
      <c r="AL31" s="176">
        <f>Data!AL167</f>
        <v>39963.089999999982</v>
      </c>
    </row>
    <row r="32" spans="1:38" x14ac:dyDescent="0.2">
      <c r="A32" s="7" t="s">
        <v>36</v>
      </c>
      <c r="B32" s="7"/>
      <c r="C32" s="176">
        <f>Data!C168</f>
        <v>35923.329999999994</v>
      </c>
      <c r="D32" s="176">
        <f>Data!D168</f>
        <v>137789.97000000003</v>
      </c>
      <c r="E32" s="176">
        <f>Data!E168</f>
        <v>109952.08999999998</v>
      </c>
      <c r="F32" s="176">
        <f>Data!F168</f>
        <v>52296.630000000012</v>
      </c>
      <c r="G32" s="176">
        <f>Data!G168</f>
        <v>69182.52999999997</v>
      </c>
      <c r="H32" s="176">
        <f>Data!H168</f>
        <v>53239.62</v>
      </c>
      <c r="I32" s="176">
        <f>Data!I168</f>
        <v>72197.69</v>
      </c>
      <c r="J32" s="176">
        <f>Data!J168</f>
        <v>61907.660000000025</v>
      </c>
      <c r="K32" s="176">
        <f>Data!K168</f>
        <v>56568.250000000022</v>
      </c>
      <c r="L32" s="176">
        <f>Data!L168</f>
        <v>41234.950000000004</v>
      </c>
      <c r="M32" s="176">
        <f>Data!M168</f>
        <v>49796.490000000005</v>
      </c>
      <c r="N32" s="176">
        <f>Data!N168</f>
        <v>41139.020000000004</v>
      </c>
      <c r="O32" s="176">
        <f>Data!O168</f>
        <v>44270.220000000016</v>
      </c>
      <c r="P32" s="176">
        <f>Data!P168</f>
        <v>42733.460000000028</v>
      </c>
      <c r="Q32" s="176">
        <f>Data!Q168</f>
        <v>50754.500000000015</v>
      </c>
      <c r="R32" s="176">
        <f>Data!R168</f>
        <v>50857.87</v>
      </c>
      <c r="S32" s="176">
        <f>Data!S168</f>
        <v>50468.810000000019</v>
      </c>
      <c r="T32" s="176">
        <f>Data!T168</f>
        <v>73966.600000000006</v>
      </c>
      <c r="U32" s="176">
        <f>Data!U168</f>
        <v>67051.33</v>
      </c>
      <c r="V32" s="176">
        <f>Data!V168</f>
        <v>49619.499999999993</v>
      </c>
      <c r="W32" s="176">
        <f>Data!W168</f>
        <v>80679.75</v>
      </c>
      <c r="X32" s="176">
        <f>Data!X168</f>
        <v>37360.250000000007</v>
      </c>
      <c r="Y32" s="176">
        <f>Data!Y168</f>
        <v>38825.97</v>
      </c>
      <c r="Z32" s="176">
        <f>Data!Z168</f>
        <v>246035.78999999998</v>
      </c>
      <c r="AA32" s="176">
        <f>Data!AA168</f>
        <v>247390.29</v>
      </c>
      <c r="AB32" s="176">
        <f>Data!AB168</f>
        <v>340659.39000000025</v>
      </c>
      <c r="AC32" s="176">
        <f>Data!AC168</f>
        <v>264873.73000000004</v>
      </c>
      <c r="AD32" s="176">
        <f>Data!AD168</f>
        <v>302917.12</v>
      </c>
      <c r="AE32" s="176">
        <f>Data!AE168</f>
        <v>291451.95</v>
      </c>
      <c r="AF32" s="176">
        <f>Data!AF168</f>
        <v>226458.18999999994</v>
      </c>
      <c r="AG32" s="176">
        <f>Data!AG168</f>
        <v>281445.81000000017</v>
      </c>
      <c r="AH32" s="176">
        <f>Data!AH168</f>
        <v>282059.79000000004</v>
      </c>
      <c r="AI32" s="176">
        <f>Data!AI168</f>
        <v>233438.95000000007</v>
      </c>
      <c r="AJ32" s="176">
        <f>Data!AJ168</f>
        <v>237774.08999999997</v>
      </c>
      <c r="AK32" s="176">
        <f>Data!AK168</f>
        <v>129661.01000000001</v>
      </c>
      <c r="AL32" s="176">
        <f>Data!AL168</f>
        <v>39963.089999999982</v>
      </c>
    </row>
    <row r="33" spans="1:38" x14ac:dyDescent="0.2">
      <c r="A33" s="7" t="s">
        <v>37</v>
      </c>
      <c r="B33" s="7"/>
      <c r="C33" s="176">
        <f>Data!C169</f>
        <v>35923.329999999994</v>
      </c>
      <c r="D33" s="176">
        <f>Data!D169</f>
        <v>137789.97000000003</v>
      </c>
      <c r="E33" s="176">
        <f>Data!E169</f>
        <v>109952.08999999998</v>
      </c>
      <c r="F33" s="176">
        <f>Data!F169</f>
        <v>52296.630000000012</v>
      </c>
      <c r="G33" s="176">
        <f>Data!G169</f>
        <v>69182.52999999997</v>
      </c>
      <c r="H33" s="176">
        <f>Data!H169</f>
        <v>53239.62</v>
      </c>
      <c r="I33" s="176">
        <f>Data!I169</f>
        <v>72197.69</v>
      </c>
      <c r="J33" s="176">
        <f>Data!J169</f>
        <v>61907.660000000025</v>
      </c>
      <c r="K33" s="176">
        <f>Data!K169</f>
        <v>56568.250000000022</v>
      </c>
      <c r="L33" s="176">
        <f>Data!L169</f>
        <v>41234.950000000004</v>
      </c>
      <c r="M33" s="176">
        <f>Data!M169</f>
        <v>49796.490000000005</v>
      </c>
      <c r="N33" s="176">
        <f>Data!N169</f>
        <v>41139.020000000004</v>
      </c>
      <c r="O33" s="176">
        <f>Data!O169</f>
        <v>44270.220000000016</v>
      </c>
      <c r="P33" s="176">
        <f>Data!P169</f>
        <v>42733.460000000028</v>
      </c>
      <c r="Q33" s="176">
        <f>Data!Q169</f>
        <v>50754.500000000015</v>
      </c>
      <c r="R33" s="176">
        <f>Data!R169</f>
        <v>50857.87</v>
      </c>
      <c r="S33" s="176">
        <f>Data!S169</f>
        <v>50468.810000000019</v>
      </c>
      <c r="T33" s="176">
        <f>Data!T169</f>
        <v>73966.600000000006</v>
      </c>
      <c r="U33" s="176">
        <f>Data!U169</f>
        <v>67051.33</v>
      </c>
      <c r="V33" s="176">
        <f>Data!V169</f>
        <v>49619.499999999993</v>
      </c>
      <c r="W33" s="176">
        <f>Data!W169</f>
        <v>80679.75</v>
      </c>
      <c r="X33" s="176">
        <f>Data!X169</f>
        <v>37360.250000000007</v>
      </c>
      <c r="Y33" s="176">
        <f>Data!Y169</f>
        <v>38825.97</v>
      </c>
      <c r="Z33" s="176">
        <f>Data!Z169</f>
        <v>246035.78999999998</v>
      </c>
      <c r="AA33" s="176">
        <f>Data!AA169</f>
        <v>247390.29</v>
      </c>
      <c r="AB33" s="176">
        <f>Data!AB169</f>
        <v>340659.39000000025</v>
      </c>
      <c r="AC33" s="176">
        <f>Data!AC169</f>
        <v>264873.73000000004</v>
      </c>
      <c r="AD33" s="176">
        <f>Data!AD169</f>
        <v>302917.12</v>
      </c>
      <c r="AE33" s="176">
        <f>Data!AE169</f>
        <v>291451.95</v>
      </c>
      <c r="AF33" s="176">
        <f>Data!AF169</f>
        <v>226458.18999999994</v>
      </c>
      <c r="AG33" s="176">
        <f>Data!AG169</f>
        <v>281445.81000000017</v>
      </c>
      <c r="AH33" s="176">
        <f>Data!AH169</f>
        <v>282059.79000000004</v>
      </c>
      <c r="AI33" s="176">
        <f>Data!AI169</f>
        <v>233438.95000000007</v>
      </c>
      <c r="AJ33" s="176">
        <f>Data!AJ169</f>
        <v>237774.08999999997</v>
      </c>
      <c r="AK33" s="176">
        <f>Data!AK169</f>
        <v>129661.01000000001</v>
      </c>
      <c r="AL33" s="176">
        <f>Data!AL169</f>
        <v>39963.089999999982</v>
      </c>
    </row>
    <row r="34" spans="1:38" x14ac:dyDescent="0.2">
      <c r="A34" s="7" t="s">
        <v>38</v>
      </c>
      <c r="B34" s="7"/>
      <c r="C34" s="176">
        <f>Data!C170</f>
        <v>35923.329999999994</v>
      </c>
      <c r="D34" s="176">
        <f>Data!D170</f>
        <v>137813.97000000003</v>
      </c>
      <c r="E34" s="176">
        <f>Data!E170</f>
        <v>109952.08999999998</v>
      </c>
      <c r="F34" s="176">
        <f>Data!F170</f>
        <v>52327.960000000014</v>
      </c>
      <c r="G34" s="176">
        <f>Data!G170</f>
        <v>69182.52999999997</v>
      </c>
      <c r="H34" s="176">
        <f>Data!H170</f>
        <v>53239.62</v>
      </c>
      <c r="I34" s="176">
        <f>Data!I170</f>
        <v>72197.69</v>
      </c>
      <c r="J34" s="176">
        <f>Data!J170</f>
        <v>61907.660000000025</v>
      </c>
      <c r="K34" s="176">
        <f>Data!K170</f>
        <v>56568.250000000022</v>
      </c>
      <c r="L34" s="176">
        <f>Data!L170</f>
        <v>41234.950000000004</v>
      </c>
      <c r="M34" s="176">
        <f>Data!M170</f>
        <v>49796.490000000005</v>
      </c>
      <c r="N34" s="176">
        <f>Data!N170</f>
        <v>41139.020000000004</v>
      </c>
      <c r="O34" s="176">
        <f>Data!O170</f>
        <v>44270.220000000016</v>
      </c>
      <c r="P34" s="176">
        <f>Data!P170</f>
        <v>42733.460000000028</v>
      </c>
      <c r="Q34" s="176">
        <f>Data!Q170</f>
        <v>50754.500000000015</v>
      </c>
      <c r="R34" s="176">
        <f>Data!R170</f>
        <v>50857.87</v>
      </c>
      <c r="S34" s="176">
        <f>Data!S170</f>
        <v>50468.810000000019</v>
      </c>
      <c r="T34" s="176">
        <f>Data!T170</f>
        <v>73966.600000000006</v>
      </c>
      <c r="U34" s="176">
        <f>Data!U170</f>
        <v>67051.33</v>
      </c>
      <c r="V34" s="176">
        <f>Data!V170</f>
        <v>49619.499999999993</v>
      </c>
      <c r="W34" s="176">
        <f>Data!W170</f>
        <v>80679.75</v>
      </c>
      <c r="X34" s="176">
        <f>Data!X170</f>
        <v>37360.250000000007</v>
      </c>
      <c r="Y34" s="176">
        <f>Data!Y170</f>
        <v>38825.97</v>
      </c>
      <c r="Z34" s="176">
        <f>Data!Z170</f>
        <v>246035.78999999998</v>
      </c>
      <c r="AA34" s="176">
        <f>Data!AA170</f>
        <v>247390.29</v>
      </c>
      <c r="AB34" s="176">
        <f>Data!AB170</f>
        <v>340659.39000000025</v>
      </c>
      <c r="AC34" s="176">
        <f>Data!AC170</f>
        <v>264873.73000000004</v>
      </c>
      <c r="AD34" s="176">
        <f>Data!AD170</f>
        <v>302917.12</v>
      </c>
      <c r="AE34" s="176">
        <f>Data!AE170</f>
        <v>291451.95</v>
      </c>
      <c r="AF34" s="176">
        <f>Data!AF170</f>
        <v>226458.18999999994</v>
      </c>
      <c r="AG34" s="176">
        <f>Data!AG170</f>
        <v>281445.81000000017</v>
      </c>
      <c r="AH34" s="176">
        <f>Data!AH170</f>
        <v>282059.79000000004</v>
      </c>
      <c r="AI34" s="176">
        <f>Data!AI170</f>
        <v>233438.95000000007</v>
      </c>
      <c r="AJ34" s="176">
        <f>Data!AJ170</f>
        <v>237774.08999999997</v>
      </c>
      <c r="AK34" s="176">
        <f>Data!AK170</f>
        <v>129661.01000000001</v>
      </c>
      <c r="AL34" s="176">
        <f>Data!AL170</f>
        <v>39963.089999999982</v>
      </c>
    </row>
    <row r="35" spans="1:38" x14ac:dyDescent="0.2">
      <c r="A35" s="7" t="s">
        <v>39</v>
      </c>
      <c r="B35" s="7"/>
      <c r="C35" s="176">
        <f>Data!C171</f>
        <v>35923.329999999994</v>
      </c>
      <c r="D35" s="176">
        <f>Data!D171</f>
        <v>137813.97000000003</v>
      </c>
      <c r="E35" s="176">
        <f>Data!E171</f>
        <v>109952.08999999998</v>
      </c>
      <c r="F35" s="176">
        <f>Data!F171</f>
        <v>52327.960000000014</v>
      </c>
      <c r="G35" s="176">
        <f>Data!G171</f>
        <v>69182.52999999997</v>
      </c>
      <c r="H35" s="176">
        <f>Data!H171</f>
        <v>53239.62</v>
      </c>
      <c r="I35" s="176">
        <f>Data!I171</f>
        <v>72197.69</v>
      </c>
      <c r="J35" s="176">
        <f>Data!J171</f>
        <v>61907.660000000025</v>
      </c>
      <c r="K35" s="176">
        <f>Data!K171</f>
        <v>56568.250000000022</v>
      </c>
      <c r="L35" s="176">
        <f>Data!L171</f>
        <v>41234.950000000004</v>
      </c>
      <c r="M35" s="176">
        <f>Data!M171</f>
        <v>49796.490000000005</v>
      </c>
      <c r="N35" s="176">
        <f>Data!N171</f>
        <v>41139.020000000004</v>
      </c>
      <c r="O35" s="176">
        <f>Data!O171</f>
        <v>44270.220000000016</v>
      </c>
      <c r="P35" s="176">
        <f>Data!P171</f>
        <v>42733.460000000028</v>
      </c>
      <c r="Q35" s="176">
        <f>Data!Q171</f>
        <v>50754.500000000015</v>
      </c>
      <c r="R35" s="176">
        <f>Data!R171</f>
        <v>50857.87</v>
      </c>
      <c r="S35" s="176">
        <f>Data!S171</f>
        <v>50468.810000000019</v>
      </c>
      <c r="T35" s="176">
        <f>Data!T171</f>
        <v>73966.600000000006</v>
      </c>
      <c r="U35" s="176">
        <f>Data!U171</f>
        <v>67051.33</v>
      </c>
      <c r="V35" s="176">
        <f>Data!V171</f>
        <v>49619.499999999993</v>
      </c>
      <c r="W35" s="176">
        <f>Data!W171</f>
        <v>80679.75</v>
      </c>
      <c r="X35" s="176">
        <f>Data!X171</f>
        <v>37360.250000000007</v>
      </c>
      <c r="Y35" s="176">
        <f>Data!Y171</f>
        <v>38825.97</v>
      </c>
      <c r="Z35" s="176">
        <f>Data!Z171</f>
        <v>246035.78999999998</v>
      </c>
      <c r="AA35" s="176">
        <f>Data!AA171</f>
        <v>247390.29</v>
      </c>
      <c r="AB35" s="176">
        <f>Data!AB171</f>
        <v>340659.39000000025</v>
      </c>
      <c r="AC35" s="176">
        <f>Data!AC171</f>
        <v>264873.73000000004</v>
      </c>
      <c r="AD35" s="176">
        <f>Data!AD171</f>
        <v>302917.12</v>
      </c>
      <c r="AE35" s="176">
        <f>Data!AE171</f>
        <v>291451.95</v>
      </c>
      <c r="AF35" s="176">
        <f>Data!AF171</f>
        <v>226458.18999999994</v>
      </c>
      <c r="AG35" s="176">
        <f>Data!AG171</f>
        <v>281445.81000000017</v>
      </c>
      <c r="AH35" s="176">
        <f>Data!AH171</f>
        <v>282059.79000000004</v>
      </c>
      <c r="AI35" s="176">
        <f>Data!AI171</f>
        <v>233438.95000000007</v>
      </c>
      <c r="AJ35" s="176">
        <f>Data!AJ171</f>
        <v>237774.08999999997</v>
      </c>
      <c r="AK35" s="176">
        <f>Data!AK171</f>
        <v>129661.01000000001</v>
      </c>
      <c r="AL35" s="176">
        <f>Data!AL171</f>
        <v>39963.089999999982</v>
      </c>
    </row>
    <row r="36" spans="1:38" x14ac:dyDescent="0.2">
      <c r="A36" s="7" t="s">
        <v>40</v>
      </c>
      <c r="B36" s="7"/>
      <c r="C36" s="176">
        <f>Data!C172</f>
        <v>35923.329999999994</v>
      </c>
      <c r="D36" s="176">
        <f>Data!D172</f>
        <v>137813.97000000003</v>
      </c>
      <c r="E36" s="176">
        <f>Data!E172</f>
        <v>109952.08999999998</v>
      </c>
      <c r="F36" s="176">
        <f>Data!F172</f>
        <v>52327.960000000014</v>
      </c>
      <c r="G36" s="176">
        <f>Data!G172</f>
        <v>69182.52999999997</v>
      </c>
      <c r="H36" s="176">
        <f>Data!H172</f>
        <v>53239.62</v>
      </c>
      <c r="I36" s="176">
        <f>Data!I172</f>
        <v>72197.69</v>
      </c>
      <c r="J36" s="176">
        <f>Data!J172</f>
        <v>61907.660000000025</v>
      </c>
      <c r="K36" s="176">
        <f>Data!K172</f>
        <v>56568.250000000022</v>
      </c>
      <c r="L36" s="176">
        <f>Data!L172</f>
        <v>41234.950000000004</v>
      </c>
      <c r="M36" s="176">
        <f>Data!M172</f>
        <v>49796.490000000005</v>
      </c>
      <c r="N36" s="176">
        <f>Data!N172</f>
        <v>41139.020000000004</v>
      </c>
      <c r="O36" s="176">
        <f>Data!O172</f>
        <v>44270.220000000016</v>
      </c>
      <c r="P36" s="176">
        <f>Data!P172</f>
        <v>42733.460000000028</v>
      </c>
      <c r="Q36" s="176">
        <f>Data!Q172</f>
        <v>50754.500000000015</v>
      </c>
      <c r="R36" s="176">
        <f>Data!R172</f>
        <v>50857.87</v>
      </c>
      <c r="S36" s="176">
        <f>Data!S172</f>
        <v>50468.810000000019</v>
      </c>
      <c r="T36" s="176">
        <f>Data!T172</f>
        <v>73966.600000000006</v>
      </c>
      <c r="U36" s="176">
        <f>Data!U172</f>
        <v>67051.33</v>
      </c>
      <c r="V36" s="176">
        <f>Data!V172</f>
        <v>49619.499999999993</v>
      </c>
      <c r="W36" s="176">
        <f>Data!W172</f>
        <v>80679.75</v>
      </c>
      <c r="X36" s="176">
        <f>Data!X172</f>
        <v>37360.250000000007</v>
      </c>
      <c r="Y36" s="176">
        <f>Data!Y172</f>
        <v>38825.97</v>
      </c>
      <c r="Z36" s="176">
        <f>Data!Z172</f>
        <v>246035.78999999998</v>
      </c>
      <c r="AA36" s="176">
        <f>Data!AA172</f>
        <v>247390.29</v>
      </c>
      <c r="AB36" s="176">
        <f>Data!AB172</f>
        <v>340659.39000000025</v>
      </c>
      <c r="AC36" s="176">
        <f>Data!AC172</f>
        <v>264873.73000000004</v>
      </c>
      <c r="AD36" s="176">
        <f>Data!AD172</f>
        <v>302917.12</v>
      </c>
      <c r="AE36" s="176">
        <f>Data!AE172</f>
        <v>291451.95</v>
      </c>
      <c r="AF36" s="176">
        <f>Data!AF172</f>
        <v>226458.18999999994</v>
      </c>
      <c r="AG36" s="176">
        <f>Data!AG172</f>
        <v>281445.81000000017</v>
      </c>
      <c r="AH36" s="176">
        <f>Data!AH172</f>
        <v>282059.79000000004</v>
      </c>
      <c r="AI36" s="176">
        <f>Data!AI172</f>
        <v>233438.95000000007</v>
      </c>
      <c r="AJ36" s="176">
        <f>Data!AJ172</f>
        <v>237774.08999999997</v>
      </c>
      <c r="AK36" s="176">
        <f>Data!AK172</f>
        <v>129661.01000000001</v>
      </c>
      <c r="AL36" s="176">
        <f>Data!AL172</f>
        <v>39963.089999999982</v>
      </c>
    </row>
    <row r="38" spans="1:38" x14ac:dyDescent="0.2">
      <c r="A38" s="249" t="s">
        <v>196</v>
      </c>
      <c r="C38" s="500">
        <f t="shared" ref="C38:S38" si="0">+C36</f>
        <v>35923.329999999994</v>
      </c>
      <c r="D38" s="500">
        <f t="shared" si="0"/>
        <v>137813.97000000003</v>
      </c>
      <c r="E38" s="500">
        <f t="shared" si="0"/>
        <v>109952.08999999998</v>
      </c>
      <c r="F38" s="500">
        <f t="shared" si="0"/>
        <v>52327.960000000014</v>
      </c>
      <c r="G38" s="500">
        <f t="shared" si="0"/>
        <v>69182.52999999997</v>
      </c>
      <c r="H38" s="500">
        <f t="shared" si="0"/>
        <v>53239.62</v>
      </c>
      <c r="I38" s="500">
        <f t="shared" si="0"/>
        <v>72197.69</v>
      </c>
      <c r="J38" s="500">
        <f t="shared" si="0"/>
        <v>61907.660000000025</v>
      </c>
      <c r="K38" s="500">
        <f t="shared" si="0"/>
        <v>56568.250000000022</v>
      </c>
      <c r="L38" s="500">
        <f t="shared" si="0"/>
        <v>41234.950000000004</v>
      </c>
      <c r="M38" s="500">
        <f t="shared" si="0"/>
        <v>49796.490000000005</v>
      </c>
      <c r="N38" s="500">
        <f t="shared" si="0"/>
        <v>41139.020000000004</v>
      </c>
      <c r="O38" s="500">
        <f t="shared" si="0"/>
        <v>44270.220000000016</v>
      </c>
      <c r="P38" s="500">
        <f t="shared" si="0"/>
        <v>42733.460000000028</v>
      </c>
      <c r="Q38" s="500">
        <f t="shared" si="0"/>
        <v>50754.500000000015</v>
      </c>
      <c r="R38" s="500">
        <f t="shared" si="0"/>
        <v>50857.87</v>
      </c>
      <c r="S38" s="500">
        <f t="shared" si="0"/>
        <v>50468.810000000019</v>
      </c>
      <c r="T38" s="500">
        <f>+T36</f>
        <v>73966.600000000006</v>
      </c>
      <c r="U38" s="499">
        <f>Final!C28</f>
        <v>67160.97334734608</v>
      </c>
      <c r="V38" s="499">
        <f>Final!C27</f>
        <v>49721.864671499621</v>
      </c>
      <c r="W38" s="499">
        <f>Final!C26</f>
        <v>80847.56630600708</v>
      </c>
      <c r="X38" s="499">
        <f>Final!C25</f>
        <v>37438.172617964185</v>
      </c>
      <c r="Y38" s="499">
        <f>Final!C24</f>
        <v>38944.319719001476</v>
      </c>
      <c r="Z38" s="499">
        <f>Final!C23</f>
        <v>246921.67810336311</v>
      </c>
      <c r="AA38" s="499">
        <f ca="1">Final!C22</f>
        <v>248737</v>
      </c>
      <c r="AB38" s="499">
        <f ca="1">Final!C21</f>
        <v>343278</v>
      </c>
      <c r="AC38" s="499">
        <f ca="1">Final!C20</f>
        <v>267861</v>
      </c>
      <c r="AD38" s="499">
        <f ca="1">Final!C19</f>
        <v>310223</v>
      </c>
      <c r="AE38" s="499">
        <f ca="1">Final!C18</f>
        <v>302144</v>
      </c>
      <c r="AF38" s="499">
        <f ca="1">Final!C17</f>
        <v>237341</v>
      </c>
      <c r="AG38" s="499">
        <f ca="1">Final!C16</f>
        <v>299907</v>
      </c>
      <c r="AH38" s="499">
        <f ca="1">Final!C15</f>
        <v>307863</v>
      </c>
      <c r="AI38" s="499">
        <f ca="1">Final!C14</f>
        <v>259356</v>
      </c>
      <c r="AJ38" s="499">
        <f ca="1">Final!C13</f>
        <v>269622</v>
      </c>
      <c r="AK38" s="499">
        <f ca="1">Final!C12</f>
        <v>203371</v>
      </c>
      <c r="AL38" s="499">
        <f ca="1">Final!C11</f>
        <v>227019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35923.329999999994</v>
      </c>
      <c r="D41" s="176">
        <f t="shared" ref="D41:AC41" si="2">+D38</f>
        <v>137813.97000000003</v>
      </c>
      <c r="E41" s="176">
        <f t="shared" si="2"/>
        <v>109952.08999999998</v>
      </c>
      <c r="F41" s="176">
        <f t="shared" si="2"/>
        <v>52327.960000000014</v>
      </c>
      <c r="G41" s="176">
        <f t="shared" si="2"/>
        <v>69182.52999999997</v>
      </c>
      <c r="H41" s="176">
        <f t="shared" si="2"/>
        <v>53239.62</v>
      </c>
      <c r="I41" s="176">
        <f t="shared" si="2"/>
        <v>72197.69</v>
      </c>
      <c r="J41" s="176">
        <f t="shared" si="2"/>
        <v>61907.660000000025</v>
      </c>
      <c r="K41" s="176">
        <f t="shared" si="2"/>
        <v>56568.250000000022</v>
      </c>
      <c r="L41" s="176">
        <f t="shared" si="2"/>
        <v>41234.950000000004</v>
      </c>
      <c r="M41" s="176">
        <f t="shared" si="2"/>
        <v>49796.490000000005</v>
      </c>
      <c r="N41" s="176">
        <f t="shared" si="2"/>
        <v>41139.020000000004</v>
      </c>
      <c r="O41" s="176">
        <f t="shared" si="2"/>
        <v>44270.220000000016</v>
      </c>
      <c r="P41" s="176">
        <f t="shared" si="2"/>
        <v>42733.460000000028</v>
      </c>
      <c r="Q41" s="176">
        <f t="shared" si="2"/>
        <v>50754.500000000015</v>
      </c>
      <c r="R41" s="176">
        <f t="shared" si="2"/>
        <v>50857.87</v>
      </c>
      <c r="S41" s="176">
        <f t="shared" si="2"/>
        <v>50468.810000000019</v>
      </c>
      <c r="T41" s="176">
        <f t="shared" si="2"/>
        <v>73966.600000000006</v>
      </c>
      <c r="U41" s="176">
        <f t="shared" si="2"/>
        <v>67160.97334734608</v>
      </c>
      <c r="V41" s="176">
        <f t="shared" si="2"/>
        <v>49721.864671499621</v>
      </c>
      <c r="W41" s="176">
        <f t="shared" si="2"/>
        <v>80847.56630600708</v>
      </c>
      <c r="X41" s="176">
        <f t="shared" si="2"/>
        <v>37438.172617964185</v>
      </c>
      <c r="Y41" s="176">
        <f t="shared" si="2"/>
        <v>38944.319719001476</v>
      </c>
      <c r="Z41" s="176">
        <f t="shared" si="2"/>
        <v>246921.67810336311</v>
      </c>
      <c r="AA41" s="176">
        <f t="shared" ca="1" si="2"/>
        <v>248737</v>
      </c>
      <c r="AB41" s="176">
        <f t="shared" ca="1" si="2"/>
        <v>343278</v>
      </c>
      <c r="AC41" s="176">
        <f t="shared" ca="1" si="2"/>
        <v>267861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0.79740458159071348</v>
      </c>
      <c r="C47" s="508">
        <f>Data!AW8</f>
        <v>0.18197635214513916</v>
      </c>
      <c r="D47" s="508">
        <f>Data!AX8</f>
        <v>0.15788285920435713</v>
      </c>
      <c r="E47" s="508">
        <f>Data!AY8</f>
        <v>0.16751457382033497</v>
      </c>
      <c r="F47" s="508">
        <f>Data!AZ8</f>
        <v>0.24243069793189542</v>
      </c>
      <c r="G47" s="508">
        <f>Data!BA8</f>
        <v>0.14629301935399505</v>
      </c>
      <c r="H47" s="508">
        <f>Data!BB8</f>
        <v>0.16216244019286249</v>
      </c>
      <c r="I47" s="192"/>
      <c r="J47" s="192"/>
      <c r="K47" s="508">
        <f>Data!BE8</f>
        <v>9.0278737265129777E-2</v>
      </c>
      <c r="L47" s="508">
        <f>Data!BF8</f>
        <v>9.4623457051854376E-2</v>
      </c>
      <c r="M47" s="508">
        <f>Data!BG8</f>
        <v>0.14257377519423758</v>
      </c>
      <c r="N47" s="508">
        <f>Data!BH8</f>
        <v>0.19275943897415507</v>
      </c>
      <c r="O47" s="508">
        <f>Data!BI8</f>
        <v>0.10253284228500278</v>
      </c>
      <c r="P47" s="508">
        <f>Data!BJ8</f>
        <v>0.14580708598648609</v>
      </c>
    </row>
    <row r="48" spans="1:38" x14ac:dyDescent="0.2">
      <c r="A48" s="7" t="s">
        <v>18</v>
      </c>
      <c r="B48" s="511">
        <f t="shared" ref="B48:B70" ca="1" si="3">CORREL(C$41:AC$41,C14:AC14)</f>
        <v>0.98910283328531257</v>
      </c>
      <c r="C48" s="508">
        <f>Data!AW9</f>
        <v>0.66255212954696008</v>
      </c>
      <c r="D48" s="508">
        <f>Data!AX9</f>
        <v>0.65483901128037991</v>
      </c>
      <c r="E48" s="508">
        <f>Data!AY9</f>
        <v>0.66505538445433943</v>
      </c>
      <c r="F48" s="508">
        <f>Data!AZ9</f>
        <v>0.75085806932647003</v>
      </c>
      <c r="G48" s="508">
        <f>Data!BA9</f>
        <v>0.65747003083700151</v>
      </c>
      <c r="H48" s="508">
        <f>Data!BB9</f>
        <v>0.69124962205215446</v>
      </c>
      <c r="I48" s="192"/>
      <c r="J48" s="192"/>
      <c r="K48" s="508">
        <f>Data!BE9</f>
        <v>0.46861707020038684</v>
      </c>
      <c r="L48" s="508">
        <f>Data!BF9</f>
        <v>0.45046083141182758</v>
      </c>
      <c r="M48" s="508">
        <f>Data!BG9</f>
        <v>0.60742746663071689</v>
      </c>
      <c r="N48" s="508">
        <f>Data!BH9</f>
        <v>0.70587478030608275</v>
      </c>
      <c r="O48" s="508">
        <f>Data!BI9</f>
        <v>0.49747860218602102</v>
      </c>
      <c r="P48" s="508">
        <f>Data!BJ9</f>
        <v>0.66287603424223851</v>
      </c>
    </row>
    <row r="49" spans="1:16" x14ac:dyDescent="0.2">
      <c r="A49" s="7" t="s">
        <v>19</v>
      </c>
      <c r="B49" s="511">
        <f t="shared" ca="1" si="3"/>
        <v>0.99355153380684857</v>
      </c>
      <c r="C49" s="508">
        <f>Data!AW10</f>
        <v>0.81263400256659879</v>
      </c>
      <c r="D49" s="508">
        <f>Data!AX10</f>
        <v>0.8225391026416583</v>
      </c>
      <c r="E49" s="508">
        <f>Data!AY10</f>
        <v>0.81729032321652573</v>
      </c>
      <c r="F49" s="508">
        <f>Data!AZ10</f>
        <v>0.85947419897647237</v>
      </c>
      <c r="G49" s="508">
        <f>Data!BA10</f>
        <v>0.83478528145898268</v>
      </c>
      <c r="H49" s="508">
        <f>Data!BB10</f>
        <v>0.85121462105141532</v>
      </c>
      <c r="I49" s="192"/>
      <c r="J49" s="192"/>
      <c r="K49" s="508">
        <f>Data!BE10</f>
        <v>0.59084919849526529</v>
      </c>
      <c r="L49" s="508">
        <f>Data!BF10</f>
        <v>0.64373893793728265</v>
      </c>
      <c r="M49" s="508">
        <f>Data!BG10</f>
        <v>0.75116263161984898</v>
      </c>
      <c r="N49" s="508">
        <f>Data!BH10</f>
        <v>0.83826726631905235</v>
      </c>
      <c r="O49" s="508">
        <f>Data!BI10</f>
        <v>0.72045860333833933</v>
      </c>
      <c r="P49" s="508">
        <f>Data!BJ10</f>
        <v>0.80884925077477676</v>
      </c>
    </row>
    <row r="50" spans="1:16" x14ac:dyDescent="0.2">
      <c r="A50" s="7" t="s">
        <v>20</v>
      </c>
      <c r="B50" s="511">
        <f t="shared" ca="1" si="3"/>
        <v>0.99344743792093348</v>
      </c>
      <c r="C50" s="508">
        <f>Data!AW11</f>
        <v>0.8827200385440388</v>
      </c>
      <c r="D50" s="508">
        <f>Data!AX11</f>
        <v>0.88524574736067785</v>
      </c>
      <c r="E50" s="508">
        <f>Data!AY11</f>
        <v>0.87435376544141896</v>
      </c>
      <c r="F50" s="508">
        <f>Data!AZ11</f>
        <v>0.89995772050377121</v>
      </c>
      <c r="G50" s="508">
        <f>Data!BA11</f>
        <v>0.8969888445534101</v>
      </c>
      <c r="H50" s="508">
        <f>Data!BB11</f>
        <v>0.91023733573595489</v>
      </c>
      <c r="I50" s="192"/>
      <c r="J50" s="192"/>
      <c r="K50" s="508">
        <f>Data!BE11</f>
        <v>0.69060958492038715</v>
      </c>
      <c r="L50" s="508">
        <f>Data!BF11</f>
        <v>0.75033361276581467</v>
      </c>
      <c r="M50" s="508">
        <f>Data!BG11</f>
        <v>0.82721319717463626</v>
      </c>
      <c r="N50" s="508">
        <f>Data!BH11</f>
        <v>0.89047017356142122</v>
      </c>
      <c r="O50" s="508">
        <f>Data!BI11</f>
        <v>0.83935079360087228</v>
      </c>
      <c r="P50" s="508">
        <f>Data!BJ11</f>
        <v>0.88515749461295068</v>
      </c>
    </row>
    <row r="51" spans="1:16" x14ac:dyDescent="0.2">
      <c r="A51" s="7" t="s">
        <v>21</v>
      </c>
      <c r="B51" s="511">
        <f t="shared" ca="1" si="3"/>
        <v>0.99333823553039158</v>
      </c>
      <c r="C51" s="508">
        <f>Data!AW12</f>
        <v>0.90487542049442293</v>
      </c>
      <c r="D51" s="508">
        <f>Data!AX12</f>
        <v>0.91618567270283457</v>
      </c>
      <c r="E51" s="508">
        <f>Data!AY12</f>
        <v>0.90660061020719629</v>
      </c>
      <c r="F51" s="508">
        <f>Data!AZ12</f>
        <v>0.91875423406052503</v>
      </c>
      <c r="G51" s="508">
        <f>Data!BA12</f>
        <v>0.92823756481141984</v>
      </c>
      <c r="H51" s="508">
        <f>Data!BB12</f>
        <v>0.93567334740051578</v>
      </c>
      <c r="I51" s="192"/>
      <c r="J51" s="192"/>
      <c r="K51" s="508">
        <f>Data!BE12</f>
        <v>0.75573066561073554</v>
      </c>
      <c r="L51" s="508">
        <f>Data!BF12</f>
        <v>0.80346400511579574</v>
      </c>
      <c r="M51" s="508">
        <f>Data!BG12</f>
        <v>0.86582106447420215</v>
      </c>
      <c r="N51" s="508">
        <f>Data!BH12</f>
        <v>0.91814309582551645</v>
      </c>
      <c r="O51" s="508">
        <f>Data!BI12</f>
        <v>0.89180886283736471</v>
      </c>
      <c r="P51" s="508">
        <f>Data!BJ12</f>
        <v>0.92121475910400741</v>
      </c>
    </row>
    <row r="52" spans="1:16" x14ac:dyDescent="0.2">
      <c r="A52" s="7" t="s">
        <v>22</v>
      </c>
      <c r="B52" s="511">
        <f t="shared" ca="1" si="3"/>
        <v>0.9948856173646986</v>
      </c>
      <c r="C52" s="508">
        <f>Data!AW13</f>
        <v>0.93209421312689777</v>
      </c>
      <c r="D52" s="508">
        <f>Data!AX13</f>
        <v>0.93844338986626585</v>
      </c>
      <c r="E52" s="508">
        <f>Data!AY13</f>
        <v>0.95760153500233269</v>
      </c>
      <c r="F52" s="508">
        <f>Data!AZ13</f>
        <v>0.94179918731553347</v>
      </c>
      <c r="G52" s="508">
        <f>Data!BA13</f>
        <v>0.94968200039242701</v>
      </c>
      <c r="H52" s="508">
        <f>Data!BB13</f>
        <v>0.96491593996840952</v>
      </c>
      <c r="I52" s="192"/>
      <c r="J52" s="192"/>
      <c r="K52" s="508">
        <f>Data!BE13</f>
        <v>0.81617762304361219</v>
      </c>
      <c r="L52" s="508">
        <f>Data!BF13</f>
        <v>0.84642018324895807</v>
      </c>
      <c r="M52" s="508">
        <f>Data!BG13</f>
        <v>0.89258070508429288</v>
      </c>
      <c r="N52" s="508">
        <f>Data!BH13</f>
        <v>0.93376183939363788</v>
      </c>
      <c r="O52" s="508">
        <f>Data!BI13</f>
        <v>0.92031421800015878</v>
      </c>
      <c r="P52" s="508">
        <f>Data!BJ13</f>
        <v>0.94653212535659204</v>
      </c>
    </row>
    <row r="53" spans="1:16" x14ac:dyDescent="0.2">
      <c r="A53" s="7" t="s">
        <v>23</v>
      </c>
      <c r="B53" s="511">
        <f t="shared" ca="1" si="3"/>
        <v>0.9949158638978618</v>
      </c>
      <c r="C53" s="508">
        <f>Data!AW14</f>
        <v>0.95432664747744456</v>
      </c>
      <c r="D53" s="508">
        <f>Data!AX14</f>
        <v>0.95414634495957895</v>
      </c>
      <c r="E53" s="508">
        <f>Data!AY14</f>
        <v>0.970673232625337</v>
      </c>
      <c r="F53" s="508">
        <f>Data!AZ14</f>
        <v>0.95192255738947995</v>
      </c>
      <c r="G53" s="508">
        <f>Data!BA14</f>
        <v>0.96473553366998388</v>
      </c>
      <c r="H53" s="508">
        <f>Data!BB14</f>
        <v>0.97791322960369997</v>
      </c>
      <c r="I53" s="192"/>
      <c r="J53" s="192"/>
      <c r="K53" s="508">
        <f>Data!BE14</f>
        <v>0.86822612968272272</v>
      </c>
      <c r="L53" s="508">
        <f>Data!BF14</f>
        <v>0.88555858459493364</v>
      </c>
      <c r="M53" s="508">
        <f>Data!BG14</f>
        <v>0.91755700272063401</v>
      </c>
      <c r="N53" s="508">
        <f>Data!BH14</f>
        <v>0.94682951165472973</v>
      </c>
      <c r="O53" s="508">
        <f>Data!BI14</f>
        <v>0.94650723258608593</v>
      </c>
      <c r="P53" s="508">
        <f>Data!BJ14</f>
        <v>0.96126970321746807</v>
      </c>
    </row>
    <row r="54" spans="1:16" x14ac:dyDescent="0.2">
      <c r="A54" s="7" t="s">
        <v>24</v>
      </c>
      <c r="B54" s="511">
        <f t="shared" ca="1" si="3"/>
        <v>0.99498207357026625</v>
      </c>
      <c r="C54" s="508">
        <f>Data!AW15</f>
        <v>0.96118441482885042</v>
      </c>
      <c r="D54" s="508">
        <f>Data!AX15</f>
        <v>0.96461221708344935</v>
      </c>
      <c r="E54" s="508">
        <f>Data!AY15</f>
        <v>0.97702746669683405</v>
      </c>
      <c r="F54" s="508">
        <f>Data!AZ15</f>
        <v>0.95797724184092259</v>
      </c>
      <c r="G54" s="508">
        <f>Data!BA15</f>
        <v>0.97437371804178197</v>
      </c>
      <c r="H54" s="508">
        <f>Data!BB15</f>
        <v>0.98349263112655705</v>
      </c>
      <c r="I54" s="192"/>
      <c r="J54" s="192"/>
      <c r="K54" s="508">
        <f>Data!BE15</f>
        <v>0.90057265334082337</v>
      </c>
      <c r="L54" s="508">
        <f>Data!BF15</f>
        <v>0.91892289411580941</v>
      </c>
      <c r="M54" s="508">
        <f>Data!BG15</f>
        <v>0.94127500555732413</v>
      </c>
      <c r="N54" s="508">
        <f>Data!BH15</f>
        <v>0.95867337962278498</v>
      </c>
      <c r="O54" s="508">
        <f>Data!BI15</f>
        <v>0.96842312234306327</v>
      </c>
      <c r="P54" s="508">
        <f>Data!BJ15</f>
        <v>0.97494446370278975</v>
      </c>
    </row>
    <row r="55" spans="1:16" x14ac:dyDescent="0.2">
      <c r="A55" s="7" t="s">
        <v>25</v>
      </c>
      <c r="B55" s="511">
        <f t="shared" ca="1" si="3"/>
        <v>0.99514099551054835</v>
      </c>
      <c r="C55" s="508">
        <f>Data!AW16</f>
        <v>0.97192471635438127</v>
      </c>
      <c r="D55" s="508">
        <f>Data!AX16</f>
        <v>0.97644923512466342</v>
      </c>
      <c r="E55" s="508">
        <f>Data!AY16</f>
        <v>0.98435125522634026</v>
      </c>
      <c r="F55" s="508">
        <f>Data!AZ16</f>
        <v>0.96499730984607868</v>
      </c>
      <c r="G55" s="508">
        <f>Data!BA16</f>
        <v>0.98408211297559767</v>
      </c>
      <c r="H55" s="508">
        <f>Data!BB16</f>
        <v>0.98954921207949142</v>
      </c>
      <c r="I55" s="192"/>
      <c r="J55" s="192"/>
      <c r="K55" s="508">
        <f>Data!BE16</f>
        <v>0.92601741567916629</v>
      </c>
      <c r="L55" s="508">
        <f>Data!BF16</f>
        <v>0.94622659966924261</v>
      </c>
      <c r="M55" s="508">
        <f>Data!BG16</f>
        <v>0.96226595891244426</v>
      </c>
      <c r="N55" s="508">
        <f>Data!BH16</f>
        <v>0.96994072119000729</v>
      </c>
      <c r="O55" s="508">
        <f>Data!BI16</f>
        <v>0.97623899496749822</v>
      </c>
      <c r="P55" s="508">
        <f>Data!BJ16</f>
        <v>0.98185192880093397</v>
      </c>
    </row>
    <row r="56" spans="1:16" x14ac:dyDescent="0.2">
      <c r="A56" s="7" t="s">
        <v>26</v>
      </c>
      <c r="B56" s="511">
        <f t="shared" ca="1" si="3"/>
        <v>0.99521800565644192</v>
      </c>
      <c r="C56" s="508">
        <f>Data!AW17</f>
        <v>0.9899275329423507</v>
      </c>
      <c r="D56" s="508">
        <f>Data!AX17</f>
        <v>0.9888472365669273</v>
      </c>
      <c r="E56" s="508">
        <f>Data!AY17</f>
        <v>0.99141870751256733</v>
      </c>
      <c r="F56" s="508">
        <f>Data!AZ17</f>
        <v>0.96884848382347444</v>
      </c>
      <c r="G56" s="508">
        <f>Data!BA17</f>
        <v>0.99365429696728513</v>
      </c>
      <c r="H56" s="508">
        <f>Data!BB17</f>
        <v>0.99471605067473912</v>
      </c>
      <c r="I56" s="192"/>
      <c r="J56" s="192"/>
      <c r="K56" s="508">
        <f>Data!BE17</f>
        <v>0.94863281505917252</v>
      </c>
      <c r="L56" s="508">
        <f>Data!BF17</f>
        <v>0.96050747393677949</v>
      </c>
      <c r="M56" s="508">
        <f>Data!BG17</f>
        <v>0.97005157492403515</v>
      </c>
      <c r="N56" s="508">
        <f>Data!BH17</f>
        <v>0.97639631781168257</v>
      </c>
      <c r="O56" s="508">
        <f>Data!BI17</f>
        <v>0.98403274907244254</v>
      </c>
      <c r="P56" s="508">
        <f>Data!BJ17</f>
        <v>0.98675935620231481</v>
      </c>
    </row>
    <row r="57" spans="1:16" x14ac:dyDescent="0.2">
      <c r="A57" s="7" t="s">
        <v>27</v>
      </c>
      <c r="B57" s="511">
        <f t="shared" ca="1" si="3"/>
        <v>0.99522182486578881</v>
      </c>
      <c r="C57" s="508">
        <f>Data!AW18</f>
        <v>0.99279091561247346</v>
      </c>
      <c r="D57" s="508">
        <f>Data!AX18</f>
        <v>0.99237227838733333</v>
      </c>
      <c r="E57" s="508">
        <f>Data!AY18</f>
        <v>0.99532273867438126</v>
      </c>
      <c r="F57" s="508">
        <f>Data!AZ18</f>
        <v>0.97206385463862688</v>
      </c>
      <c r="G57" s="508">
        <f>Data!BA18</f>
        <v>0.99617874762764291</v>
      </c>
      <c r="H57" s="508">
        <f>Data!BB18</f>
        <v>0.99756455714073022</v>
      </c>
      <c r="I57" s="192"/>
      <c r="J57" s="192"/>
      <c r="K57" s="508">
        <f>Data!BE18</f>
        <v>0.96682729472072471</v>
      </c>
      <c r="L57" s="508">
        <f>Data!BF18</f>
        <v>0.97230085190782889</v>
      </c>
      <c r="M57" s="508">
        <f>Data!BG18</f>
        <v>0.97744989307658847</v>
      </c>
      <c r="N57" s="508">
        <f>Data!BH18</f>
        <v>0.98210825020393488</v>
      </c>
      <c r="O57" s="508">
        <f>Data!BI18</f>
        <v>0.98959116884550369</v>
      </c>
      <c r="P57" s="508">
        <f>Data!BJ18</f>
        <v>0.99000724653194661</v>
      </c>
    </row>
    <row r="58" spans="1:16" x14ac:dyDescent="0.2">
      <c r="A58" s="7" t="s">
        <v>28</v>
      </c>
      <c r="B58" s="511">
        <f t="shared" ca="1" si="3"/>
        <v>0.995202831889206</v>
      </c>
      <c r="C58" s="508">
        <f>Data!AW19</f>
        <v>0.99484576857992224</v>
      </c>
      <c r="D58" s="508">
        <f>Data!AX19</f>
        <v>0.99458592875873786</v>
      </c>
      <c r="E58" s="508">
        <f>Data!AY19</f>
        <v>0.99655321095702043</v>
      </c>
      <c r="F58" s="508">
        <f>Data!AZ19</f>
        <v>0.97370073847766125</v>
      </c>
      <c r="G58" s="508">
        <f>Data!BA19</f>
        <v>0.99824853240113587</v>
      </c>
      <c r="H58" s="508">
        <f>Data!BB19</f>
        <v>0.99856535609270136</v>
      </c>
      <c r="I58" s="192"/>
      <c r="J58" s="192"/>
      <c r="K58" s="508">
        <f>Data!BE19</f>
        <v>0.97718767576051735</v>
      </c>
      <c r="L58" s="508">
        <f>Data!BF19</f>
        <v>0.98299489662234674</v>
      </c>
      <c r="M58" s="508">
        <f>Data!BG19</f>
        <v>0.98347168601222434</v>
      </c>
      <c r="N58" s="508">
        <f>Data!BH19</f>
        <v>0.98663583541525912</v>
      </c>
      <c r="O58" s="508">
        <f>Data!BI19</f>
        <v>0.99475841033476586</v>
      </c>
      <c r="P58" s="508">
        <f>Data!BJ19</f>
        <v>0.99313877757533742</v>
      </c>
    </row>
    <row r="59" spans="1:16" x14ac:dyDescent="0.2">
      <c r="A59" s="7" t="s">
        <v>29</v>
      </c>
      <c r="B59" s="511">
        <f t="shared" ca="1" si="3"/>
        <v>0.9952254667301067</v>
      </c>
      <c r="C59" s="508">
        <f>Data!AW20</f>
        <v>0.99739672727383755</v>
      </c>
      <c r="D59" s="508">
        <f>Data!AX20</f>
        <v>0.99641227084568773</v>
      </c>
      <c r="E59" s="508">
        <f>Data!AY20</f>
        <v>0.9977626923464249</v>
      </c>
      <c r="F59" s="508">
        <f>Data!AZ20</f>
        <v>0.97924641579634697</v>
      </c>
      <c r="G59" s="508">
        <f>Data!BA20</f>
        <v>0.99999999999999967</v>
      </c>
      <c r="H59" s="508">
        <f>Data!BB20</f>
        <v>0.99962042376804605</v>
      </c>
      <c r="I59" s="192"/>
      <c r="J59" s="192"/>
      <c r="K59" s="508">
        <f>Data!BE20</f>
        <v>0.98118853949213147</v>
      </c>
      <c r="L59" s="508">
        <f>Data!BF20</f>
        <v>0.98523425368271333</v>
      </c>
      <c r="M59" s="508">
        <f>Data!BG20</f>
        <v>0.98802384839141111</v>
      </c>
      <c r="N59" s="508">
        <f>Data!BH20</f>
        <v>0.99008882433289158</v>
      </c>
      <c r="O59" s="508">
        <f>Data!BI20</f>
        <v>0.9962490384720456</v>
      </c>
      <c r="P59" s="508">
        <f>Data!BJ20</f>
        <v>0.9948862546844206</v>
      </c>
    </row>
    <row r="60" spans="1:16" x14ac:dyDescent="0.2">
      <c r="A60" s="7" t="s">
        <v>30</v>
      </c>
      <c r="B60" s="511">
        <f t="shared" ca="1" si="3"/>
        <v>0.99914648240261938</v>
      </c>
      <c r="C60" s="508">
        <f>Data!AW21</f>
        <v>0.99803559682810128</v>
      </c>
      <c r="D60" s="508">
        <f>Data!AX21</f>
        <v>0.9969610531174915</v>
      </c>
      <c r="E60" s="508">
        <f>Data!AY21</f>
        <v>0.99814548914170631</v>
      </c>
      <c r="F60" s="508">
        <f>Data!AZ21</f>
        <v>0.99105311037178256</v>
      </c>
      <c r="G60" s="508">
        <f>Data!BA21</f>
        <v>0.99999999999999978</v>
      </c>
      <c r="H60" s="508">
        <f>Data!BB21</f>
        <v>0.99981532614787261</v>
      </c>
      <c r="I60" s="192"/>
      <c r="J60" s="192"/>
      <c r="K60" s="508">
        <f>Data!BE21</f>
        <v>0.98465062235715495</v>
      </c>
      <c r="L60" s="508">
        <f>Data!BF21</f>
        <v>0.98746526894219544</v>
      </c>
      <c r="M60" s="508">
        <f>Data!BG21</f>
        <v>0.99022469145536518</v>
      </c>
      <c r="N60" s="508">
        <f>Data!BH21</f>
        <v>0.99235402517637394</v>
      </c>
      <c r="O60" s="508">
        <f>Data!BI21</f>
        <v>0.99719624928918471</v>
      </c>
      <c r="P60" s="508">
        <f>Data!BJ21</f>
        <v>0.9961587563082015</v>
      </c>
    </row>
    <row r="61" spans="1:16" x14ac:dyDescent="0.2">
      <c r="A61" s="7" t="s">
        <v>31</v>
      </c>
      <c r="B61" s="511">
        <f t="shared" ca="1" si="3"/>
        <v>0.99999127064598969</v>
      </c>
      <c r="C61" s="508">
        <f>Data!AW22</f>
        <v>0.99995466185724757</v>
      </c>
      <c r="D61" s="508">
        <f>Data!AX22</f>
        <v>0.99791863190654806</v>
      </c>
      <c r="E61" s="508">
        <f>Data!AY22</f>
        <v>0.9986246172595421</v>
      </c>
      <c r="F61" s="508">
        <f>Data!AZ22</f>
        <v>0.99881430460821496</v>
      </c>
      <c r="G61" s="508">
        <f>Data!BA22</f>
        <v>0.99999999999999989</v>
      </c>
      <c r="H61" s="508">
        <f>Data!BB22</f>
        <v>0.99981532614787261</v>
      </c>
      <c r="I61" s="192"/>
      <c r="J61" s="192"/>
      <c r="K61" s="508">
        <f>Data!BE22</f>
        <v>0.98774058825966804</v>
      </c>
      <c r="L61" s="508">
        <f>Data!BF22</f>
        <v>0.98934519208030602</v>
      </c>
      <c r="M61" s="508">
        <f>Data!BG22</f>
        <v>0.99215075276979625</v>
      </c>
      <c r="N61" s="508">
        <f>Data!BH22</f>
        <v>0.99365285451574969</v>
      </c>
      <c r="O61" s="508">
        <f>Data!BI22</f>
        <v>0.99798619421986412</v>
      </c>
      <c r="P61" s="508">
        <f>Data!BJ22</f>
        <v>0.99723821796378465</v>
      </c>
    </row>
    <row r="62" spans="1:16" x14ac:dyDescent="0.2">
      <c r="A62" s="7" t="s">
        <v>32</v>
      </c>
      <c r="B62" s="511">
        <f t="shared" ca="1" si="3"/>
        <v>0.99999130033366557</v>
      </c>
      <c r="C62" s="508">
        <f>Data!AW23</f>
        <v>0.99996599620022453</v>
      </c>
      <c r="D62" s="508">
        <f>Data!AX23</f>
        <v>0.99792428747487705</v>
      </c>
      <c r="E62" s="508">
        <f>Data!AY23</f>
        <v>0.99874161029761743</v>
      </c>
      <c r="F62" s="508">
        <f>Data!AZ23</f>
        <v>0.99890733314046143</v>
      </c>
      <c r="G62" s="508">
        <f>Data!BA23</f>
        <v>0.99999999999999989</v>
      </c>
      <c r="H62" s="508">
        <f>Data!BB23</f>
        <v>0.99981532614787261</v>
      </c>
      <c r="I62" s="192"/>
      <c r="J62" s="192"/>
      <c r="K62" s="508">
        <f>Data!BE23</f>
        <v>0.9904498750129116</v>
      </c>
      <c r="L62" s="508">
        <f>Data!BF23</f>
        <v>0.9911178203413199</v>
      </c>
      <c r="M62" s="508">
        <f>Data!BG23</f>
        <v>0.99374348792097678</v>
      </c>
      <c r="N62" s="508">
        <f>Data!BH23</f>
        <v>0.99473475810828682</v>
      </c>
      <c r="O62" s="508">
        <f>Data!BI23</f>
        <v>0.99853618649893894</v>
      </c>
      <c r="P62" s="508">
        <f>Data!BJ23</f>
        <v>0.9981662033743548</v>
      </c>
    </row>
    <row r="63" spans="1:16" x14ac:dyDescent="0.2">
      <c r="A63" s="7" t="s">
        <v>33</v>
      </c>
      <c r="B63" s="511">
        <f t="shared" ca="1" si="3"/>
        <v>0.99999114284636725</v>
      </c>
      <c r="C63" s="508">
        <f>Data!AW24</f>
        <v>1</v>
      </c>
      <c r="D63" s="508">
        <f>Data!AX24</f>
        <v>0.99794125437217762</v>
      </c>
      <c r="E63" s="508">
        <f>Data!AY24</f>
        <v>0.99875010062222924</v>
      </c>
      <c r="F63" s="508">
        <f>Data!AZ24</f>
        <v>0.99905270932005874</v>
      </c>
      <c r="G63" s="508">
        <f>Data!BA24</f>
        <v>0.99999999999999989</v>
      </c>
      <c r="H63" s="508">
        <f>Data!BB24</f>
        <v>0.99981532614787261</v>
      </c>
      <c r="I63" s="192"/>
      <c r="J63" s="192"/>
      <c r="K63" s="508">
        <f>Data!BE24</f>
        <v>0.99280954371526875</v>
      </c>
      <c r="L63" s="508">
        <f>Data!BF24</f>
        <v>0.99278134418966524</v>
      </c>
      <c r="M63" s="508">
        <f>Data!BG24</f>
        <v>0.99502394271736749</v>
      </c>
      <c r="N63" s="508">
        <f>Data!BH24</f>
        <v>0.99569496593568996</v>
      </c>
      <c r="O63" s="508">
        <f>Data!BI24</f>
        <v>0.99905321097535393</v>
      </c>
      <c r="P63" s="508">
        <f>Data!BJ24</f>
        <v>0.99883387242773924</v>
      </c>
    </row>
    <row r="64" spans="1:16" x14ac:dyDescent="0.2">
      <c r="A64" s="7" t="s">
        <v>34</v>
      </c>
      <c r="B64" s="511">
        <f t="shared" ca="1" si="3"/>
        <v>0.99999114284636725</v>
      </c>
      <c r="C64" s="508">
        <f>Data!AW25</f>
        <v>1</v>
      </c>
      <c r="D64" s="508">
        <f>Data!AX25</f>
        <v>0.9983674544622958</v>
      </c>
      <c r="E64" s="508">
        <f>Data!AY25</f>
        <v>0.99900174462153146</v>
      </c>
      <c r="F64" s="508">
        <f>Data!AZ25</f>
        <v>0.9992282064165503</v>
      </c>
      <c r="G64" s="508">
        <f>Data!BA25</f>
        <v>0.99999999999999989</v>
      </c>
      <c r="H64" s="508">
        <f>Data!BB25</f>
        <v>0.99986149141336789</v>
      </c>
      <c r="I64" s="192"/>
      <c r="J64" s="192"/>
      <c r="K64" s="508">
        <f>Data!BE25</f>
        <v>0.99489044699339968</v>
      </c>
      <c r="L64" s="508">
        <f>Data!BF25</f>
        <v>0.99441367523631286</v>
      </c>
      <c r="M64" s="508">
        <f>Data!BG25</f>
        <v>0.99615425191629847</v>
      </c>
      <c r="N64" s="508">
        <f>Data!BH25</f>
        <v>0.99661147724992316</v>
      </c>
      <c r="O64" s="508">
        <f>Data!BI25</f>
        <v>0.99950733877061748</v>
      </c>
      <c r="P64" s="508">
        <f>Data!BJ25</f>
        <v>0.99927035619463966</v>
      </c>
    </row>
    <row r="65" spans="1:20" x14ac:dyDescent="0.2">
      <c r="A65" s="7" t="s">
        <v>35</v>
      </c>
      <c r="B65" s="511">
        <f t="shared" ca="1" si="3"/>
        <v>0.99999142946283626</v>
      </c>
      <c r="C65" s="508">
        <f>Data!AW26</f>
        <v>1</v>
      </c>
      <c r="D65" s="508">
        <f>Data!AX26</f>
        <v>0.99964714717114733</v>
      </c>
      <c r="E65" s="508">
        <f>Data!AY26</f>
        <v>0.99975705710704843</v>
      </c>
      <c r="F65" s="508">
        <f>Data!AZ26</f>
        <v>0.99975488269829405</v>
      </c>
      <c r="G65" s="508">
        <f>Data!BA26</f>
        <v>0.99999999999999989</v>
      </c>
      <c r="H65" s="508">
        <f>Data!BB26</f>
        <v>1</v>
      </c>
      <c r="I65" s="192"/>
      <c r="J65" s="192"/>
      <c r="K65" s="508">
        <f>Data!BE26</f>
        <v>0.99615207230078384</v>
      </c>
      <c r="L65" s="508">
        <f>Data!BF26</f>
        <v>0.99566561285681254</v>
      </c>
      <c r="M65" s="508">
        <f>Data!BG26</f>
        <v>0.99719517891673271</v>
      </c>
      <c r="N65" s="508">
        <f>Data!BH26</f>
        <v>0.997415511973332</v>
      </c>
      <c r="O65" s="508">
        <f>Data!BI26</f>
        <v>0.99984852651137424</v>
      </c>
      <c r="P65" s="508">
        <f>Data!BJ26</f>
        <v>0.99956449304184569</v>
      </c>
    </row>
    <row r="66" spans="1:20" x14ac:dyDescent="0.2">
      <c r="A66" s="7" t="s">
        <v>36</v>
      </c>
      <c r="B66" s="511">
        <f t="shared" ca="1" si="3"/>
        <v>0.99999142946283626</v>
      </c>
      <c r="C66" s="508">
        <f>Data!AW27</f>
        <v>1</v>
      </c>
      <c r="D66" s="508">
        <f>Data!AX27</f>
        <v>0.99964714717114733</v>
      </c>
      <c r="E66" s="508">
        <f>Data!AY27</f>
        <v>0.99975705710704843</v>
      </c>
      <c r="F66" s="508">
        <f>Data!AZ27</f>
        <v>0.99975488269829405</v>
      </c>
      <c r="G66" s="508">
        <f>Data!BA27</f>
        <v>0.99999999999999989</v>
      </c>
      <c r="H66" s="508">
        <f>Data!BB27</f>
        <v>1</v>
      </c>
      <c r="I66" s="192"/>
      <c r="J66" s="192"/>
      <c r="K66" s="508">
        <f>Data!BE27</f>
        <v>0.99725922090448393</v>
      </c>
      <c r="L66" s="508">
        <f>Data!BF27</f>
        <v>0.99685024909879139</v>
      </c>
      <c r="M66" s="508">
        <f>Data!BG27</f>
        <v>0.9977880542718689</v>
      </c>
      <c r="N66" s="508">
        <f>Data!BH27</f>
        <v>0.99796287741940404</v>
      </c>
      <c r="O66" s="508">
        <f>Data!BI27</f>
        <v>1</v>
      </c>
      <c r="P66" s="508">
        <f>Data!BJ27</f>
        <v>0.99979578176748096</v>
      </c>
    </row>
    <row r="67" spans="1:20" x14ac:dyDescent="0.2">
      <c r="A67" s="7" t="s">
        <v>37</v>
      </c>
      <c r="B67" s="511">
        <f t="shared" ca="1" si="3"/>
        <v>0.99999142946283626</v>
      </c>
      <c r="C67" s="508">
        <f>Data!AW28</f>
        <v>1</v>
      </c>
      <c r="D67" s="508">
        <f>Data!AX28</f>
        <v>0.99964714717114733</v>
      </c>
      <c r="E67" s="508">
        <f>Data!AY28</f>
        <v>0.99977368483898421</v>
      </c>
      <c r="F67" s="508">
        <f>Data!AZ28</f>
        <v>0.99977205400485192</v>
      </c>
      <c r="G67" s="508">
        <f>Data!BA28</f>
        <v>0.99999999999999989</v>
      </c>
      <c r="H67" s="508">
        <f>Data!BB28</f>
        <v>1</v>
      </c>
      <c r="I67" s="192"/>
      <c r="J67" s="192"/>
      <c r="K67" s="508">
        <f>Data!BE28</f>
        <v>0.99820491888782659</v>
      </c>
      <c r="L67" s="508">
        <f>Data!BF28</f>
        <v>0.99789383657896313</v>
      </c>
      <c r="M67" s="508">
        <f>Data!BG28</f>
        <v>0.99831006438465353</v>
      </c>
      <c r="N67" s="508">
        <f>Data!BH28</f>
        <v>0.99843131898134363</v>
      </c>
      <c r="O67" s="508">
        <f>Data!BI28</f>
        <v>1</v>
      </c>
      <c r="P67" s="508">
        <f>Data!BJ28</f>
        <v>0.99994236284179128</v>
      </c>
    </row>
    <row r="68" spans="1:20" x14ac:dyDescent="0.2">
      <c r="A68" s="7" t="s">
        <v>38</v>
      </c>
      <c r="B68" s="511">
        <f t="shared" ca="1" si="3"/>
        <v>0.99999134195797834</v>
      </c>
      <c r="C68" s="508">
        <f>Data!AW29</f>
        <v>1</v>
      </c>
      <c r="D68" s="508">
        <f>Data!AX29</f>
        <v>0.99964714717114733</v>
      </c>
      <c r="E68" s="508">
        <f>Data!AY29</f>
        <v>0.99982356969410202</v>
      </c>
      <c r="F68" s="508">
        <f>Data!AZ29</f>
        <v>0.99982356969410202</v>
      </c>
      <c r="G68" s="508">
        <f>Data!BA29</f>
        <v>0.99999999999999989</v>
      </c>
      <c r="H68" s="508">
        <f>Data!BB29</f>
        <v>1</v>
      </c>
      <c r="I68" s="192"/>
      <c r="J68" s="192"/>
      <c r="K68" s="508">
        <f>Data!BE29</f>
        <v>0.99882794146124221</v>
      </c>
      <c r="L68" s="508">
        <f>Data!BF29</f>
        <v>0.99860740940835935</v>
      </c>
      <c r="M68" s="508">
        <f>Data!BG29</f>
        <v>0.99876136539612448</v>
      </c>
      <c r="N68" s="508">
        <f>Data!BH29</f>
        <v>0.99885941846391424</v>
      </c>
      <c r="O68" s="508">
        <f>Data!BI29</f>
        <v>1</v>
      </c>
      <c r="P68" s="508">
        <f>Data!BJ29</f>
        <v>0.99998559039899593</v>
      </c>
    </row>
    <row r="69" spans="1:20" x14ac:dyDescent="0.2">
      <c r="A69" s="7" t="s">
        <v>39</v>
      </c>
      <c r="B69" s="511">
        <f t="shared" ca="1" si="3"/>
        <v>0.99999134195797834</v>
      </c>
      <c r="C69" s="508">
        <f>Data!AW30</f>
        <v>1</v>
      </c>
      <c r="D69" s="508">
        <f>Data!AX30</f>
        <v>0.99964714717114733</v>
      </c>
      <c r="E69" s="508">
        <f>Data!AY30</f>
        <v>0.99982356969410202</v>
      </c>
      <c r="F69" s="508">
        <f>Data!AZ30</f>
        <v>0.99982356969410202</v>
      </c>
      <c r="G69" s="508">
        <f>Data!BA30</f>
        <v>0.99999999999999989</v>
      </c>
      <c r="H69" s="508">
        <f>Data!BB30</f>
        <v>1</v>
      </c>
      <c r="I69" s="192"/>
      <c r="J69" s="192"/>
      <c r="K69" s="508">
        <f>Data!BE30</f>
        <v>0.99943340039623185</v>
      </c>
      <c r="L69" s="508">
        <f>Data!BF30</f>
        <v>0.99916199588658317</v>
      </c>
      <c r="M69" s="508">
        <f>Data!BG30</f>
        <v>0.99918617628528761</v>
      </c>
      <c r="N69" s="508">
        <f>Data!BH30</f>
        <v>0.99922841345266433</v>
      </c>
      <c r="O69" s="508">
        <f>Data!BI30</f>
        <v>1</v>
      </c>
      <c r="P69" s="508">
        <f>Data!BJ30</f>
        <v>1</v>
      </c>
    </row>
    <row r="70" spans="1:20" x14ac:dyDescent="0.2">
      <c r="A70" s="7" t="s">
        <v>40</v>
      </c>
      <c r="B70" s="511">
        <f t="shared" ca="1" si="3"/>
        <v>0.99999134195797834</v>
      </c>
      <c r="C70" s="509">
        <f>Data!AW31</f>
        <v>1</v>
      </c>
      <c r="D70" s="509">
        <f>Data!AX31</f>
        <v>0.99973534870428915</v>
      </c>
      <c r="E70" s="509">
        <f>Data!AY31</f>
        <v>0.99986767435214452</v>
      </c>
      <c r="F70" s="509">
        <f>Data!AZ31</f>
        <v>0.99986767435214452</v>
      </c>
      <c r="G70" s="509">
        <f>Data!BA31</f>
        <v>0.99999999999999989</v>
      </c>
      <c r="H70" s="509">
        <f>Data!BB31</f>
        <v>1</v>
      </c>
      <c r="I70" s="192"/>
      <c r="J70" s="192"/>
      <c r="K70" s="509">
        <f>Data!BE31</f>
        <v>0.99963530158817382</v>
      </c>
      <c r="L70" s="509">
        <f>Data!BF31</f>
        <v>0.99947370829413362</v>
      </c>
      <c r="M70" s="509">
        <f>Data!BG31</f>
        <v>0.9994635422079905</v>
      </c>
      <c r="N70" s="509">
        <f>Data!BH31</f>
        <v>0.9994635422079905</v>
      </c>
      <c r="O70" s="509">
        <f>Data!BI31</f>
        <v>1</v>
      </c>
      <c r="P70" s="509">
        <f>Data!BJ31</f>
        <v>1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2024-04-24T19:54:17Z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