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23.xml" ContentType="application/vnd.ms-excel.controlproperties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7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8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harts/chart18.xml" ContentType="application/vnd.openxmlformats-officedocument.drawingml.chart+xml"/>
  <Override PartName="/xl/drawings/drawing9.xml" ContentType="application/vnd.openxmlformats-officedocument.drawingml.chartshapes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1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drawings/drawing11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harts/chart36.xml" ContentType="application/vnd.openxmlformats-officedocument.drawingml.chart+xml"/>
  <Override PartName="/xl/drawings/drawing12.xml" ContentType="application/vnd.openxmlformats-officedocument.drawingml.chartshapes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drawings/drawing13.xml" ContentType="application/vnd.openxmlformats-officedocument.drawingml.chartshapes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drawings/drawing14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drawings/drawing15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drawings/drawing16.xml" ContentType="application/vnd.openxmlformats-officedocument.drawing+xml"/>
  <Override PartName="/xl/ctrlProps/ctrlProp64.xml" ContentType="application/vnd.ms-excel.controlproperties+xml"/>
  <Override PartName="/xl/drawings/drawing17.xml" ContentType="application/vnd.openxmlformats-officedocument.drawing+xml"/>
  <Override PartName="/xl/ctrlProps/ctrlProp65.xml" ContentType="application/vnd.ms-excel.controlproperties+xml"/>
  <Override PartName="/xl/drawings/drawing18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harts/chart59.xml" ContentType="application/vnd.openxmlformats-officedocument.drawingml.chart+xml"/>
  <Override PartName="/xl/drawings/drawing19.xml" ContentType="application/vnd.openxmlformats-officedocument.drawingml.chartshapes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drawings/drawing20.xml" ContentType="application/vnd.openxmlformats-officedocument.drawing+xml"/>
  <Override PartName="/xl/ctrlProps/ctrlProp70.xml" ContentType="application/vnd.ms-excel.controlproperties+xml"/>
  <Override PartName="/xl/drawings/drawing21.xml" ContentType="application/vnd.openxmlformats-officedocument.drawing+xml"/>
  <Override PartName="/xl/ctrlProps/ctrlProp7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R:\ClientFiles\Active\ActHealthCare\Applied Physicians of Calif (APC)\2024 1Q\ARM Calcs\"/>
    </mc:Choice>
  </mc:AlternateContent>
  <xr:revisionPtr revIDLastSave="0" documentId="13_ncr:1_{48F46C20-D77F-40AE-AEB2-DAE1E3AA3C39}" xr6:coauthVersionLast="47" xr6:coauthVersionMax="47" xr10:uidLastSave="{00000000-0000-0000-0000-000000000000}"/>
  <bookViews>
    <workbookView xWindow="-120" yWindow="-120" windowWidth="29040" windowHeight="15840" tabRatio="773" xr2:uid="{00000000-000D-0000-FFFF-FFFF00000000}"/>
  </bookViews>
  <sheets>
    <sheet name="Data" sheetId="6" r:id="rId1"/>
    <sheet name="Final" sheetId="5" r:id="rId2"/>
    <sheet name="PMPM" sheetId="4" r:id="rId3"/>
    <sheet name="Log" sheetId="8" r:id="rId4"/>
    <sheet name="Backlog" sheetId="16" r:id="rId5"/>
    <sheet name="Incurred Per Day" sheetId="18" r:id="rId6"/>
    <sheet name="Charts" sheetId="7" r:id="rId7"/>
    <sheet name="SmCharts" sheetId="14" r:id="rId8"/>
    <sheet name="SmCharts2" sheetId="19" r:id="rId9"/>
    <sheet name="Seasonality" sheetId="12" r:id="rId10"/>
    <sheet name="Trends" sheetId="13" r:id="rId11"/>
    <sheet name="PAD" sheetId="17" r:id="rId12"/>
    <sheet name="LeastSq" sheetId="9" r:id="rId13"/>
    <sheet name="Transport" sheetId="10" r:id="rId14"/>
    <sheet name="Update" sheetId="11" r:id="rId15"/>
    <sheet name="Credibility Testing" sheetId="20" r:id="rId16"/>
    <sheet name="MacroLists" sheetId="3" r:id="rId17"/>
  </sheets>
  <externalReferences>
    <externalReference r:id="rId18"/>
  </externalReferences>
  <definedNames>
    <definedName name="_Cum1">Data!$AA$144:$AL$184</definedName>
    <definedName name="_Cum2">Data!$O$144:$Z$184</definedName>
    <definedName name="_Cum3">Data!$C$144:$N$184</definedName>
    <definedName name="_Lag1">Data!$AA$187:$AL$227</definedName>
    <definedName name="_Lag2">Data!$O$187:$Z$227</definedName>
    <definedName name="_Lag3">Data!$C$187:$N$227</definedName>
    <definedName name="_PAD1">PAD!$A$1:$O$56</definedName>
    <definedName name="_PAD2">PAD!$A$1</definedName>
    <definedName name="BacklogReserve">Backlog!$A$1:$N$52</definedName>
    <definedName name="CFOverride">Data!$BD$1</definedName>
    <definedName name="ChartMax">Charts!$AW$3</definedName>
    <definedName name="ChartMin">Charts!$AV$3</definedName>
    <definedName name="ChartsBWSmall">Transport!$A$62:$Q$171</definedName>
    <definedName name="ChartsBWSmallPDF">SmCharts!$A$227:$Q$336</definedName>
    <definedName name="ChBWCompFx">Charts!$U$89:$AK$179</definedName>
    <definedName name="ChBWMember">Charts!$U$268:$AK$312</definedName>
    <definedName name="ChBWMemberPerDiem">Charts!$U$268:$AK$359</definedName>
    <definedName name="ChBWPaid">Charts!$U$180:$AK$267</definedName>
    <definedName name="ChBWPMPM">Charts!$U$1:$AK$88</definedName>
    <definedName name="ChBWStd">Charts!$U$1:$AK$312</definedName>
    <definedName name="ChBWStdPD">Charts!$U$1:$AK$359</definedName>
    <definedName name="ChColCompFx">Charts!$A$89:$Q$179</definedName>
    <definedName name="ChColMember">Charts!$A$268:$Q$312</definedName>
    <definedName name="ChColMemberPerDiem">Charts!$A$268:$Q$359</definedName>
    <definedName name="ChColorCompFx">Charts!$A$89:$Q$179</definedName>
    <definedName name="ChColorMember">Charts!$A$268:$Q$312</definedName>
    <definedName name="ChColorMemberPerDiem">Charts!$A$268:$Q$359</definedName>
    <definedName name="ChColorPaid">Charts!$A$180:$Q$267</definedName>
    <definedName name="ChColorPMPM">Charts!$A$1:$Q$88</definedName>
    <definedName name="ChColorStd">Charts!$A$1:$Q$312</definedName>
    <definedName name="ChColorStdPD">Charts!$A$1:$Q$359</definedName>
    <definedName name="ChColPaid">Charts!$A$180:$Q$267</definedName>
    <definedName name="ChColPMPM">Charts!$A$1:$Q$88</definedName>
    <definedName name="Claims1">Data!$AA$1:$AL$45</definedName>
    <definedName name="Claims1AdjSL">Data!$AA$92:$AL$135</definedName>
    <definedName name="Claims1SL">Data!$AA$47:$AL$90</definedName>
    <definedName name="Claims2">Data!$O$1:$Z$45</definedName>
    <definedName name="Claims2AdjSL">Data!$O$92:$Z$135</definedName>
    <definedName name="Claims2SL">Data!$O$47:$Z$90</definedName>
    <definedName name="Claims3">Data!$C$1:$N$45</definedName>
    <definedName name="Claims3AdjSL">Data!$C$92:$N$135</definedName>
    <definedName name="Claims3SL">Data!$C$47:$N$90</definedName>
    <definedName name="ClosedMos">Data!$AU$44</definedName>
    <definedName name="CompFxSum1">Data!$AV$1:$BQ$43</definedName>
    <definedName name="CompFxSum2">Data!$A$272:$AB$399</definedName>
    <definedName name="CompletionGrid">Charts!$AP$113</definedName>
    <definedName name="CompletionGrid2">Charts!$AP$122</definedName>
    <definedName name="CompletionMax">Charts!$AP$112</definedName>
    <definedName name="CompletionMax2">Charts!$AP$121</definedName>
    <definedName name="CompletionMin">Charts!$AP$111</definedName>
    <definedName name="CompletionMin2">Charts!$AP$120</definedName>
    <definedName name="Cumm1">Data!$AA$144:$AL$184</definedName>
    <definedName name="Cumm2">Data!$O$144:$Z$184</definedName>
    <definedName name="Cumm3">Data!$C$144:$N$184</definedName>
    <definedName name="FinalComp">Final!$A$136:$M$161</definedName>
    <definedName name="FinalRes">Final!$A$1:$M$67</definedName>
    <definedName name="FinalReserveTemp">Update!$C$2</definedName>
    <definedName name="FinalRestate">Final!$A$107:$L$135</definedName>
    <definedName name="FinalRestatements">Final!$A$107:$M$135</definedName>
    <definedName name="FirstResA">Final!$L$47</definedName>
    <definedName name="FirstResB">Data!$AS$8</definedName>
    <definedName name="FSAT">PMPM!$A$81:$C$104</definedName>
    <definedName name="GChartAveAge">Charts!$A$228</definedName>
    <definedName name="GChartBottom">Charts!$A$363</definedName>
    <definedName name="GChartCompFx">Charts!$A$89</definedName>
    <definedName name="GChartIBNR">Charts!$A$49</definedName>
    <definedName name="GChartMember">Charts!$A$268</definedName>
    <definedName name="GChartPaid">Charts!$A$180</definedName>
    <definedName name="GChartPerDiem">Charts!$A$313</definedName>
    <definedName name="GChartPMPM">Charts!$A$1</definedName>
    <definedName name="GChartQtrCompFx">Charts!$A$133</definedName>
    <definedName name="GClaimData">Data!$AA$1</definedName>
    <definedName name="GCompare">Final!$A$136</definedName>
    <definedName name="GFeeSched">PMPM!$A$47</definedName>
    <definedName name="GFinalRes">Final!$A$1</definedName>
    <definedName name="GLog">Log!$D$1</definedName>
    <definedName name="GMember">Data!$AN$1</definedName>
    <definedName name="GMMYY">Data!$A$1</definedName>
    <definedName name="GPMPMInit">PMPM!$C$1</definedName>
    <definedName name="GRestate">Final!$A$107</definedName>
    <definedName name="GSeason">PMPM!$A$108</definedName>
    <definedName name="Hindsight">Final!$A$107:$M$135</definedName>
    <definedName name="HSRes">Final!$A$68:$M$105</definedName>
    <definedName name="HSRestate">Final!$A$68</definedName>
    <definedName name="InitEstLog">Log!$D$1:$Q$50</definedName>
    <definedName name="InitEstPMPM">PMPM!$C$1:$R$44</definedName>
    <definedName name="InitMethod">Final!$AI$29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  <definedName name="lag12rs">Data!$T$350:$T$384</definedName>
    <definedName name="lag12rus">Data!$T$282:$T$316</definedName>
    <definedName name="lag12s">Data!$I$350:$I$384</definedName>
    <definedName name="lag12us">Data!$I$282:$I$316</definedName>
    <definedName name="lag3s">Data!$C$350:$C$384</definedName>
    <definedName name="lag3us">Data!$C$282:$C$316</definedName>
    <definedName name="lag6rs">Data!$Q$350:$Q$384</definedName>
    <definedName name="lag6rus">Data!$Q$282:$Q$316</definedName>
    <definedName name="lag6s">Data!$F$350:$F$384</definedName>
    <definedName name="lag6us">Data!$F$282:$F$316</definedName>
    <definedName name="lagalls">Data!$L$350:$L$384</definedName>
    <definedName name="lagallus">Data!$L$282:$L$316</definedName>
    <definedName name="Lagg1">Data!$AA$187:$AL$227</definedName>
    <definedName name="Lagg2">Data!$O$187:$Z$227</definedName>
    <definedName name="Lagg3">Data!$C$187:$N$227</definedName>
    <definedName name="lagQ1s">Data!$W$350:$W$384</definedName>
    <definedName name="lagQ1us">Data!$W$282:$W$316</definedName>
    <definedName name="lagQ2s">Data!$Z$350:$Z$384</definedName>
    <definedName name="lagQ2us">Data!$Z$282:$Z$316</definedName>
    <definedName name="lagQ3s">Data!$AC$350:$AC$384</definedName>
    <definedName name="lagQ3us">Data!$AC$282:$AC$316</definedName>
    <definedName name="LagSum1">Data!$A$230:$S$258</definedName>
    <definedName name="LagSum2">Data!$A$272:$N$339</definedName>
    <definedName name="Members">Data!$AN$1:$AS$43</definedName>
    <definedName name="Name">Data!$C$1</definedName>
    <definedName name="Numbmos">Data!$AU$48</definedName>
    <definedName name="PADD1">PAD!$A$1:$O$56</definedName>
    <definedName name="PADD2">PAD!$A$1</definedName>
    <definedName name="_xlnm.Print_Area" localSheetId="4">Backlog!$A$1:$N$52</definedName>
    <definedName name="_xlnm.Print_Area" localSheetId="6">Charts!$U$1:$AK$359</definedName>
    <definedName name="_xlnm.Print_Area" localSheetId="0">Data!$AV$1:$BQ$43</definedName>
    <definedName name="_xlnm.Print_Area" localSheetId="1">Final!$A$1:$M$67</definedName>
    <definedName name="_xlnm.Print_Area" localSheetId="3">Log!$D$1:$Q$50</definedName>
    <definedName name="_xlnm.Print_Area" localSheetId="11">PAD!$A$1:$O$56</definedName>
    <definedName name="_xlnm.Print_Area" localSheetId="2">PMPM!$C$1:$R$44</definedName>
    <definedName name="_xlnm.Print_Area" localSheetId="9">Seasonality!$A$1:$Q$48</definedName>
    <definedName name="_xlnm.Print_Area" localSheetId="7">SmCharts!$A$1:$Q$110</definedName>
    <definedName name="_xlnm.Print_Area" localSheetId="8">SmCharts2!$A$166:$Q$220</definedName>
    <definedName name="_xlnm.Print_Area" localSheetId="13">Transport!$A$11:$Y$55</definedName>
    <definedName name="_xlnm.Print_Area" localSheetId="10">Trends!$A$1:$Q$52</definedName>
    <definedName name="_xlnm.Print_Titles" localSheetId="11">PAD!$A:$C</definedName>
    <definedName name="_xlnm.Print_Titles" localSheetId="9">Seasonality!$1:$4</definedName>
    <definedName name="_xlnm.Print_Titles" localSheetId="10">Trends!$1:$2</definedName>
    <definedName name="PrintList1">MacroLists!$J$12:$J$36</definedName>
    <definedName name="PrintList100">MacroLists!$O$12:$O$19</definedName>
    <definedName name="PrintList2">MacroLists!$K$12:$K$36</definedName>
    <definedName name="PrintList3">MacroLists!$L$12:$L$31</definedName>
    <definedName name="PrintList4">MacroLists!$M$12:$M$21</definedName>
    <definedName name="Prior1">Final!$E$146</definedName>
    <definedName name="Prior10">Final!$E$155</definedName>
    <definedName name="Prior11">Final!$E$156</definedName>
    <definedName name="Prior2">Final!$E$147</definedName>
    <definedName name="Prior3">Final!$E$148</definedName>
    <definedName name="Prior4">Final!$E$149</definedName>
    <definedName name="Prior5">Final!$E$150</definedName>
    <definedName name="Prior6">Final!$E$151</definedName>
    <definedName name="Prior7">Final!$E$152</definedName>
    <definedName name="Prior8">Final!$E$153</definedName>
    <definedName name="Prior9">Final!$E$154</definedName>
    <definedName name="PriorA1">Final!$C$11</definedName>
    <definedName name="PriorA10">Final!$C$20</definedName>
    <definedName name="PriorA11">Final!$C$21</definedName>
    <definedName name="PriorA2">Final!$C$12</definedName>
    <definedName name="PriorA3">Final!$C$13</definedName>
    <definedName name="PriorA4">Final!$C$14</definedName>
    <definedName name="PriorA5">Final!$C$15</definedName>
    <definedName name="PriorA6">Final!$C$16</definedName>
    <definedName name="PriorA7">Final!$C$17</definedName>
    <definedName name="PriorA8">Final!$C$18</definedName>
    <definedName name="PriorA9">Final!$C$19</definedName>
    <definedName name="Reserve">Final!$L$47</definedName>
    <definedName name="ReserveBegin">Final!$G$58</definedName>
    <definedName name="ResetAccum">Transport!$AE$20</definedName>
    <definedName name="ResetClaims">Update!$BG$7:$CP$42</definedName>
    <definedName name="ResetDaysAdj">Update!$CS$34</definedName>
    <definedName name="ResetFeeSched">Update!$CS$40:$CV$62</definedName>
    <definedName name="ResetFormalEst">Update!$DE$28</definedName>
    <definedName name="ResetMembers">Update!$M$3:$Q$38</definedName>
    <definedName name="ResetMethod">Update!$CY$26:$CY$28</definedName>
    <definedName name="ResetNameDate">Update!$CS$21:$CV$23</definedName>
    <definedName name="ResetPerDiems">Update!$DC$4:$DG$22</definedName>
    <definedName name="ResetSeason">Update!$CZ$9:$CZ$20</definedName>
    <definedName name="ResetTail">Update!$CV$15:$CV$16</definedName>
    <definedName name="ResetTrend">Update!$CW$8</definedName>
    <definedName name="ResMonth">Data!$F$2</definedName>
    <definedName name="ResYear">Data!$F$3</definedName>
    <definedName name="RSClaims">Data!$C$8:$AL$31</definedName>
    <definedName name="RSClaimsSL">Data!$C$53:$AL$76</definedName>
    <definedName name="RSDaysAdj">Log!$F$27</definedName>
    <definedName name="RSFeeSched">PMPM!$A$52:$D$74</definedName>
    <definedName name="RSFormalEst">Final!$C$64</definedName>
    <definedName name="RSMembers">Data!$AO$8:$AS$43</definedName>
    <definedName name="RSMethod">Final!$H$4:$H$6</definedName>
    <definedName name="RSNameDate">Data!$C$1:$F$3</definedName>
    <definedName name="RSPerDiems">Log!$M$3:$Q$21</definedName>
    <definedName name="RSSeason">PMPM!$D$112:$D$123</definedName>
    <definedName name="RSTail">Final!$M$4:$M$5</definedName>
    <definedName name="RSTrend">PMPM!$G$31</definedName>
    <definedName name="SeasonalityExhibit">Seasonality!$A$1:$Q$48</definedName>
    <definedName name="SeasonBase1">Seasonality!$I$4:$Q$22</definedName>
    <definedName name="SeasonBase2">Seasonality!$BD$4:$BL$22</definedName>
    <definedName name="SeasonClientNew">Seasonality!$O$9:$O$20</definedName>
    <definedName name="SeasonClientSpecific">PMPM!$D$112:$D$123</definedName>
    <definedName name="SeasonFx">PMPM!$A$108</definedName>
    <definedName name="SeasonMax">Seasonality!$V$31</definedName>
    <definedName name="SeasonMin">Seasonality!$V$30</definedName>
    <definedName name="SeasonSpot">Seasonality!$A$15</definedName>
    <definedName name="SmallCharts">Transport!$A$62:$Q$171</definedName>
    <definedName name="SmCharts2BW">SmCharts2!$A$111:$Q$165</definedName>
    <definedName name="SmCharts2BW2">SmCharts2!$A$166:$Q$220</definedName>
    <definedName name="SmCharts2Color">SmCharts2!$A$1:$Q$110</definedName>
    <definedName name="SmChartsBW">SmCharts!$A$111:$Q$165</definedName>
    <definedName name="SmChartsBW2">SmCharts!$A$166:$Q$220</definedName>
    <definedName name="SmChartsColor">SmCharts!$A$1:$Q$55</definedName>
    <definedName name="SmChartsColor2">SmCharts!$A$56:$Q$110</definedName>
    <definedName name="TempData1">Update!$U$7:$BC$42</definedName>
    <definedName name="TempData2">Update!$U$7:$BD$42</definedName>
    <definedName name="TestForDataErrorRange">Data!$A$423:$G$468</definedName>
    <definedName name="TestForDataErrorSpot">Data!$D$467</definedName>
    <definedName name="TestForDataErrorSpot2">Data!$A$423</definedName>
    <definedName name="TransferResults">Transport!$A$11:$Y$55</definedName>
    <definedName name="TransportAccum">Transport!$AE$11</definedName>
    <definedName name="TransportOldest">Transport!$A$20:$J$20</definedName>
    <definedName name="TrendExhibit">Trends!$A$1:$Q$52</definedName>
    <definedName name="TrendMin">Trends!$U$6</definedName>
    <definedName name="UpdateData1">Data!$D$8:$AL$43</definedName>
    <definedName name="UpdateData2">Data!$C$8:$AL$43</definedName>
    <definedName name="UpdateDataSL1">Data!$D$53:$AL$88</definedName>
    <definedName name="UpdateDataSL2">Data!$C$53:$AL$88</definedName>
    <definedName name="UpdateFinishSpot">Data!$AJ$1</definedName>
    <definedName name="UpdateMembers0">Data!$AO$8:$AS$42</definedName>
    <definedName name="UpdateMembers1">Update!$G$4:$K$38</definedName>
    <definedName name="UpdateMembers2">Update!$G$3:$K$38</definedName>
    <definedName name="UpdateMembers3">Data!$AO$8:$AS$43</definedName>
  </definedNames>
  <calcPr calcId="191029" calcMode="manual" iterate="1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2" i="4" l="1"/>
  <c r="W21" i="4"/>
  <c r="W20" i="4"/>
  <c r="W19" i="4"/>
  <c r="W18" i="4"/>
  <c r="W17" i="4"/>
  <c r="W16" i="4"/>
  <c r="W15" i="4"/>
  <c r="W14" i="4"/>
  <c r="W13" i="4"/>
  <c r="W12" i="4"/>
  <c r="W11" i="4"/>
  <c r="W10" i="4"/>
  <c r="W9" i="4"/>
  <c r="W8" i="4"/>
  <c r="W7" i="4"/>
  <c r="CE3" i="6"/>
  <c r="V8" i="4" l="1"/>
  <c r="V9" i="4" l="1"/>
  <c r="AL114" i="6"/>
  <c r="AK114" i="6"/>
  <c r="AJ114" i="6"/>
  <c r="AL113" i="6"/>
  <c r="AK113" i="6"/>
  <c r="AJ113" i="6"/>
  <c r="AL112" i="6"/>
  <c r="AK112" i="6"/>
  <c r="AJ112" i="6"/>
  <c r="R133" i="6"/>
  <c r="R132" i="6"/>
  <c r="V10" i="4" l="1"/>
  <c r="AI20" i="5"/>
  <c r="BL3" i="6" s="1"/>
  <c r="AJ29" i="5"/>
  <c r="V11" i="4" l="1"/>
  <c r="M36" i="8"/>
  <c r="G58" i="5"/>
  <c r="C64" i="5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V12" i="4" l="1"/>
  <c r="C50" i="5"/>
  <c r="A48" i="5"/>
  <c r="AF30" i="5"/>
  <c r="AE30" i="5"/>
  <c r="AD30" i="5"/>
  <c r="AF10" i="5"/>
  <c r="AE10" i="5"/>
  <c r="AD10" i="5"/>
  <c r="V13" i="4" l="1"/>
  <c r="AI29" i="5"/>
  <c r="X8" i="5" s="1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V14" i="4" l="1"/>
  <c r="V2" i="12"/>
  <c r="V15" i="4" l="1"/>
  <c r="D227" i="6"/>
  <c r="E227" i="6"/>
  <c r="E226" i="6"/>
  <c r="F227" i="6"/>
  <c r="F226" i="6"/>
  <c r="F225" i="6"/>
  <c r="G227" i="6"/>
  <c r="G226" i="6"/>
  <c r="G225" i="6"/>
  <c r="G224" i="6"/>
  <c r="H227" i="6"/>
  <c r="H226" i="6"/>
  <c r="H225" i="6"/>
  <c r="H224" i="6"/>
  <c r="H223" i="6"/>
  <c r="I227" i="6"/>
  <c r="I226" i="6"/>
  <c r="I225" i="6"/>
  <c r="I224" i="6"/>
  <c r="I223" i="6"/>
  <c r="I222" i="6"/>
  <c r="J227" i="6"/>
  <c r="J226" i="6"/>
  <c r="J225" i="6"/>
  <c r="J224" i="6"/>
  <c r="J223" i="6"/>
  <c r="J222" i="6"/>
  <c r="J221" i="6"/>
  <c r="K227" i="6"/>
  <c r="K226" i="6"/>
  <c r="K225" i="6"/>
  <c r="K224" i="6"/>
  <c r="K223" i="6"/>
  <c r="K222" i="6"/>
  <c r="K221" i="6"/>
  <c r="K220" i="6"/>
  <c r="L227" i="6"/>
  <c r="L226" i="6"/>
  <c r="L225" i="6"/>
  <c r="L224" i="6"/>
  <c r="L223" i="6"/>
  <c r="L222" i="6"/>
  <c r="L221" i="6"/>
  <c r="L220" i="6"/>
  <c r="L219" i="6"/>
  <c r="M227" i="6"/>
  <c r="M226" i="6"/>
  <c r="M225" i="6"/>
  <c r="M224" i="6"/>
  <c r="M223" i="6"/>
  <c r="M222" i="6"/>
  <c r="M221" i="6"/>
  <c r="M220" i="6"/>
  <c r="M219" i="6"/>
  <c r="M218" i="6"/>
  <c r="N227" i="6"/>
  <c r="N226" i="6"/>
  <c r="N225" i="6"/>
  <c r="N224" i="6"/>
  <c r="N223" i="6"/>
  <c r="N222" i="6"/>
  <c r="N221" i="6"/>
  <c r="N220" i="6"/>
  <c r="N219" i="6"/>
  <c r="N218" i="6"/>
  <c r="N217" i="6"/>
  <c r="O227" i="6"/>
  <c r="O226" i="6"/>
  <c r="O225" i="6"/>
  <c r="O224" i="6"/>
  <c r="O223" i="6"/>
  <c r="O222" i="6"/>
  <c r="O221" i="6"/>
  <c r="O220" i="6"/>
  <c r="O219" i="6"/>
  <c r="O218" i="6"/>
  <c r="O217" i="6"/>
  <c r="O216" i="6"/>
  <c r="AL227" i="6"/>
  <c r="AK227" i="6"/>
  <c r="AJ227" i="6"/>
  <c r="AI227" i="6"/>
  <c r="AH227" i="6"/>
  <c r="AG227" i="6"/>
  <c r="AF227" i="6"/>
  <c r="AE227" i="6"/>
  <c r="AD227" i="6"/>
  <c r="AC227" i="6"/>
  <c r="AB227" i="6"/>
  <c r="AA227" i="6"/>
  <c r="Z227" i="6"/>
  <c r="Y227" i="6"/>
  <c r="X227" i="6"/>
  <c r="W227" i="6"/>
  <c r="V227" i="6"/>
  <c r="U227" i="6"/>
  <c r="T227" i="6"/>
  <c r="S227" i="6"/>
  <c r="R227" i="6"/>
  <c r="Q227" i="6"/>
  <c r="P227" i="6"/>
  <c r="AL226" i="6"/>
  <c r="AK226" i="6"/>
  <c r="AJ226" i="6"/>
  <c r="AI226" i="6"/>
  <c r="AH226" i="6"/>
  <c r="AG226" i="6"/>
  <c r="AF226" i="6"/>
  <c r="AE226" i="6"/>
  <c r="AD226" i="6"/>
  <c r="AC226" i="6"/>
  <c r="AB226" i="6"/>
  <c r="AA226" i="6"/>
  <c r="Z226" i="6"/>
  <c r="Y226" i="6"/>
  <c r="X226" i="6"/>
  <c r="W226" i="6"/>
  <c r="V226" i="6"/>
  <c r="U226" i="6"/>
  <c r="T226" i="6"/>
  <c r="S226" i="6"/>
  <c r="R226" i="6"/>
  <c r="Q226" i="6"/>
  <c r="P226" i="6"/>
  <c r="AL225" i="6"/>
  <c r="AK225" i="6"/>
  <c r="AJ225" i="6"/>
  <c r="AI225" i="6"/>
  <c r="AH225" i="6"/>
  <c r="AG225" i="6"/>
  <c r="AF225" i="6"/>
  <c r="AE225" i="6"/>
  <c r="AD225" i="6"/>
  <c r="AC225" i="6"/>
  <c r="AB225" i="6"/>
  <c r="AA225" i="6"/>
  <c r="Z225" i="6"/>
  <c r="Y225" i="6"/>
  <c r="X225" i="6"/>
  <c r="W225" i="6"/>
  <c r="V225" i="6"/>
  <c r="U225" i="6"/>
  <c r="T225" i="6"/>
  <c r="S225" i="6"/>
  <c r="R225" i="6"/>
  <c r="Q225" i="6"/>
  <c r="P225" i="6"/>
  <c r="AL224" i="6"/>
  <c r="AK224" i="6"/>
  <c r="AJ224" i="6"/>
  <c r="AI224" i="6"/>
  <c r="AH224" i="6"/>
  <c r="AG224" i="6"/>
  <c r="AF224" i="6"/>
  <c r="AE224" i="6"/>
  <c r="AD224" i="6"/>
  <c r="AC224" i="6"/>
  <c r="AB224" i="6"/>
  <c r="AA224" i="6"/>
  <c r="Z224" i="6"/>
  <c r="Y224" i="6"/>
  <c r="X224" i="6"/>
  <c r="W224" i="6"/>
  <c r="V224" i="6"/>
  <c r="U224" i="6"/>
  <c r="T224" i="6"/>
  <c r="S224" i="6"/>
  <c r="R224" i="6"/>
  <c r="Q224" i="6"/>
  <c r="P224" i="6"/>
  <c r="AL223" i="6"/>
  <c r="AK223" i="6"/>
  <c r="AJ223" i="6"/>
  <c r="AI223" i="6"/>
  <c r="AH223" i="6"/>
  <c r="AG223" i="6"/>
  <c r="AF223" i="6"/>
  <c r="AE223" i="6"/>
  <c r="AD223" i="6"/>
  <c r="AC223" i="6"/>
  <c r="AB223" i="6"/>
  <c r="AA223" i="6"/>
  <c r="Z223" i="6"/>
  <c r="Y223" i="6"/>
  <c r="X223" i="6"/>
  <c r="W223" i="6"/>
  <c r="V223" i="6"/>
  <c r="U223" i="6"/>
  <c r="T223" i="6"/>
  <c r="S223" i="6"/>
  <c r="R223" i="6"/>
  <c r="Q223" i="6"/>
  <c r="P223" i="6"/>
  <c r="AL222" i="6"/>
  <c r="AK222" i="6"/>
  <c r="AJ222" i="6"/>
  <c r="AI222" i="6"/>
  <c r="AH222" i="6"/>
  <c r="AG222" i="6"/>
  <c r="AF222" i="6"/>
  <c r="AE222" i="6"/>
  <c r="AD222" i="6"/>
  <c r="AC222" i="6"/>
  <c r="AB222" i="6"/>
  <c r="AA222" i="6"/>
  <c r="Z222" i="6"/>
  <c r="Y222" i="6"/>
  <c r="X222" i="6"/>
  <c r="W222" i="6"/>
  <c r="V222" i="6"/>
  <c r="U222" i="6"/>
  <c r="T222" i="6"/>
  <c r="S222" i="6"/>
  <c r="R222" i="6"/>
  <c r="Q222" i="6"/>
  <c r="P222" i="6"/>
  <c r="AL221" i="6"/>
  <c r="AK221" i="6"/>
  <c r="AJ221" i="6"/>
  <c r="AI221" i="6"/>
  <c r="AH221" i="6"/>
  <c r="AG221" i="6"/>
  <c r="AF221" i="6"/>
  <c r="AE221" i="6"/>
  <c r="AD221" i="6"/>
  <c r="AC221" i="6"/>
  <c r="AB221" i="6"/>
  <c r="AA221" i="6"/>
  <c r="Z221" i="6"/>
  <c r="Y221" i="6"/>
  <c r="X221" i="6"/>
  <c r="W221" i="6"/>
  <c r="V221" i="6"/>
  <c r="U221" i="6"/>
  <c r="T221" i="6"/>
  <c r="S221" i="6"/>
  <c r="R221" i="6"/>
  <c r="Q221" i="6"/>
  <c r="P221" i="6"/>
  <c r="AL220" i="6"/>
  <c r="AK220" i="6"/>
  <c r="AJ220" i="6"/>
  <c r="AI220" i="6"/>
  <c r="AH220" i="6"/>
  <c r="AG220" i="6"/>
  <c r="AF220" i="6"/>
  <c r="AE220" i="6"/>
  <c r="AD220" i="6"/>
  <c r="AC220" i="6"/>
  <c r="AB220" i="6"/>
  <c r="AA220" i="6"/>
  <c r="Z220" i="6"/>
  <c r="Y220" i="6"/>
  <c r="X220" i="6"/>
  <c r="W220" i="6"/>
  <c r="V220" i="6"/>
  <c r="U220" i="6"/>
  <c r="T220" i="6"/>
  <c r="S220" i="6"/>
  <c r="R220" i="6"/>
  <c r="Q220" i="6"/>
  <c r="P220" i="6"/>
  <c r="AL219" i="6"/>
  <c r="AK219" i="6"/>
  <c r="AJ219" i="6"/>
  <c r="AI219" i="6"/>
  <c r="AH219" i="6"/>
  <c r="AG219" i="6"/>
  <c r="AF219" i="6"/>
  <c r="AE219" i="6"/>
  <c r="AD219" i="6"/>
  <c r="AC219" i="6"/>
  <c r="AB219" i="6"/>
  <c r="AA219" i="6"/>
  <c r="Z219" i="6"/>
  <c r="Y219" i="6"/>
  <c r="X219" i="6"/>
  <c r="W219" i="6"/>
  <c r="V219" i="6"/>
  <c r="U219" i="6"/>
  <c r="T219" i="6"/>
  <c r="S219" i="6"/>
  <c r="R219" i="6"/>
  <c r="Q219" i="6"/>
  <c r="P219" i="6"/>
  <c r="AL218" i="6"/>
  <c r="AK218" i="6"/>
  <c r="AJ218" i="6"/>
  <c r="AI218" i="6"/>
  <c r="AH218" i="6"/>
  <c r="AG218" i="6"/>
  <c r="AF218" i="6"/>
  <c r="AE218" i="6"/>
  <c r="AD218" i="6"/>
  <c r="AC218" i="6"/>
  <c r="AB218" i="6"/>
  <c r="AA218" i="6"/>
  <c r="Z218" i="6"/>
  <c r="Y218" i="6"/>
  <c r="X218" i="6"/>
  <c r="W218" i="6"/>
  <c r="V218" i="6"/>
  <c r="U218" i="6"/>
  <c r="T218" i="6"/>
  <c r="S218" i="6"/>
  <c r="R218" i="6"/>
  <c r="Q218" i="6"/>
  <c r="P218" i="6"/>
  <c r="AL217" i="6"/>
  <c r="AK217" i="6"/>
  <c r="AJ217" i="6"/>
  <c r="AI217" i="6"/>
  <c r="AH217" i="6"/>
  <c r="AG217" i="6"/>
  <c r="AF217" i="6"/>
  <c r="AE217" i="6"/>
  <c r="AD217" i="6"/>
  <c r="AC217" i="6"/>
  <c r="AB217" i="6"/>
  <c r="AA217" i="6"/>
  <c r="Z217" i="6"/>
  <c r="Y217" i="6"/>
  <c r="X217" i="6"/>
  <c r="W217" i="6"/>
  <c r="V217" i="6"/>
  <c r="U217" i="6"/>
  <c r="T217" i="6"/>
  <c r="S217" i="6"/>
  <c r="R217" i="6"/>
  <c r="Q217" i="6"/>
  <c r="P217" i="6"/>
  <c r="AL216" i="6"/>
  <c r="AK216" i="6"/>
  <c r="AJ216" i="6"/>
  <c r="AI216" i="6"/>
  <c r="AH216" i="6"/>
  <c r="AG216" i="6"/>
  <c r="AF216" i="6"/>
  <c r="AE216" i="6"/>
  <c r="AD216" i="6"/>
  <c r="AC216" i="6"/>
  <c r="AB216" i="6"/>
  <c r="AA216" i="6"/>
  <c r="Z216" i="6"/>
  <c r="Y216" i="6"/>
  <c r="X216" i="6"/>
  <c r="W216" i="6"/>
  <c r="V216" i="6"/>
  <c r="U216" i="6"/>
  <c r="T216" i="6"/>
  <c r="S216" i="6"/>
  <c r="R216" i="6"/>
  <c r="Q216" i="6"/>
  <c r="P216" i="6"/>
  <c r="V16" i="4" l="1"/>
  <c r="AL90" i="6"/>
  <c r="AK90" i="6"/>
  <c r="AJ90" i="6"/>
  <c r="AI90" i="6"/>
  <c r="AH90" i="6"/>
  <c r="AG90" i="6"/>
  <c r="AF90" i="6"/>
  <c r="AE90" i="6"/>
  <c r="AD90" i="6"/>
  <c r="AC90" i="6"/>
  <c r="AB90" i="6"/>
  <c r="AA90" i="6"/>
  <c r="Z90" i="6"/>
  <c r="Y90" i="6"/>
  <c r="X90" i="6"/>
  <c r="W90" i="6"/>
  <c r="V90" i="6"/>
  <c r="U90" i="6"/>
  <c r="T90" i="6"/>
  <c r="S90" i="6"/>
  <c r="R90" i="6"/>
  <c r="Q90" i="6"/>
  <c r="P90" i="6"/>
  <c r="O90" i="6"/>
  <c r="N90" i="6"/>
  <c r="M90" i="6"/>
  <c r="L90" i="6"/>
  <c r="K90" i="6"/>
  <c r="J90" i="6"/>
  <c r="I90" i="6"/>
  <c r="H90" i="6"/>
  <c r="G90" i="6"/>
  <c r="F90" i="6"/>
  <c r="E90" i="6"/>
  <c r="D90" i="6"/>
  <c r="C90" i="6"/>
  <c r="AK45" i="6"/>
  <c r="AJ45" i="6"/>
  <c r="AI45" i="6"/>
  <c r="AH45" i="6"/>
  <c r="AG45" i="6"/>
  <c r="AF45" i="6"/>
  <c r="AE45" i="6"/>
  <c r="AD45" i="6"/>
  <c r="AC45" i="6"/>
  <c r="AB45" i="6"/>
  <c r="AA45" i="6"/>
  <c r="Z45" i="6"/>
  <c r="Y45" i="6"/>
  <c r="X45" i="6"/>
  <c r="W45" i="6"/>
  <c r="V45" i="6"/>
  <c r="U45" i="6"/>
  <c r="T45" i="6"/>
  <c r="S45" i="6"/>
  <c r="R45" i="6"/>
  <c r="AL45" i="6"/>
  <c r="AL133" i="6"/>
  <c r="AK133" i="6"/>
  <c r="AJ133" i="6"/>
  <c r="AI133" i="6"/>
  <c r="AH133" i="6"/>
  <c r="AG133" i="6"/>
  <c r="AF133" i="6"/>
  <c r="AE133" i="6"/>
  <c r="AD133" i="6"/>
  <c r="AC133" i="6"/>
  <c r="AB133" i="6"/>
  <c r="AA133" i="6"/>
  <c r="Z133" i="6"/>
  <c r="Y133" i="6"/>
  <c r="X133" i="6"/>
  <c r="W133" i="6"/>
  <c r="V133" i="6"/>
  <c r="U133" i="6"/>
  <c r="T133" i="6"/>
  <c r="S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AL132" i="6"/>
  <c r="AK132" i="6"/>
  <c r="AJ132" i="6"/>
  <c r="AI132" i="6"/>
  <c r="AH132" i="6"/>
  <c r="AG132" i="6"/>
  <c r="AF132" i="6"/>
  <c r="AE132" i="6"/>
  <c r="AD132" i="6"/>
  <c r="AC132" i="6"/>
  <c r="AB132" i="6"/>
  <c r="AA132" i="6"/>
  <c r="Z132" i="6"/>
  <c r="Y132" i="6"/>
  <c r="X132" i="6"/>
  <c r="W132" i="6"/>
  <c r="V132" i="6"/>
  <c r="U132" i="6"/>
  <c r="T132" i="6"/>
  <c r="S132" i="6"/>
  <c r="Q132" i="6"/>
  <c r="P132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C132" i="6"/>
  <c r="AL131" i="6"/>
  <c r="AK131" i="6"/>
  <c r="AJ131" i="6"/>
  <c r="AI131" i="6"/>
  <c r="AH131" i="6"/>
  <c r="AG131" i="6"/>
  <c r="AF131" i="6"/>
  <c r="AE131" i="6"/>
  <c r="AD131" i="6"/>
  <c r="AC131" i="6"/>
  <c r="AB131" i="6"/>
  <c r="AA131" i="6"/>
  <c r="Z131" i="6"/>
  <c r="Y131" i="6"/>
  <c r="X131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K131" i="6"/>
  <c r="J131" i="6"/>
  <c r="I131" i="6"/>
  <c r="H131" i="6"/>
  <c r="G131" i="6"/>
  <c r="F131" i="6"/>
  <c r="E131" i="6"/>
  <c r="D131" i="6"/>
  <c r="C131" i="6"/>
  <c r="AL130" i="6"/>
  <c r="AK130" i="6"/>
  <c r="AJ130" i="6"/>
  <c r="AI130" i="6"/>
  <c r="AH130" i="6"/>
  <c r="AG130" i="6"/>
  <c r="AF130" i="6"/>
  <c r="AE130" i="6"/>
  <c r="AD130" i="6"/>
  <c r="AC130" i="6"/>
  <c r="AB130" i="6"/>
  <c r="AA130" i="6"/>
  <c r="Z130" i="6"/>
  <c r="Y130" i="6"/>
  <c r="X130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D130" i="6"/>
  <c r="C130" i="6"/>
  <c r="AL129" i="6"/>
  <c r="AK129" i="6"/>
  <c r="AJ129" i="6"/>
  <c r="AI129" i="6"/>
  <c r="AH129" i="6"/>
  <c r="AG129" i="6"/>
  <c r="AF129" i="6"/>
  <c r="AE129" i="6"/>
  <c r="AD129" i="6"/>
  <c r="AC129" i="6"/>
  <c r="AB129" i="6"/>
  <c r="AA129" i="6"/>
  <c r="Z129" i="6"/>
  <c r="Y129" i="6"/>
  <c r="X129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C129" i="6"/>
  <c r="AL128" i="6"/>
  <c r="AK128" i="6"/>
  <c r="AJ128" i="6"/>
  <c r="AI128" i="6"/>
  <c r="AH128" i="6"/>
  <c r="AG128" i="6"/>
  <c r="AF128" i="6"/>
  <c r="AE128" i="6"/>
  <c r="AD128" i="6"/>
  <c r="AC128" i="6"/>
  <c r="AB128" i="6"/>
  <c r="AA128" i="6"/>
  <c r="Z128" i="6"/>
  <c r="Y128" i="6"/>
  <c r="X128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K128" i="6"/>
  <c r="J128" i="6"/>
  <c r="I128" i="6"/>
  <c r="H128" i="6"/>
  <c r="G128" i="6"/>
  <c r="F128" i="6"/>
  <c r="E128" i="6"/>
  <c r="D128" i="6"/>
  <c r="C128" i="6"/>
  <c r="AL127" i="6"/>
  <c r="AK127" i="6"/>
  <c r="AJ127" i="6"/>
  <c r="AI127" i="6"/>
  <c r="AH127" i="6"/>
  <c r="AG127" i="6"/>
  <c r="AF127" i="6"/>
  <c r="AE127" i="6"/>
  <c r="AD127" i="6"/>
  <c r="AC127" i="6"/>
  <c r="AB127" i="6"/>
  <c r="AA127" i="6"/>
  <c r="Z127" i="6"/>
  <c r="Y127" i="6"/>
  <c r="X127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K127" i="6"/>
  <c r="J127" i="6"/>
  <c r="I127" i="6"/>
  <c r="H127" i="6"/>
  <c r="G127" i="6"/>
  <c r="F127" i="6"/>
  <c r="E127" i="6"/>
  <c r="D127" i="6"/>
  <c r="C127" i="6"/>
  <c r="AL126" i="6"/>
  <c r="AK126" i="6"/>
  <c r="AJ126" i="6"/>
  <c r="AI126" i="6"/>
  <c r="AH126" i="6"/>
  <c r="AG126" i="6"/>
  <c r="AF126" i="6"/>
  <c r="AE126" i="6"/>
  <c r="AD126" i="6"/>
  <c r="AC126" i="6"/>
  <c r="AB126" i="6"/>
  <c r="AA126" i="6"/>
  <c r="Z126" i="6"/>
  <c r="Y126" i="6"/>
  <c r="X126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K126" i="6"/>
  <c r="J126" i="6"/>
  <c r="I126" i="6"/>
  <c r="H126" i="6"/>
  <c r="G126" i="6"/>
  <c r="F126" i="6"/>
  <c r="E126" i="6"/>
  <c r="D126" i="6"/>
  <c r="C126" i="6"/>
  <c r="AL125" i="6"/>
  <c r="AK125" i="6"/>
  <c r="AJ125" i="6"/>
  <c r="AI125" i="6"/>
  <c r="AH125" i="6"/>
  <c r="AG125" i="6"/>
  <c r="AF125" i="6"/>
  <c r="AE125" i="6"/>
  <c r="AD125" i="6"/>
  <c r="AC125" i="6"/>
  <c r="AB125" i="6"/>
  <c r="AA125" i="6"/>
  <c r="Z125" i="6"/>
  <c r="Y125" i="6"/>
  <c r="X125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K125" i="6"/>
  <c r="J125" i="6"/>
  <c r="I125" i="6"/>
  <c r="H125" i="6"/>
  <c r="G125" i="6"/>
  <c r="F125" i="6"/>
  <c r="E125" i="6"/>
  <c r="D125" i="6"/>
  <c r="C125" i="6"/>
  <c r="AL124" i="6"/>
  <c r="AK124" i="6"/>
  <c r="AJ124" i="6"/>
  <c r="AI124" i="6"/>
  <c r="AH124" i="6"/>
  <c r="AG124" i="6"/>
  <c r="AF124" i="6"/>
  <c r="AE124" i="6"/>
  <c r="AD124" i="6"/>
  <c r="AC124" i="6"/>
  <c r="AB124" i="6"/>
  <c r="AA124" i="6"/>
  <c r="Z124" i="6"/>
  <c r="Y124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C124" i="6"/>
  <c r="AL123" i="6"/>
  <c r="AK123" i="6"/>
  <c r="AJ123" i="6"/>
  <c r="AI123" i="6"/>
  <c r="AH123" i="6"/>
  <c r="AG123" i="6"/>
  <c r="AF123" i="6"/>
  <c r="AE123" i="6"/>
  <c r="AD123" i="6"/>
  <c r="AC123" i="6"/>
  <c r="AB123" i="6"/>
  <c r="AA123" i="6"/>
  <c r="Z123" i="6"/>
  <c r="Y123" i="6"/>
  <c r="X123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K123" i="6"/>
  <c r="J123" i="6"/>
  <c r="I123" i="6"/>
  <c r="H123" i="6"/>
  <c r="G123" i="6"/>
  <c r="F123" i="6"/>
  <c r="E123" i="6"/>
  <c r="D123" i="6"/>
  <c r="C123" i="6"/>
  <c r="AL122" i="6"/>
  <c r="AK122" i="6"/>
  <c r="AJ122" i="6"/>
  <c r="AI122" i="6"/>
  <c r="AH122" i="6"/>
  <c r="AG122" i="6"/>
  <c r="AF122" i="6"/>
  <c r="AE122" i="6"/>
  <c r="AD122" i="6"/>
  <c r="AC122" i="6"/>
  <c r="AB122" i="6"/>
  <c r="AA122" i="6"/>
  <c r="Z122" i="6"/>
  <c r="Y122" i="6"/>
  <c r="X122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K122" i="6"/>
  <c r="J122" i="6"/>
  <c r="I122" i="6"/>
  <c r="H122" i="6"/>
  <c r="G122" i="6"/>
  <c r="F122" i="6"/>
  <c r="E122" i="6"/>
  <c r="D122" i="6"/>
  <c r="C122" i="6"/>
  <c r="V17" i="4" l="1"/>
  <c r="O45" i="6"/>
  <c r="P45" i="6"/>
  <c r="V18" i="4" l="1"/>
  <c r="N45" i="6"/>
  <c r="D124" i="4"/>
  <c r="V19" i="4" l="1"/>
  <c r="M45" i="6"/>
  <c r="BX8" i="9"/>
  <c r="BY8" i="9"/>
  <c r="BX9" i="9"/>
  <c r="BY9" i="9"/>
  <c r="BN228" i="9"/>
  <c r="BO228" i="9" s="1"/>
  <c r="BP228" i="9" s="1"/>
  <c r="BR228" i="9" s="1"/>
  <c r="BD228" i="9"/>
  <c r="BE228" i="9" s="1"/>
  <c r="BF228" i="9" s="1"/>
  <c r="AT228" i="9"/>
  <c r="AU228" i="9" s="1"/>
  <c r="AV228" i="9" s="1"/>
  <c r="AJ228" i="9"/>
  <c r="AK228" i="9" s="1"/>
  <c r="AL228" i="9" s="1"/>
  <c r="AN228" i="9" s="1"/>
  <c r="BN227" i="9"/>
  <c r="BO227" i="9" s="1"/>
  <c r="BP227" i="9" s="1"/>
  <c r="BQ227" i="9" s="1"/>
  <c r="BD227" i="9"/>
  <c r="BE227" i="9" s="1"/>
  <c r="BF227" i="9" s="1"/>
  <c r="BG227" i="9" s="1"/>
  <c r="AT227" i="9"/>
  <c r="AU227" i="9" s="1"/>
  <c r="AV227" i="9" s="1"/>
  <c r="AX227" i="9" s="1"/>
  <c r="AJ227" i="9"/>
  <c r="AK227" i="9" s="1"/>
  <c r="AL227" i="9" s="1"/>
  <c r="AN227" i="9" s="1"/>
  <c r="BN214" i="9"/>
  <c r="BO214" i="9" s="1"/>
  <c r="BP214" i="9" s="1"/>
  <c r="BN213" i="9"/>
  <c r="BO213" i="9" s="1"/>
  <c r="BP213" i="9" s="1"/>
  <c r="BQ213" i="9" s="1"/>
  <c r="BN212" i="9"/>
  <c r="BO212" i="9" s="1"/>
  <c r="BP212" i="9" s="1"/>
  <c r="BR212" i="9" s="1"/>
  <c r="BN211" i="9"/>
  <c r="BO211" i="9" s="1"/>
  <c r="BP211" i="9" s="1"/>
  <c r="BQ211" i="9" s="1"/>
  <c r="BN210" i="9"/>
  <c r="BO210" i="9" s="1"/>
  <c r="BP210" i="9" s="1"/>
  <c r="BQ210" i="9" s="1"/>
  <c r="BN209" i="9"/>
  <c r="BO209" i="9" s="1"/>
  <c r="BP209" i="9" s="1"/>
  <c r="BN208" i="9"/>
  <c r="BO208" i="9" s="1"/>
  <c r="BP208" i="9" s="1"/>
  <c r="BQ208" i="9" s="1"/>
  <c r="BD208" i="9"/>
  <c r="BE208" i="9" s="1"/>
  <c r="BF208" i="9" s="1"/>
  <c r="BG208" i="9" s="1"/>
  <c r="BN207" i="9"/>
  <c r="BO207" i="9" s="1"/>
  <c r="BP207" i="9" s="1"/>
  <c r="BQ207" i="9" s="1"/>
  <c r="BD207" i="9"/>
  <c r="BE207" i="9" s="1"/>
  <c r="BF207" i="9" s="1"/>
  <c r="BN206" i="9"/>
  <c r="BO206" i="9" s="1"/>
  <c r="BP206" i="9" s="1"/>
  <c r="BQ206" i="9" s="1"/>
  <c r="BD206" i="9"/>
  <c r="BE206" i="9" s="1"/>
  <c r="BF206" i="9" s="1"/>
  <c r="BH206" i="9" s="1"/>
  <c r="BN205" i="9"/>
  <c r="BO205" i="9" s="1"/>
  <c r="BP205" i="9" s="1"/>
  <c r="BR205" i="9" s="1"/>
  <c r="BD205" i="9"/>
  <c r="BE205" i="9" s="1"/>
  <c r="BF205" i="9" s="1"/>
  <c r="BH205" i="9" s="1"/>
  <c r="BN204" i="9"/>
  <c r="BO204" i="9" s="1"/>
  <c r="BP204" i="9" s="1"/>
  <c r="BD204" i="9"/>
  <c r="BE204" i="9" s="1"/>
  <c r="BF204" i="9" s="1"/>
  <c r="BN203" i="9"/>
  <c r="BO203" i="9" s="1"/>
  <c r="BP203" i="9" s="1"/>
  <c r="BQ203" i="9" s="1"/>
  <c r="BD203" i="9"/>
  <c r="BE203" i="9" s="1"/>
  <c r="BF203" i="9" s="1"/>
  <c r="BG203" i="9" s="1"/>
  <c r="BN202" i="9"/>
  <c r="BO202" i="9" s="1"/>
  <c r="BP202" i="9" s="1"/>
  <c r="BR202" i="9" s="1"/>
  <c r="BD202" i="9"/>
  <c r="BE202" i="9" s="1"/>
  <c r="BF202" i="9" s="1"/>
  <c r="BH202" i="9" s="1"/>
  <c r="AT202" i="9"/>
  <c r="AU202" i="9" s="1"/>
  <c r="AV202" i="9" s="1"/>
  <c r="AX202" i="9" s="1"/>
  <c r="BN201" i="9"/>
  <c r="BO201" i="9" s="1"/>
  <c r="BP201" i="9" s="1"/>
  <c r="BR201" i="9" s="1"/>
  <c r="BD201" i="9"/>
  <c r="BE201" i="9" s="1"/>
  <c r="BF201" i="9" s="1"/>
  <c r="BG201" i="9" s="1"/>
  <c r="AT201" i="9"/>
  <c r="AU201" i="9" s="1"/>
  <c r="AV201" i="9" s="1"/>
  <c r="BN200" i="9"/>
  <c r="BO200" i="9" s="1"/>
  <c r="BP200" i="9" s="1"/>
  <c r="BD200" i="9"/>
  <c r="BE200" i="9" s="1"/>
  <c r="BF200" i="9" s="1"/>
  <c r="AT200" i="9"/>
  <c r="AU200" i="9" s="1"/>
  <c r="AV200" i="9" s="1"/>
  <c r="BN199" i="9"/>
  <c r="BO199" i="9" s="1"/>
  <c r="BP199" i="9" s="1"/>
  <c r="BQ199" i="9" s="1"/>
  <c r="BD199" i="9"/>
  <c r="BE199" i="9" s="1"/>
  <c r="BF199" i="9" s="1"/>
  <c r="BH199" i="9" s="1"/>
  <c r="AT199" i="9"/>
  <c r="AU199" i="9" s="1"/>
  <c r="AV199" i="9" s="1"/>
  <c r="AW199" i="9" s="1"/>
  <c r="BN198" i="9"/>
  <c r="BO198" i="9" s="1"/>
  <c r="BP198" i="9" s="1"/>
  <c r="BD198" i="9"/>
  <c r="BE198" i="9" s="1"/>
  <c r="BF198" i="9" s="1"/>
  <c r="BH198" i="9" s="1"/>
  <c r="AT198" i="9"/>
  <c r="AU198" i="9" s="1"/>
  <c r="AV198" i="9" s="1"/>
  <c r="BN197" i="9"/>
  <c r="BO197" i="9" s="1"/>
  <c r="BP197" i="9" s="1"/>
  <c r="BQ197" i="9" s="1"/>
  <c r="BD197" i="9"/>
  <c r="BE197" i="9" s="1"/>
  <c r="BF197" i="9" s="1"/>
  <c r="BG197" i="9" s="1"/>
  <c r="AT197" i="9"/>
  <c r="AU197" i="9" s="1"/>
  <c r="AV197" i="9" s="1"/>
  <c r="AX197" i="9" s="1"/>
  <c r="BN196" i="9"/>
  <c r="BO196" i="9" s="1"/>
  <c r="BP196" i="9" s="1"/>
  <c r="BR196" i="9" s="1"/>
  <c r="BD196" i="9"/>
  <c r="BE196" i="9" s="1"/>
  <c r="BF196" i="9" s="1"/>
  <c r="AT196" i="9"/>
  <c r="AU196" i="9" s="1"/>
  <c r="AV196" i="9" s="1"/>
  <c r="BN195" i="9"/>
  <c r="BO195" i="9" s="1"/>
  <c r="BP195" i="9" s="1"/>
  <c r="BD195" i="9"/>
  <c r="BE195" i="9" s="1"/>
  <c r="BF195" i="9" s="1"/>
  <c r="AT195" i="9"/>
  <c r="AU195" i="9" s="1"/>
  <c r="AV195" i="9" s="1"/>
  <c r="BN194" i="9"/>
  <c r="BO194" i="9" s="1"/>
  <c r="BP194" i="9" s="1"/>
  <c r="BR194" i="9" s="1"/>
  <c r="BD194" i="9"/>
  <c r="BE194" i="9" s="1"/>
  <c r="BF194" i="9" s="1"/>
  <c r="AT194" i="9"/>
  <c r="AU194" i="9" s="1"/>
  <c r="AV194" i="9" s="1"/>
  <c r="BN193" i="9"/>
  <c r="BO193" i="9" s="1"/>
  <c r="BP193" i="9" s="1"/>
  <c r="BD193" i="9"/>
  <c r="BE193" i="9" s="1"/>
  <c r="BF193" i="9" s="1"/>
  <c r="BG193" i="9" s="1"/>
  <c r="AT193" i="9"/>
  <c r="AU193" i="9" s="1"/>
  <c r="AV193" i="9" s="1"/>
  <c r="BN166" i="9"/>
  <c r="BO166" i="9" s="1"/>
  <c r="BP166" i="9" s="1"/>
  <c r="BR166" i="9" s="1"/>
  <c r="BD166" i="9"/>
  <c r="BE166" i="9" s="1"/>
  <c r="BF166" i="9" s="1"/>
  <c r="BG166" i="9" s="1"/>
  <c r="AT166" i="9"/>
  <c r="AU166" i="9" s="1"/>
  <c r="AV166" i="9" s="1"/>
  <c r="AJ166" i="9"/>
  <c r="AK166" i="9" s="1"/>
  <c r="AL166" i="9" s="1"/>
  <c r="AN166" i="9" s="1"/>
  <c r="BN165" i="9"/>
  <c r="BO165" i="9" s="1"/>
  <c r="BP165" i="9" s="1"/>
  <c r="BD165" i="9"/>
  <c r="BE165" i="9" s="1"/>
  <c r="BF165" i="9" s="1"/>
  <c r="BH165" i="9" s="1"/>
  <c r="AT165" i="9"/>
  <c r="AU165" i="9" s="1"/>
  <c r="AV165" i="9" s="1"/>
  <c r="AW165" i="9" s="1"/>
  <c r="AJ165" i="9"/>
  <c r="AK165" i="9" s="1"/>
  <c r="AL165" i="9" s="1"/>
  <c r="AN165" i="9" s="1"/>
  <c r="BN152" i="9"/>
  <c r="BO152" i="9" s="1"/>
  <c r="BP152" i="9" s="1"/>
  <c r="BQ152" i="9" s="1"/>
  <c r="BN151" i="9"/>
  <c r="BO151" i="9" s="1"/>
  <c r="BP151" i="9" s="1"/>
  <c r="BN150" i="9"/>
  <c r="BO150" i="9" s="1"/>
  <c r="BP150" i="9" s="1"/>
  <c r="BN149" i="9"/>
  <c r="BO149" i="9" s="1"/>
  <c r="BP149" i="9" s="1"/>
  <c r="BN148" i="9"/>
  <c r="BO148" i="9" s="1"/>
  <c r="BP148" i="9" s="1"/>
  <c r="BN147" i="9"/>
  <c r="BO147" i="9" s="1"/>
  <c r="BP147" i="9" s="1"/>
  <c r="BN146" i="9"/>
  <c r="BO146" i="9" s="1"/>
  <c r="BP146" i="9" s="1"/>
  <c r="BD146" i="9"/>
  <c r="BE146" i="9" s="1"/>
  <c r="BF146" i="9" s="1"/>
  <c r="BG146" i="9" s="1"/>
  <c r="BN145" i="9"/>
  <c r="BO145" i="9" s="1"/>
  <c r="BP145" i="9" s="1"/>
  <c r="BD145" i="9"/>
  <c r="BE145" i="9" s="1"/>
  <c r="BF145" i="9" s="1"/>
  <c r="BN144" i="9"/>
  <c r="BO144" i="9" s="1"/>
  <c r="BP144" i="9" s="1"/>
  <c r="BD144" i="9"/>
  <c r="BE144" i="9" s="1"/>
  <c r="BF144" i="9" s="1"/>
  <c r="BN143" i="9"/>
  <c r="BO143" i="9" s="1"/>
  <c r="BP143" i="9" s="1"/>
  <c r="BD143" i="9"/>
  <c r="BE143" i="9" s="1"/>
  <c r="BF143" i="9" s="1"/>
  <c r="BN142" i="9"/>
  <c r="BO142" i="9" s="1"/>
  <c r="BP142" i="9" s="1"/>
  <c r="BD142" i="9"/>
  <c r="BE142" i="9" s="1"/>
  <c r="BF142" i="9" s="1"/>
  <c r="BN141" i="9"/>
  <c r="BO141" i="9" s="1"/>
  <c r="BP141" i="9" s="1"/>
  <c r="BR141" i="9" s="1"/>
  <c r="BD141" i="9"/>
  <c r="BE141" i="9" s="1"/>
  <c r="BF141" i="9" s="1"/>
  <c r="BN140" i="9"/>
  <c r="BO140" i="9" s="1"/>
  <c r="BP140" i="9" s="1"/>
  <c r="BQ140" i="9" s="1"/>
  <c r="BD140" i="9"/>
  <c r="BE140" i="9" s="1"/>
  <c r="BF140" i="9" s="1"/>
  <c r="BG140" i="9" s="1"/>
  <c r="AT140" i="9"/>
  <c r="AU140" i="9" s="1"/>
  <c r="AV140" i="9" s="1"/>
  <c r="AX140" i="9" s="1"/>
  <c r="BN139" i="9"/>
  <c r="BO139" i="9" s="1"/>
  <c r="BP139" i="9" s="1"/>
  <c r="BD139" i="9"/>
  <c r="BE139" i="9" s="1"/>
  <c r="BF139" i="9" s="1"/>
  <c r="AT139" i="9"/>
  <c r="AU139" i="9" s="1"/>
  <c r="AV139" i="9" s="1"/>
  <c r="AX139" i="9" s="1"/>
  <c r="BN138" i="9"/>
  <c r="BO138" i="9" s="1"/>
  <c r="BP138" i="9" s="1"/>
  <c r="BR138" i="9" s="1"/>
  <c r="BD138" i="9"/>
  <c r="BE138" i="9" s="1"/>
  <c r="BF138" i="9" s="1"/>
  <c r="AT138" i="9"/>
  <c r="AU138" i="9" s="1"/>
  <c r="AV138" i="9" s="1"/>
  <c r="BN137" i="9"/>
  <c r="BO137" i="9" s="1"/>
  <c r="BP137" i="9" s="1"/>
  <c r="BR137" i="9" s="1"/>
  <c r="BD137" i="9"/>
  <c r="BE137" i="9" s="1"/>
  <c r="BF137" i="9" s="1"/>
  <c r="AT137" i="9"/>
  <c r="AU137" i="9" s="1"/>
  <c r="AV137" i="9" s="1"/>
  <c r="AX137" i="9" s="1"/>
  <c r="BN136" i="9"/>
  <c r="BO136" i="9" s="1"/>
  <c r="BP136" i="9" s="1"/>
  <c r="BD136" i="9"/>
  <c r="BE136" i="9" s="1"/>
  <c r="BF136" i="9" s="1"/>
  <c r="AT136" i="9"/>
  <c r="AU136" i="9" s="1"/>
  <c r="AV136" i="9" s="1"/>
  <c r="BN135" i="9"/>
  <c r="BO135" i="9" s="1"/>
  <c r="BP135" i="9" s="1"/>
  <c r="BD135" i="9"/>
  <c r="BE135" i="9" s="1"/>
  <c r="BF135" i="9" s="1"/>
  <c r="AT135" i="9"/>
  <c r="AU135" i="9" s="1"/>
  <c r="AV135" i="9" s="1"/>
  <c r="AW135" i="9" s="1"/>
  <c r="BN134" i="9"/>
  <c r="BO134" i="9" s="1"/>
  <c r="BP134" i="9" s="1"/>
  <c r="BQ134" i="9" s="1"/>
  <c r="BD134" i="9"/>
  <c r="BE134" i="9" s="1"/>
  <c r="BF134" i="9" s="1"/>
  <c r="BG134" i="9" s="1"/>
  <c r="AT134" i="9"/>
  <c r="AU134" i="9" s="1"/>
  <c r="AV134" i="9" s="1"/>
  <c r="BN133" i="9"/>
  <c r="BO133" i="9" s="1"/>
  <c r="BP133" i="9" s="1"/>
  <c r="BD133" i="9"/>
  <c r="BE133" i="9" s="1"/>
  <c r="BF133" i="9" s="1"/>
  <c r="AT133" i="9"/>
  <c r="AU133" i="9" s="1"/>
  <c r="AV133" i="9" s="1"/>
  <c r="BN132" i="9"/>
  <c r="BO132" i="9" s="1"/>
  <c r="BP132" i="9" s="1"/>
  <c r="BD132" i="9"/>
  <c r="BE132" i="9" s="1"/>
  <c r="BF132" i="9" s="1"/>
  <c r="BH132" i="9" s="1"/>
  <c r="AT132" i="9"/>
  <c r="AU132" i="9" s="1"/>
  <c r="AV132" i="9" s="1"/>
  <c r="BN131" i="9"/>
  <c r="BO131" i="9" s="1"/>
  <c r="BP131" i="9" s="1"/>
  <c r="BD131" i="9"/>
  <c r="BE131" i="9" s="1"/>
  <c r="BF131" i="9" s="1"/>
  <c r="AT131" i="9"/>
  <c r="AU131" i="9" s="1"/>
  <c r="AV131" i="9" s="1"/>
  <c r="BR140" i="9"/>
  <c r="BR199" i="9"/>
  <c r="BQ212" i="9"/>
  <c r="BG206" i="9"/>
  <c r="AM227" i="9"/>
  <c r="BN104" i="9"/>
  <c r="BO104" i="9" s="1"/>
  <c r="BP104" i="9" s="1"/>
  <c r="BN103" i="9"/>
  <c r="BO103" i="9" s="1"/>
  <c r="BP103" i="9" s="1"/>
  <c r="BQ103" i="9" s="1"/>
  <c r="BN86" i="9"/>
  <c r="BO86" i="9" s="1"/>
  <c r="BP86" i="9" s="1"/>
  <c r="BN85" i="9"/>
  <c r="BO85" i="9" s="1"/>
  <c r="BP85" i="9" s="1"/>
  <c r="BQ85" i="9" s="1"/>
  <c r="BN84" i="9"/>
  <c r="BO84" i="9" s="1"/>
  <c r="BP84" i="9" s="1"/>
  <c r="BQ84" i="9" s="1"/>
  <c r="BN83" i="9"/>
  <c r="BO83" i="9" s="1"/>
  <c r="BP83" i="9" s="1"/>
  <c r="BQ83" i="9" s="1"/>
  <c r="BN82" i="9"/>
  <c r="BO82" i="9" s="1"/>
  <c r="BP82" i="9" s="1"/>
  <c r="BR82" i="9" s="1"/>
  <c r="BN81" i="9"/>
  <c r="BO81" i="9" s="1"/>
  <c r="BP81" i="9" s="1"/>
  <c r="BN80" i="9"/>
  <c r="BO80" i="9" s="1"/>
  <c r="BP80" i="9" s="1"/>
  <c r="BN79" i="9"/>
  <c r="BO79" i="9" s="1"/>
  <c r="BP79" i="9" s="1"/>
  <c r="BN78" i="9"/>
  <c r="BO78" i="9" s="1"/>
  <c r="BP78" i="9" s="1"/>
  <c r="BN77" i="9"/>
  <c r="BO77" i="9" s="1"/>
  <c r="BP77" i="9" s="1"/>
  <c r="BN76" i="9"/>
  <c r="BO76" i="9" s="1"/>
  <c r="BP76" i="9" s="1"/>
  <c r="BN75" i="9"/>
  <c r="BO75" i="9" s="1"/>
  <c r="BP75" i="9" s="1"/>
  <c r="BR75" i="9" s="1"/>
  <c r="BN74" i="9"/>
  <c r="BO74" i="9" s="1"/>
  <c r="BP74" i="9" s="1"/>
  <c r="BN73" i="9"/>
  <c r="BO73" i="9" s="1"/>
  <c r="BP73" i="9" s="1"/>
  <c r="BN72" i="9"/>
  <c r="BO72" i="9" s="1"/>
  <c r="BP72" i="9" s="1"/>
  <c r="BN71" i="9"/>
  <c r="BO71" i="9" s="1"/>
  <c r="BP71" i="9" s="1"/>
  <c r="BR71" i="9" s="1"/>
  <c r="BN70" i="9"/>
  <c r="BO70" i="9" s="1"/>
  <c r="BP70" i="9" s="1"/>
  <c r="BQ70" i="9" s="1"/>
  <c r="BN69" i="9"/>
  <c r="BO69" i="9" s="1"/>
  <c r="BP69" i="9" s="1"/>
  <c r="BN42" i="9"/>
  <c r="BO42" i="9" s="1"/>
  <c r="BP42" i="9" s="1"/>
  <c r="BQ42" i="9" s="1"/>
  <c r="BN41" i="9"/>
  <c r="BO41" i="9" s="1"/>
  <c r="BP41" i="9" s="1"/>
  <c r="BQ41" i="9" s="1"/>
  <c r="BN28" i="9"/>
  <c r="BO28" i="9" s="1"/>
  <c r="BP28" i="9" s="1"/>
  <c r="BR28" i="9" s="1"/>
  <c r="BN27" i="9"/>
  <c r="BO27" i="9" s="1"/>
  <c r="BP27" i="9" s="1"/>
  <c r="BN26" i="9"/>
  <c r="BO26" i="9" s="1"/>
  <c r="BP26" i="9" s="1"/>
  <c r="BR26" i="9" s="1"/>
  <c r="BN25" i="9"/>
  <c r="BO25" i="9" s="1"/>
  <c r="BP25" i="9" s="1"/>
  <c r="BQ25" i="9" s="1"/>
  <c r="BN24" i="9"/>
  <c r="BO24" i="9" s="1"/>
  <c r="BP24" i="9" s="1"/>
  <c r="BN23" i="9"/>
  <c r="BO23" i="9" s="1"/>
  <c r="BP23" i="9" s="1"/>
  <c r="BQ23" i="9" s="1"/>
  <c r="BN22" i="9"/>
  <c r="BO22" i="9" s="1"/>
  <c r="BP22" i="9" s="1"/>
  <c r="BR22" i="9" s="1"/>
  <c r="BN21" i="9"/>
  <c r="BO21" i="9" s="1"/>
  <c r="BP21" i="9" s="1"/>
  <c r="BN20" i="9"/>
  <c r="BO20" i="9" s="1"/>
  <c r="BP20" i="9" s="1"/>
  <c r="BN19" i="9"/>
  <c r="BO19" i="9" s="1"/>
  <c r="BP19" i="9" s="1"/>
  <c r="BQ19" i="9" s="1"/>
  <c r="BN18" i="9"/>
  <c r="BO18" i="9" s="1"/>
  <c r="BP18" i="9" s="1"/>
  <c r="BQ18" i="9" s="1"/>
  <c r="BN17" i="9"/>
  <c r="BO17" i="9" s="1"/>
  <c r="BP17" i="9" s="1"/>
  <c r="BR17" i="9" s="1"/>
  <c r="BN16" i="9"/>
  <c r="BO16" i="9" s="1"/>
  <c r="BP16" i="9" s="1"/>
  <c r="BR16" i="9" s="1"/>
  <c r="BN15" i="9"/>
  <c r="BO15" i="9" s="1"/>
  <c r="BP15" i="9" s="1"/>
  <c r="BQ15" i="9" s="1"/>
  <c r="BN14" i="9"/>
  <c r="BO14" i="9" s="1"/>
  <c r="BP14" i="9" s="1"/>
  <c r="BQ14" i="9" s="1"/>
  <c r="BN13" i="9"/>
  <c r="BO13" i="9" s="1"/>
  <c r="BP13" i="9" s="1"/>
  <c r="BN12" i="9"/>
  <c r="BO12" i="9" s="1"/>
  <c r="BP12" i="9" s="1"/>
  <c r="BN11" i="9"/>
  <c r="BO11" i="9" s="1"/>
  <c r="BP11" i="9" s="1"/>
  <c r="BQ11" i="9" s="1"/>
  <c r="BN10" i="9"/>
  <c r="BO10" i="9" s="1"/>
  <c r="BP10" i="9" s="1"/>
  <c r="BR10" i="9" s="1"/>
  <c r="BN9" i="9"/>
  <c r="BO9" i="9" s="1"/>
  <c r="BP9" i="9" s="1"/>
  <c r="BN8" i="9"/>
  <c r="BO8" i="9" s="1"/>
  <c r="BP8" i="9" s="1"/>
  <c r="BN7" i="9"/>
  <c r="BO7" i="9" s="1"/>
  <c r="BP7" i="9" s="1"/>
  <c r="BQ17" i="9"/>
  <c r="J77" i="5"/>
  <c r="L75" i="5" s="1"/>
  <c r="BD487" i="6"/>
  <c r="BD488" i="6"/>
  <c r="BC488" i="6"/>
  <c r="BD489" i="6"/>
  <c r="BC489" i="6"/>
  <c r="BB489" i="6"/>
  <c r="BD490" i="6"/>
  <c r="BC490" i="6"/>
  <c r="BB490" i="6"/>
  <c r="BA490" i="6"/>
  <c r="BD491" i="6"/>
  <c r="BC491" i="6"/>
  <c r="BB491" i="6"/>
  <c r="BA491" i="6"/>
  <c r="AZ491" i="6"/>
  <c r="BD492" i="6"/>
  <c r="BC492" i="6"/>
  <c r="BB492" i="6"/>
  <c r="BA492" i="6"/>
  <c r="AZ492" i="6"/>
  <c r="AY492" i="6"/>
  <c r="BD493" i="6"/>
  <c r="BC493" i="6"/>
  <c r="BB493" i="6"/>
  <c r="BA493" i="6"/>
  <c r="AZ493" i="6"/>
  <c r="AY493" i="6"/>
  <c r="AX493" i="6"/>
  <c r="BD494" i="6"/>
  <c r="BC494" i="6"/>
  <c r="BB494" i="6"/>
  <c r="BA494" i="6"/>
  <c r="AZ494" i="6"/>
  <c r="AY494" i="6"/>
  <c r="AX494" i="6"/>
  <c r="AW494" i="6"/>
  <c r="BD495" i="6"/>
  <c r="BC495" i="6"/>
  <c r="BB495" i="6"/>
  <c r="BA495" i="6"/>
  <c r="AZ495" i="6"/>
  <c r="AY495" i="6"/>
  <c r="AX495" i="6"/>
  <c r="AW495" i="6"/>
  <c r="AV495" i="6"/>
  <c r="BD496" i="6"/>
  <c r="BC496" i="6"/>
  <c r="BB496" i="6"/>
  <c r="BA496" i="6"/>
  <c r="AZ496" i="6"/>
  <c r="AY496" i="6"/>
  <c r="AX496" i="6"/>
  <c r="AW496" i="6"/>
  <c r="AV496" i="6"/>
  <c r="AU496" i="6"/>
  <c r="BD497" i="6"/>
  <c r="BC497" i="6"/>
  <c r="BB497" i="6"/>
  <c r="BA497" i="6"/>
  <c r="AZ497" i="6"/>
  <c r="AY497" i="6"/>
  <c r="AX497" i="6"/>
  <c r="AW497" i="6"/>
  <c r="AV497" i="6"/>
  <c r="AU497" i="6"/>
  <c r="AT497" i="6"/>
  <c r="BD498" i="6"/>
  <c r="BC498" i="6"/>
  <c r="BB498" i="6"/>
  <c r="BA498" i="6"/>
  <c r="AZ498" i="6"/>
  <c r="AY498" i="6"/>
  <c r="AX498" i="6"/>
  <c r="AW498" i="6"/>
  <c r="AV498" i="6"/>
  <c r="AU498" i="6"/>
  <c r="AT498" i="6"/>
  <c r="AS498" i="6"/>
  <c r="BD499" i="6"/>
  <c r="BC499" i="6"/>
  <c r="BB499" i="6"/>
  <c r="BA499" i="6"/>
  <c r="AZ499" i="6"/>
  <c r="AY499" i="6"/>
  <c r="AX499" i="6"/>
  <c r="AW499" i="6"/>
  <c r="AV499" i="6"/>
  <c r="AU499" i="6"/>
  <c r="AT499" i="6"/>
  <c r="AS499" i="6"/>
  <c r="AR499" i="6"/>
  <c r="BD500" i="6"/>
  <c r="BC500" i="6"/>
  <c r="BB500" i="6"/>
  <c r="BA500" i="6"/>
  <c r="AZ500" i="6"/>
  <c r="AY500" i="6"/>
  <c r="AX500" i="6"/>
  <c r="AW500" i="6"/>
  <c r="AV500" i="6"/>
  <c r="AU500" i="6"/>
  <c r="AT500" i="6"/>
  <c r="AS500" i="6"/>
  <c r="AR500" i="6"/>
  <c r="AQ500" i="6"/>
  <c r="BD501" i="6"/>
  <c r="BC501" i="6"/>
  <c r="BB501" i="6"/>
  <c r="BA501" i="6"/>
  <c r="AZ501" i="6"/>
  <c r="AY501" i="6"/>
  <c r="AX501" i="6"/>
  <c r="AW501" i="6"/>
  <c r="AV501" i="6"/>
  <c r="AU501" i="6"/>
  <c r="AT501" i="6"/>
  <c r="AS501" i="6"/>
  <c r="AR501" i="6"/>
  <c r="AQ501" i="6"/>
  <c r="AP501" i="6"/>
  <c r="BD502" i="6"/>
  <c r="BC502" i="6"/>
  <c r="BB502" i="6"/>
  <c r="BA502" i="6"/>
  <c r="AZ502" i="6"/>
  <c r="AY502" i="6"/>
  <c r="AX502" i="6"/>
  <c r="AW502" i="6"/>
  <c r="AV502" i="6"/>
  <c r="AU502" i="6"/>
  <c r="AT502" i="6"/>
  <c r="AS502" i="6"/>
  <c r="AR502" i="6"/>
  <c r="AQ502" i="6"/>
  <c r="AP502" i="6"/>
  <c r="AO502" i="6"/>
  <c r="BD503" i="6"/>
  <c r="BC503" i="6"/>
  <c r="BB503" i="6"/>
  <c r="BA503" i="6"/>
  <c r="AZ503" i="6"/>
  <c r="AY503" i="6"/>
  <c r="AX503" i="6"/>
  <c r="AW503" i="6"/>
  <c r="AV503" i="6"/>
  <c r="AU503" i="6"/>
  <c r="AT503" i="6"/>
  <c r="AS503" i="6"/>
  <c r="AR503" i="6"/>
  <c r="AQ503" i="6"/>
  <c r="AP503" i="6"/>
  <c r="AO503" i="6"/>
  <c r="AN503" i="6"/>
  <c r="F472" i="6"/>
  <c r="G472" i="6"/>
  <c r="G471" i="6"/>
  <c r="F471" i="6"/>
  <c r="AO464" i="6"/>
  <c r="AP464" i="6" s="1"/>
  <c r="AQ464" i="6" s="1"/>
  <c r="AR464" i="6" s="1"/>
  <c r="AS464" i="6" s="1"/>
  <c r="AT464" i="6" s="1"/>
  <c r="AU464" i="6" s="1"/>
  <c r="AV464" i="6" s="1"/>
  <c r="AW464" i="6" s="1"/>
  <c r="AX464" i="6" s="1"/>
  <c r="AY464" i="6" s="1"/>
  <c r="AZ464" i="6" s="1"/>
  <c r="BA464" i="6" s="1"/>
  <c r="BB464" i="6" s="1"/>
  <c r="BC464" i="6" s="1"/>
  <c r="BD464" i="6" s="1"/>
  <c r="AA488" i="6"/>
  <c r="AX476" i="6" s="1"/>
  <c r="AX492" i="6" s="1"/>
  <c r="Z489" i="6"/>
  <c r="AY477" i="6" s="1"/>
  <c r="AY491" i="6" s="1"/>
  <c r="U494" i="6"/>
  <c r="BD482" i="6" s="1"/>
  <c r="BD486" i="6" s="1"/>
  <c r="U493" i="6"/>
  <c r="BC482" i="6" s="1"/>
  <c r="BC486" i="6" s="1"/>
  <c r="U492" i="6"/>
  <c r="BB482" i="6" s="1"/>
  <c r="BB486" i="6" s="1"/>
  <c r="U491" i="6"/>
  <c r="BA482" i="6" s="1"/>
  <c r="BA486" i="6" s="1"/>
  <c r="U490" i="6"/>
  <c r="AZ482" i="6" s="1"/>
  <c r="AZ486" i="6" s="1"/>
  <c r="U489" i="6"/>
  <c r="AY482" i="6" s="1"/>
  <c r="AY486" i="6" s="1"/>
  <c r="U487" i="6"/>
  <c r="AW482" i="6" s="1"/>
  <c r="AW486" i="6" s="1"/>
  <c r="U486" i="6"/>
  <c r="AV482" i="6" s="1"/>
  <c r="AV486" i="6" s="1"/>
  <c r="U485" i="6"/>
  <c r="AU482" i="6" s="1"/>
  <c r="AU486" i="6" s="1"/>
  <c r="U484" i="6"/>
  <c r="AT482" i="6" s="1"/>
  <c r="AT486" i="6" s="1"/>
  <c r="U483" i="6"/>
  <c r="AS482" i="6" s="1"/>
  <c r="AS486" i="6" s="1"/>
  <c r="U482" i="6"/>
  <c r="AR482" i="6" s="1"/>
  <c r="AR486" i="6" s="1"/>
  <c r="U481" i="6"/>
  <c r="AQ482" i="6" s="1"/>
  <c r="AQ486" i="6" s="1"/>
  <c r="V493" i="6"/>
  <c r="BC481" i="6" s="1"/>
  <c r="BC487" i="6" s="1"/>
  <c r="V492" i="6"/>
  <c r="BB481" i="6" s="1"/>
  <c r="BB487" i="6" s="1"/>
  <c r="V491" i="6"/>
  <c r="BA481" i="6" s="1"/>
  <c r="BA487" i="6" s="1"/>
  <c r="V490" i="6"/>
  <c r="AZ481" i="6" s="1"/>
  <c r="AZ487" i="6" s="1"/>
  <c r="V489" i="6"/>
  <c r="AY481" i="6" s="1"/>
  <c r="AY487" i="6" s="1"/>
  <c r="V488" i="6"/>
  <c r="AX481" i="6" s="1"/>
  <c r="AX487" i="6" s="1"/>
  <c r="V487" i="6"/>
  <c r="AW481" i="6" s="1"/>
  <c r="AW487" i="6" s="1"/>
  <c r="V486" i="6"/>
  <c r="AV481" i="6" s="1"/>
  <c r="AV487" i="6" s="1"/>
  <c r="V485" i="6"/>
  <c r="AU481" i="6" s="1"/>
  <c r="AU487" i="6" s="1"/>
  <c r="V484" i="6"/>
  <c r="AT481" i="6" s="1"/>
  <c r="AT487" i="6" s="1"/>
  <c r="V483" i="6"/>
  <c r="AS481" i="6" s="1"/>
  <c r="AS487" i="6" s="1"/>
  <c r="V482" i="6"/>
  <c r="AR481" i="6" s="1"/>
  <c r="AR487" i="6" s="1"/>
  <c r="V481" i="6"/>
  <c r="AQ481" i="6" s="1"/>
  <c r="AQ487" i="6" s="1"/>
  <c r="W492" i="6"/>
  <c r="BB480" i="6" s="1"/>
  <c r="BB488" i="6" s="1"/>
  <c r="W491" i="6"/>
  <c r="BA480" i="6" s="1"/>
  <c r="BA488" i="6" s="1"/>
  <c r="W490" i="6"/>
  <c r="AZ480" i="6" s="1"/>
  <c r="AZ488" i="6" s="1"/>
  <c r="W489" i="6"/>
  <c r="AY480" i="6" s="1"/>
  <c r="AY488" i="6" s="1"/>
  <c r="W488" i="6"/>
  <c r="AX480" i="6" s="1"/>
  <c r="AX488" i="6" s="1"/>
  <c r="W486" i="6"/>
  <c r="AV480" i="6" s="1"/>
  <c r="AV488" i="6" s="1"/>
  <c r="W485" i="6"/>
  <c r="AU480" i="6" s="1"/>
  <c r="AU488" i="6" s="1"/>
  <c r="W484" i="6"/>
  <c r="AT480" i="6" s="1"/>
  <c r="AT488" i="6" s="1"/>
  <c r="W483" i="6"/>
  <c r="AS480" i="6" s="1"/>
  <c r="AS488" i="6" s="1"/>
  <c r="W482" i="6"/>
  <c r="AR480" i="6" s="1"/>
  <c r="AR488" i="6" s="1"/>
  <c r="W481" i="6"/>
  <c r="AQ480" i="6" s="1"/>
  <c r="AQ488" i="6" s="1"/>
  <c r="X491" i="6"/>
  <c r="BA479" i="6" s="1"/>
  <c r="BA489" i="6" s="1"/>
  <c r="X490" i="6"/>
  <c r="AZ479" i="6" s="1"/>
  <c r="AZ489" i="6" s="1"/>
  <c r="X489" i="6"/>
  <c r="AY479" i="6" s="1"/>
  <c r="AY489" i="6" s="1"/>
  <c r="X488" i="6"/>
  <c r="AX479" i="6" s="1"/>
  <c r="AX489" i="6" s="1"/>
  <c r="X487" i="6"/>
  <c r="AW479" i="6" s="1"/>
  <c r="AW489" i="6" s="1"/>
  <c r="X486" i="6"/>
  <c r="AV479" i="6" s="1"/>
  <c r="AV489" i="6" s="1"/>
  <c r="X485" i="6"/>
  <c r="AU479" i="6" s="1"/>
  <c r="AU489" i="6" s="1"/>
  <c r="X484" i="6"/>
  <c r="AT479" i="6" s="1"/>
  <c r="AT489" i="6" s="1"/>
  <c r="X483" i="6"/>
  <c r="AS479" i="6" s="1"/>
  <c r="AS489" i="6" s="1"/>
  <c r="X482" i="6"/>
  <c r="AR479" i="6" s="1"/>
  <c r="AR489" i="6" s="1"/>
  <c r="X481" i="6"/>
  <c r="AQ479" i="6" s="1"/>
  <c r="AQ489" i="6" s="1"/>
  <c r="Y490" i="6"/>
  <c r="AZ478" i="6" s="1"/>
  <c r="AZ490" i="6" s="1"/>
  <c r="Y489" i="6"/>
  <c r="AY478" i="6" s="1"/>
  <c r="AY490" i="6" s="1"/>
  <c r="Y488" i="6"/>
  <c r="AX478" i="6" s="1"/>
  <c r="AX490" i="6" s="1"/>
  <c r="Y487" i="6"/>
  <c r="AW478" i="6" s="1"/>
  <c r="AW490" i="6" s="1"/>
  <c r="Y485" i="6"/>
  <c r="AU478" i="6" s="1"/>
  <c r="AU490" i="6" s="1"/>
  <c r="Y484" i="6"/>
  <c r="AT478" i="6" s="1"/>
  <c r="AT490" i="6" s="1"/>
  <c r="Y483" i="6"/>
  <c r="AS478" i="6" s="1"/>
  <c r="AS490" i="6" s="1"/>
  <c r="Y482" i="6"/>
  <c r="AR478" i="6" s="1"/>
  <c r="AR490" i="6" s="1"/>
  <c r="Y481" i="6"/>
  <c r="AQ478" i="6" s="1"/>
  <c r="AQ490" i="6" s="1"/>
  <c r="Z488" i="6"/>
  <c r="AX477" i="6" s="1"/>
  <c r="AX491" i="6" s="1"/>
  <c r="Z487" i="6"/>
  <c r="AW477" i="6" s="1"/>
  <c r="AW491" i="6" s="1"/>
  <c r="Z486" i="6"/>
  <c r="AV477" i="6" s="1"/>
  <c r="AV491" i="6" s="1"/>
  <c r="Z485" i="6"/>
  <c r="AU477" i="6" s="1"/>
  <c r="AU491" i="6" s="1"/>
  <c r="Z484" i="6"/>
  <c r="AT477" i="6" s="1"/>
  <c r="AT491" i="6" s="1"/>
  <c r="Z483" i="6"/>
  <c r="AS477" i="6" s="1"/>
  <c r="AS491" i="6" s="1"/>
  <c r="Z482" i="6"/>
  <c r="AR477" i="6" s="1"/>
  <c r="AR491" i="6" s="1"/>
  <c r="Z481" i="6"/>
  <c r="AQ477" i="6" s="1"/>
  <c r="AQ491" i="6" s="1"/>
  <c r="AA487" i="6"/>
  <c r="AW476" i="6" s="1"/>
  <c r="AW492" i="6" s="1"/>
  <c r="AA486" i="6"/>
  <c r="AV476" i="6" s="1"/>
  <c r="AV492" i="6" s="1"/>
  <c r="AA484" i="6"/>
  <c r="AT476" i="6" s="1"/>
  <c r="AT492" i="6" s="1"/>
  <c r="AA483" i="6"/>
  <c r="AS476" i="6" s="1"/>
  <c r="AS492" i="6" s="1"/>
  <c r="AA482" i="6"/>
  <c r="AR476" i="6" s="1"/>
  <c r="AR492" i="6" s="1"/>
  <c r="AA481" i="6"/>
  <c r="AQ476" i="6" s="1"/>
  <c r="AQ492" i="6" s="1"/>
  <c r="AB487" i="6"/>
  <c r="AW475" i="6" s="1"/>
  <c r="AW493" i="6" s="1"/>
  <c r="AB486" i="6"/>
  <c r="AV475" i="6" s="1"/>
  <c r="AV493" i="6" s="1"/>
  <c r="AB485" i="6"/>
  <c r="AU475" i="6" s="1"/>
  <c r="AU493" i="6" s="1"/>
  <c r="AB484" i="6"/>
  <c r="AT475" i="6" s="1"/>
  <c r="AT493" i="6" s="1"/>
  <c r="AB483" i="6"/>
  <c r="AS475" i="6" s="1"/>
  <c r="AS493" i="6" s="1"/>
  <c r="AB482" i="6"/>
  <c r="AR475" i="6" s="1"/>
  <c r="AR493" i="6" s="1"/>
  <c r="AB481" i="6"/>
  <c r="AQ475" i="6" s="1"/>
  <c r="AQ493" i="6" s="1"/>
  <c r="AC486" i="6"/>
  <c r="AV474" i="6" s="1"/>
  <c r="AV494" i="6" s="1"/>
  <c r="AC485" i="6"/>
  <c r="AU474" i="6" s="1"/>
  <c r="AU494" i="6" s="1"/>
  <c r="AC483" i="6"/>
  <c r="AS474" i="6" s="1"/>
  <c r="AS494" i="6" s="1"/>
  <c r="AC482" i="6"/>
  <c r="AR474" i="6" s="1"/>
  <c r="AR494" i="6" s="1"/>
  <c r="AC481" i="6"/>
  <c r="AQ474" i="6" s="1"/>
  <c r="AQ494" i="6" s="1"/>
  <c r="AD485" i="6"/>
  <c r="AU473" i="6" s="1"/>
  <c r="AU495" i="6" s="1"/>
  <c r="AD484" i="6"/>
  <c r="AT473" i="6" s="1"/>
  <c r="AT495" i="6" s="1"/>
  <c r="AD483" i="6"/>
  <c r="AS473" i="6" s="1"/>
  <c r="AS495" i="6" s="1"/>
  <c r="AD482" i="6"/>
  <c r="AR473" i="6" s="1"/>
  <c r="AR495" i="6" s="1"/>
  <c r="AD481" i="6"/>
  <c r="AQ473" i="6" s="1"/>
  <c r="AQ495" i="6" s="1"/>
  <c r="AE484" i="6"/>
  <c r="AT472" i="6" s="1"/>
  <c r="AT496" i="6" s="1"/>
  <c r="AE482" i="6"/>
  <c r="AR472" i="6" s="1"/>
  <c r="AR496" i="6" s="1"/>
  <c r="AE481" i="6"/>
  <c r="AQ472" i="6" s="1"/>
  <c r="AQ496" i="6" s="1"/>
  <c r="AF483" i="6"/>
  <c r="AS471" i="6" s="1"/>
  <c r="AS497" i="6" s="1"/>
  <c r="AF482" i="6"/>
  <c r="AR471" i="6" s="1"/>
  <c r="AR497" i="6" s="1"/>
  <c r="AF481" i="6"/>
  <c r="AQ471" i="6" s="1"/>
  <c r="AQ497" i="6" s="1"/>
  <c r="AE483" i="6"/>
  <c r="AS472" i="6" s="1"/>
  <c r="AS496" i="6" s="1"/>
  <c r="AA485" i="6"/>
  <c r="AU476" i="6" s="1"/>
  <c r="AU492" i="6" s="1"/>
  <c r="AC484" i="6"/>
  <c r="AT474" i="6" s="1"/>
  <c r="AT494" i="6" s="1"/>
  <c r="U488" i="6"/>
  <c r="AX482" i="6" s="1"/>
  <c r="AX486" i="6" s="1"/>
  <c r="W487" i="6"/>
  <c r="AW480" i="6" s="1"/>
  <c r="AW488" i="6" s="1"/>
  <c r="Y486" i="6"/>
  <c r="AV478" i="6" s="1"/>
  <c r="AV490" i="6" s="1"/>
  <c r="U480" i="6"/>
  <c r="AP482" i="6" s="1"/>
  <c r="AP486" i="6" s="1"/>
  <c r="V480" i="6"/>
  <c r="AP481" i="6" s="1"/>
  <c r="AP487" i="6" s="1"/>
  <c r="W480" i="6"/>
  <c r="AP480" i="6" s="1"/>
  <c r="AP488" i="6" s="1"/>
  <c r="X480" i="6"/>
  <c r="AP479" i="6" s="1"/>
  <c r="AP489" i="6" s="1"/>
  <c r="Y480" i="6"/>
  <c r="AP478" i="6" s="1"/>
  <c r="AP490" i="6" s="1"/>
  <c r="Z480" i="6"/>
  <c r="AP477" i="6" s="1"/>
  <c r="AP491" i="6" s="1"/>
  <c r="AA480" i="6"/>
  <c r="AP476" i="6" s="1"/>
  <c r="AP492" i="6" s="1"/>
  <c r="AB480" i="6"/>
  <c r="AP475" i="6" s="1"/>
  <c r="AP493" i="6" s="1"/>
  <c r="AC480" i="6"/>
  <c r="AP474" i="6" s="1"/>
  <c r="AP494" i="6" s="1"/>
  <c r="AD480" i="6"/>
  <c r="AP473" i="6" s="1"/>
  <c r="AP495" i="6" s="1"/>
  <c r="AE480" i="6"/>
  <c r="AP472" i="6" s="1"/>
  <c r="AP496" i="6" s="1"/>
  <c r="AF480" i="6"/>
  <c r="AP471" i="6" s="1"/>
  <c r="AP497" i="6" s="1"/>
  <c r="U479" i="6"/>
  <c r="AO482" i="6" s="1"/>
  <c r="AO486" i="6" s="1"/>
  <c r="V479" i="6"/>
  <c r="AO481" i="6" s="1"/>
  <c r="AO487" i="6" s="1"/>
  <c r="W479" i="6"/>
  <c r="AO480" i="6" s="1"/>
  <c r="AO488" i="6" s="1"/>
  <c r="X479" i="6"/>
  <c r="AO479" i="6" s="1"/>
  <c r="AO489" i="6" s="1"/>
  <c r="Y479" i="6"/>
  <c r="AO478" i="6" s="1"/>
  <c r="AO490" i="6" s="1"/>
  <c r="Z479" i="6"/>
  <c r="AO477" i="6" s="1"/>
  <c r="AO491" i="6" s="1"/>
  <c r="AA479" i="6"/>
  <c r="AO476" i="6" s="1"/>
  <c r="AO492" i="6" s="1"/>
  <c r="AB479" i="6"/>
  <c r="AO475" i="6" s="1"/>
  <c r="AO493" i="6" s="1"/>
  <c r="AC479" i="6"/>
  <c r="AO474" i="6" s="1"/>
  <c r="AO494" i="6" s="1"/>
  <c r="AD479" i="6"/>
  <c r="AO473" i="6" s="1"/>
  <c r="AO495" i="6" s="1"/>
  <c r="AE479" i="6"/>
  <c r="AO472" i="6" s="1"/>
  <c r="AO496" i="6" s="1"/>
  <c r="AF479" i="6"/>
  <c r="AO471" i="6" s="1"/>
  <c r="AO497" i="6" s="1"/>
  <c r="AG482" i="6"/>
  <c r="AR470" i="6" s="1"/>
  <c r="AR498" i="6" s="1"/>
  <c r="AG481" i="6"/>
  <c r="AQ470" i="6" s="1"/>
  <c r="AQ498" i="6" s="1"/>
  <c r="AG480" i="6"/>
  <c r="AP470" i="6" s="1"/>
  <c r="AP498" i="6" s="1"/>
  <c r="AH481" i="6"/>
  <c r="AQ469" i="6" s="1"/>
  <c r="AQ499" i="6" s="1"/>
  <c r="AH480" i="6"/>
  <c r="AP469" i="6" s="1"/>
  <c r="AP499" i="6" s="1"/>
  <c r="AI480" i="6"/>
  <c r="AP468" i="6" s="1"/>
  <c r="AP500" i="6" s="1"/>
  <c r="AI479" i="6"/>
  <c r="AO468" i="6" s="1"/>
  <c r="AO500" i="6" s="1"/>
  <c r="AG479" i="6"/>
  <c r="AO470" i="6" s="1"/>
  <c r="AO498" i="6" s="1"/>
  <c r="AH479" i="6"/>
  <c r="AO469" i="6" s="1"/>
  <c r="AO499" i="6" s="1"/>
  <c r="AJ479" i="6"/>
  <c r="AO467" i="6" s="1"/>
  <c r="AO501" i="6" s="1"/>
  <c r="U478" i="6"/>
  <c r="AN482" i="6" s="1"/>
  <c r="AN486" i="6" s="1"/>
  <c r="V478" i="6"/>
  <c r="AN481" i="6" s="1"/>
  <c r="AN487" i="6" s="1"/>
  <c r="W478" i="6"/>
  <c r="AN480" i="6" s="1"/>
  <c r="AN488" i="6" s="1"/>
  <c r="X478" i="6"/>
  <c r="AN479" i="6" s="1"/>
  <c r="AN489" i="6" s="1"/>
  <c r="Y478" i="6"/>
  <c r="AN478" i="6" s="1"/>
  <c r="AN490" i="6" s="1"/>
  <c r="Z478" i="6"/>
  <c r="AN477" i="6" s="1"/>
  <c r="AN491" i="6" s="1"/>
  <c r="AA478" i="6"/>
  <c r="AN476" i="6" s="1"/>
  <c r="AN492" i="6" s="1"/>
  <c r="AB478" i="6"/>
  <c r="AN475" i="6" s="1"/>
  <c r="AN493" i="6" s="1"/>
  <c r="AC478" i="6"/>
  <c r="AN474" i="6" s="1"/>
  <c r="AN494" i="6" s="1"/>
  <c r="AD478" i="6"/>
  <c r="AN473" i="6" s="1"/>
  <c r="AN495" i="6" s="1"/>
  <c r="AE478" i="6"/>
  <c r="AN472" i="6" s="1"/>
  <c r="AN496" i="6" s="1"/>
  <c r="AF478" i="6"/>
  <c r="AN471" i="6" s="1"/>
  <c r="AN497" i="6" s="1"/>
  <c r="AG478" i="6"/>
  <c r="AN470" i="6" s="1"/>
  <c r="AN498" i="6" s="1"/>
  <c r="AH478" i="6"/>
  <c r="AN469" i="6" s="1"/>
  <c r="AN499" i="6" s="1"/>
  <c r="AI478" i="6"/>
  <c r="AN468" i="6" s="1"/>
  <c r="AN500" i="6" s="1"/>
  <c r="AJ478" i="6"/>
  <c r="AN467" i="6" s="1"/>
  <c r="AN501" i="6" s="1"/>
  <c r="AK478" i="6"/>
  <c r="AN466" i="6" s="1"/>
  <c r="AN502" i="6" s="1"/>
  <c r="A479" i="6"/>
  <c r="A480" i="6" s="1"/>
  <c r="A481" i="6" s="1"/>
  <c r="A482" i="6" s="1"/>
  <c r="A483" i="6" s="1"/>
  <c r="A484" i="6" s="1"/>
  <c r="A485" i="6" s="1"/>
  <c r="A486" i="6" s="1"/>
  <c r="A487" i="6" s="1"/>
  <c r="A488" i="6" s="1"/>
  <c r="A489" i="6" s="1"/>
  <c r="A490" i="6" s="1"/>
  <c r="A491" i="6" s="1"/>
  <c r="A492" i="6" s="1"/>
  <c r="A493" i="6" s="1"/>
  <c r="A494" i="6" s="1"/>
  <c r="S62" i="5"/>
  <c r="S61" i="5"/>
  <c r="A68" i="5"/>
  <c r="B64" i="5"/>
  <c r="AA92" i="6"/>
  <c r="O92" i="6"/>
  <c r="AA47" i="6"/>
  <c r="O47" i="6"/>
  <c r="C92" i="6"/>
  <c r="C47" i="6"/>
  <c r="AL121" i="6"/>
  <c r="AK121" i="6"/>
  <c r="AJ121" i="6"/>
  <c r="AI121" i="6"/>
  <c r="AH121" i="6"/>
  <c r="AG121" i="6"/>
  <c r="AF121" i="6"/>
  <c r="AE121" i="6"/>
  <c r="AD121" i="6"/>
  <c r="AC121" i="6"/>
  <c r="AB121" i="6"/>
  <c r="AA121" i="6"/>
  <c r="Z121" i="6"/>
  <c r="Y121" i="6"/>
  <c r="X121" i="6"/>
  <c r="W121" i="6"/>
  <c r="V121" i="6"/>
  <c r="U121" i="6"/>
  <c r="T121" i="6"/>
  <c r="S121" i="6"/>
  <c r="R121" i="6"/>
  <c r="Q121" i="6"/>
  <c r="P121" i="6"/>
  <c r="B452" i="6" s="1"/>
  <c r="E452" i="6" s="1"/>
  <c r="O121" i="6"/>
  <c r="N121" i="6"/>
  <c r="M121" i="6"/>
  <c r="L121" i="6"/>
  <c r="K121" i="6"/>
  <c r="J121" i="6"/>
  <c r="I121" i="6"/>
  <c r="H121" i="6"/>
  <c r="G121" i="6"/>
  <c r="F121" i="6"/>
  <c r="E121" i="6"/>
  <c r="D121" i="6"/>
  <c r="C121" i="6"/>
  <c r="AL120" i="6"/>
  <c r="AK120" i="6"/>
  <c r="AJ120" i="6"/>
  <c r="AI120" i="6"/>
  <c r="AH120" i="6"/>
  <c r="AG120" i="6"/>
  <c r="AF120" i="6"/>
  <c r="AE120" i="6"/>
  <c r="AD120" i="6"/>
  <c r="AC120" i="6"/>
  <c r="AB120" i="6"/>
  <c r="AA120" i="6"/>
  <c r="Z120" i="6"/>
  <c r="Y120" i="6"/>
  <c r="X120" i="6"/>
  <c r="W120" i="6"/>
  <c r="V120" i="6"/>
  <c r="U120" i="6"/>
  <c r="T120" i="6"/>
  <c r="S120" i="6"/>
  <c r="R120" i="6"/>
  <c r="Q120" i="6"/>
  <c r="B451" i="6" s="1"/>
  <c r="E451" i="6" s="1"/>
  <c r="P120" i="6"/>
  <c r="O120" i="6"/>
  <c r="N120" i="6"/>
  <c r="M120" i="6"/>
  <c r="L120" i="6"/>
  <c r="K120" i="6"/>
  <c r="J120" i="6"/>
  <c r="I120" i="6"/>
  <c r="H120" i="6"/>
  <c r="G120" i="6"/>
  <c r="F120" i="6"/>
  <c r="E120" i="6"/>
  <c r="D120" i="6"/>
  <c r="C120" i="6"/>
  <c r="AL119" i="6"/>
  <c r="AK119" i="6"/>
  <c r="AJ119" i="6"/>
  <c r="AI119" i="6"/>
  <c r="AH119" i="6"/>
  <c r="AG119" i="6"/>
  <c r="AF119" i="6"/>
  <c r="AE119" i="6"/>
  <c r="AD119" i="6"/>
  <c r="AC119" i="6"/>
  <c r="AB119" i="6"/>
  <c r="AA119" i="6"/>
  <c r="Z119" i="6"/>
  <c r="Y119" i="6"/>
  <c r="X119" i="6"/>
  <c r="W119" i="6"/>
  <c r="V119" i="6"/>
  <c r="U119" i="6"/>
  <c r="T119" i="6"/>
  <c r="S119" i="6"/>
  <c r="R119" i="6"/>
  <c r="B450" i="6" s="1"/>
  <c r="E450" i="6" s="1"/>
  <c r="Q119" i="6"/>
  <c r="P119" i="6"/>
  <c r="O119" i="6"/>
  <c r="N119" i="6"/>
  <c r="M119" i="6"/>
  <c r="L119" i="6"/>
  <c r="K119" i="6"/>
  <c r="J119" i="6"/>
  <c r="I119" i="6"/>
  <c r="H119" i="6"/>
  <c r="G119" i="6"/>
  <c r="F119" i="6"/>
  <c r="E119" i="6"/>
  <c r="D119" i="6"/>
  <c r="C119" i="6"/>
  <c r="AL118" i="6"/>
  <c r="AK118" i="6"/>
  <c r="AJ118" i="6"/>
  <c r="AI118" i="6"/>
  <c r="AH118" i="6"/>
  <c r="AG118" i="6"/>
  <c r="AF118" i="6"/>
  <c r="AE118" i="6"/>
  <c r="AD118" i="6"/>
  <c r="AC118" i="6"/>
  <c r="AB118" i="6"/>
  <c r="AA118" i="6"/>
  <c r="Z118" i="6"/>
  <c r="Y118" i="6"/>
  <c r="X118" i="6"/>
  <c r="W118" i="6"/>
  <c r="V118" i="6"/>
  <c r="U118" i="6"/>
  <c r="T118" i="6"/>
  <c r="S118" i="6"/>
  <c r="B449" i="6" s="1"/>
  <c r="E449" i="6" s="1"/>
  <c r="R118" i="6"/>
  <c r="Q118" i="6"/>
  <c r="P118" i="6"/>
  <c r="O118" i="6"/>
  <c r="N118" i="6"/>
  <c r="M118" i="6"/>
  <c r="L118" i="6"/>
  <c r="K118" i="6"/>
  <c r="J118" i="6"/>
  <c r="I118" i="6"/>
  <c r="H118" i="6"/>
  <c r="G118" i="6"/>
  <c r="F118" i="6"/>
  <c r="E118" i="6"/>
  <c r="D118" i="6"/>
  <c r="C118" i="6"/>
  <c r="AL117" i="6"/>
  <c r="AK117" i="6"/>
  <c r="AJ117" i="6"/>
  <c r="AI117" i="6"/>
  <c r="AH117" i="6"/>
  <c r="AG117" i="6"/>
  <c r="AF117" i="6"/>
  <c r="AE117" i="6"/>
  <c r="AD117" i="6"/>
  <c r="AC117" i="6"/>
  <c r="AB117" i="6"/>
  <c r="AA117" i="6"/>
  <c r="Z117" i="6"/>
  <c r="Y117" i="6"/>
  <c r="X117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K117" i="6"/>
  <c r="J117" i="6"/>
  <c r="I117" i="6"/>
  <c r="H117" i="6"/>
  <c r="G117" i="6"/>
  <c r="F117" i="6"/>
  <c r="E117" i="6"/>
  <c r="D117" i="6"/>
  <c r="C117" i="6"/>
  <c r="AL116" i="6"/>
  <c r="AK116" i="6"/>
  <c r="AJ116" i="6"/>
  <c r="AI116" i="6"/>
  <c r="AH116" i="6"/>
  <c r="AG116" i="6"/>
  <c r="AF116" i="6"/>
  <c r="AE116" i="6"/>
  <c r="AD116" i="6"/>
  <c r="AC116" i="6"/>
  <c r="AB116" i="6"/>
  <c r="AA116" i="6"/>
  <c r="Z116" i="6"/>
  <c r="Y116" i="6"/>
  <c r="X116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K116" i="6"/>
  <c r="J116" i="6"/>
  <c r="I116" i="6"/>
  <c r="H116" i="6"/>
  <c r="G116" i="6"/>
  <c r="F116" i="6"/>
  <c r="E116" i="6"/>
  <c r="D116" i="6"/>
  <c r="C116" i="6"/>
  <c r="AL115" i="6"/>
  <c r="AK115" i="6"/>
  <c r="AJ115" i="6"/>
  <c r="AI115" i="6"/>
  <c r="AH115" i="6"/>
  <c r="AG115" i="6"/>
  <c r="AF115" i="6"/>
  <c r="AE115" i="6"/>
  <c r="AD115" i="6"/>
  <c r="AC115" i="6"/>
  <c r="AB115" i="6"/>
  <c r="AA115" i="6"/>
  <c r="Z115" i="6"/>
  <c r="Y115" i="6"/>
  <c r="X115" i="6"/>
  <c r="W115" i="6"/>
  <c r="V115" i="6"/>
  <c r="B446" i="6" s="1"/>
  <c r="E446" i="6" s="1"/>
  <c r="U115" i="6"/>
  <c r="T115" i="6"/>
  <c r="S115" i="6"/>
  <c r="R115" i="6"/>
  <c r="Q115" i="6"/>
  <c r="P115" i="6"/>
  <c r="O115" i="6"/>
  <c r="N115" i="6"/>
  <c r="M115" i="6"/>
  <c r="L115" i="6"/>
  <c r="K115" i="6"/>
  <c r="J115" i="6"/>
  <c r="I115" i="6"/>
  <c r="H115" i="6"/>
  <c r="G115" i="6"/>
  <c r="F115" i="6"/>
  <c r="E115" i="6"/>
  <c r="D115" i="6"/>
  <c r="C115" i="6"/>
  <c r="AI114" i="6"/>
  <c r="AH114" i="6"/>
  <c r="AG114" i="6"/>
  <c r="AF114" i="6"/>
  <c r="AE114" i="6"/>
  <c r="AD114" i="6"/>
  <c r="AC114" i="6"/>
  <c r="AB114" i="6"/>
  <c r="AA114" i="6"/>
  <c r="Z114" i="6"/>
  <c r="Y114" i="6"/>
  <c r="X114" i="6"/>
  <c r="W114" i="6"/>
  <c r="B445" i="6" s="1"/>
  <c r="E445" i="6" s="1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C114" i="6"/>
  <c r="AI113" i="6"/>
  <c r="AH113" i="6"/>
  <c r="AG113" i="6"/>
  <c r="AF113" i="6"/>
  <c r="AE113" i="6"/>
  <c r="AD113" i="6"/>
  <c r="AC113" i="6"/>
  <c r="AB113" i="6"/>
  <c r="AA113" i="6"/>
  <c r="Z113" i="6"/>
  <c r="Y113" i="6"/>
  <c r="X113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K113" i="6"/>
  <c r="J113" i="6"/>
  <c r="I113" i="6"/>
  <c r="H113" i="6"/>
  <c r="G113" i="6"/>
  <c r="F113" i="6"/>
  <c r="E113" i="6"/>
  <c r="D113" i="6"/>
  <c r="C113" i="6"/>
  <c r="AI112" i="6"/>
  <c r="AH112" i="6"/>
  <c r="AG112" i="6"/>
  <c r="AF112" i="6"/>
  <c r="AE112" i="6"/>
  <c r="AD112" i="6"/>
  <c r="AC112" i="6"/>
  <c r="AB112" i="6"/>
  <c r="AA112" i="6"/>
  <c r="Z112" i="6"/>
  <c r="Y112" i="6"/>
  <c r="B443" i="6" s="1"/>
  <c r="E443" i="6" s="1"/>
  <c r="X112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K112" i="6"/>
  <c r="J112" i="6"/>
  <c r="I112" i="6"/>
  <c r="H112" i="6"/>
  <c r="G112" i="6"/>
  <c r="F112" i="6"/>
  <c r="E112" i="6"/>
  <c r="D112" i="6"/>
  <c r="C112" i="6"/>
  <c r="AL111" i="6"/>
  <c r="AK111" i="6"/>
  <c r="AJ111" i="6"/>
  <c r="AI111" i="6"/>
  <c r="AH111" i="6"/>
  <c r="AG111" i="6"/>
  <c r="AF111" i="6"/>
  <c r="AE111" i="6"/>
  <c r="AD111" i="6"/>
  <c r="AC111" i="6"/>
  <c r="AB111" i="6"/>
  <c r="AA111" i="6"/>
  <c r="Z111" i="6"/>
  <c r="Y111" i="6"/>
  <c r="X111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K111" i="6"/>
  <c r="J111" i="6"/>
  <c r="I111" i="6"/>
  <c r="H111" i="6"/>
  <c r="G111" i="6"/>
  <c r="F111" i="6"/>
  <c r="E111" i="6"/>
  <c r="D111" i="6"/>
  <c r="C111" i="6"/>
  <c r="AL110" i="6"/>
  <c r="AK110" i="6"/>
  <c r="AJ110" i="6"/>
  <c r="AI110" i="6"/>
  <c r="AH110" i="6"/>
  <c r="AG110" i="6"/>
  <c r="AF110" i="6"/>
  <c r="AE110" i="6"/>
  <c r="AD110" i="6"/>
  <c r="AC110" i="6"/>
  <c r="AB110" i="6"/>
  <c r="AA110" i="6"/>
  <c r="Z110" i="6"/>
  <c r="Y110" i="6"/>
  <c r="X110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K110" i="6"/>
  <c r="J110" i="6"/>
  <c r="I110" i="6"/>
  <c r="H110" i="6"/>
  <c r="G110" i="6"/>
  <c r="F110" i="6"/>
  <c r="E110" i="6"/>
  <c r="D110" i="6"/>
  <c r="C110" i="6"/>
  <c r="AL109" i="6"/>
  <c r="AK109" i="6"/>
  <c r="AJ109" i="6"/>
  <c r="AI109" i="6"/>
  <c r="AH109" i="6"/>
  <c r="AG109" i="6"/>
  <c r="AF109" i="6"/>
  <c r="AE109" i="6"/>
  <c r="AD109" i="6"/>
  <c r="AC109" i="6"/>
  <c r="AB109" i="6"/>
  <c r="AA109" i="6"/>
  <c r="Z109" i="6"/>
  <c r="Y109" i="6"/>
  <c r="X109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K109" i="6"/>
  <c r="J109" i="6"/>
  <c r="I109" i="6"/>
  <c r="H109" i="6"/>
  <c r="G109" i="6"/>
  <c r="F109" i="6"/>
  <c r="E109" i="6"/>
  <c r="D109" i="6"/>
  <c r="C109" i="6"/>
  <c r="AL108" i="6"/>
  <c r="AK108" i="6"/>
  <c r="AJ108" i="6"/>
  <c r="AI108" i="6"/>
  <c r="AH108" i="6"/>
  <c r="AG108" i="6"/>
  <c r="AF108" i="6"/>
  <c r="AE108" i="6"/>
  <c r="AD108" i="6"/>
  <c r="AC108" i="6"/>
  <c r="AB108" i="6"/>
  <c r="AA108" i="6"/>
  <c r="Z108" i="6"/>
  <c r="Y108" i="6"/>
  <c r="X108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K108" i="6"/>
  <c r="J108" i="6"/>
  <c r="I108" i="6"/>
  <c r="H108" i="6"/>
  <c r="G108" i="6"/>
  <c r="F108" i="6"/>
  <c r="E108" i="6"/>
  <c r="D108" i="6"/>
  <c r="C108" i="6"/>
  <c r="AL107" i="6"/>
  <c r="AK107" i="6"/>
  <c r="AJ107" i="6"/>
  <c r="AI107" i="6"/>
  <c r="AH107" i="6"/>
  <c r="AG107" i="6"/>
  <c r="AF107" i="6"/>
  <c r="AE107" i="6"/>
  <c r="AD107" i="6"/>
  <c r="AC107" i="6"/>
  <c r="AB107" i="6"/>
  <c r="AA107" i="6"/>
  <c r="Z107" i="6"/>
  <c r="Y107" i="6"/>
  <c r="X107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K107" i="6"/>
  <c r="J107" i="6"/>
  <c r="I107" i="6"/>
  <c r="H107" i="6"/>
  <c r="G107" i="6"/>
  <c r="F107" i="6"/>
  <c r="E107" i="6"/>
  <c r="D107" i="6"/>
  <c r="C107" i="6"/>
  <c r="AL106" i="6"/>
  <c r="AK106" i="6"/>
  <c r="AJ106" i="6"/>
  <c r="AI106" i="6"/>
  <c r="AH106" i="6"/>
  <c r="AG106" i="6"/>
  <c r="AF106" i="6"/>
  <c r="AE106" i="6"/>
  <c r="B437" i="6" s="1"/>
  <c r="E437" i="6" s="1"/>
  <c r="AD106" i="6"/>
  <c r="AC106" i="6"/>
  <c r="AB106" i="6"/>
  <c r="AA106" i="6"/>
  <c r="Z106" i="6"/>
  <c r="Y106" i="6"/>
  <c r="X106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K106" i="6"/>
  <c r="J106" i="6"/>
  <c r="I106" i="6"/>
  <c r="H106" i="6"/>
  <c r="G106" i="6"/>
  <c r="F106" i="6"/>
  <c r="E106" i="6"/>
  <c r="D106" i="6"/>
  <c r="C106" i="6"/>
  <c r="AL105" i="6"/>
  <c r="AK105" i="6"/>
  <c r="AJ105" i="6"/>
  <c r="AI105" i="6"/>
  <c r="AH105" i="6"/>
  <c r="AG105" i="6"/>
  <c r="AF105" i="6"/>
  <c r="AE105" i="6"/>
  <c r="AD105" i="6"/>
  <c r="AC105" i="6"/>
  <c r="AB105" i="6"/>
  <c r="AA105" i="6"/>
  <c r="Z105" i="6"/>
  <c r="Y105" i="6"/>
  <c r="X105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K105" i="6"/>
  <c r="J105" i="6"/>
  <c r="I105" i="6"/>
  <c r="H105" i="6"/>
  <c r="G105" i="6"/>
  <c r="F105" i="6"/>
  <c r="E105" i="6"/>
  <c r="D105" i="6"/>
  <c r="C105" i="6"/>
  <c r="AL104" i="6"/>
  <c r="AK104" i="6"/>
  <c r="AJ104" i="6"/>
  <c r="AI104" i="6"/>
  <c r="AH104" i="6"/>
  <c r="AG104" i="6"/>
  <c r="B435" i="6" s="1"/>
  <c r="E435" i="6" s="1"/>
  <c r="AF104" i="6"/>
  <c r="AE104" i="6"/>
  <c r="AD104" i="6"/>
  <c r="AC104" i="6"/>
  <c r="AB104" i="6"/>
  <c r="AA104" i="6"/>
  <c r="Z104" i="6"/>
  <c r="Y104" i="6"/>
  <c r="X104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C104" i="6"/>
  <c r="AL103" i="6"/>
  <c r="AK103" i="6"/>
  <c r="AJ103" i="6"/>
  <c r="AI103" i="6"/>
  <c r="AH103" i="6"/>
  <c r="AG103" i="6"/>
  <c r="AF103" i="6"/>
  <c r="AE103" i="6"/>
  <c r="AD103" i="6"/>
  <c r="AC103" i="6"/>
  <c r="AB103" i="6"/>
  <c r="AA103" i="6"/>
  <c r="Z103" i="6"/>
  <c r="Y103" i="6"/>
  <c r="X103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K103" i="6"/>
  <c r="J103" i="6"/>
  <c r="I103" i="6"/>
  <c r="H103" i="6"/>
  <c r="G103" i="6"/>
  <c r="F103" i="6"/>
  <c r="E103" i="6"/>
  <c r="D103" i="6"/>
  <c r="C103" i="6"/>
  <c r="AL102" i="6"/>
  <c r="AK102" i="6"/>
  <c r="AJ102" i="6"/>
  <c r="AI102" i="6"/>
  <c r="AH102" i="6"/>
  <c r="AG102" i="6"/>
  <c r="AF102" i="6"/>
  <c r="AE102" i="6"/>
  <c r="AD102" i="6"/>
  <c r="AC102" i="6"/>
  <c r="AB102" i="6"/>
  <c r="AA102" i="6"/>
  <c r="Z102" i="6"/>
  <c r="Y102" i="6"/>
  <c r="X102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K102" i="6"/>
  <c r="J102" i="6"/>
  <c r="I102" i="6"/>
  <c r="H102" i="6"/>
  <c r="G102" i="6"/>
  <c r="F102" i="6"/>
  <c r="E102" i="6"/>
  <c r="D102" i="6"/>
  <c r="C102" i="6"/>
  <c r="AL101" i="6"/>
  <c r="AK101" i="6"/>
  <c r="AJ101" i="6"/>
  <c r="AI101" i="6"/>
  <c r="AH101" i="6"/>
  <c r="AG101" i="6"/>
  <c r="AF101" i="6"/>
  <c r="AE101" i="6"/>
  <c r="AD101" i="6"/>
  <c r="AC101" i="6"/>
  <c r="AB101" i="6"/>
  <c r="AA101" i="6"/>
  <c r="Z101" i="6"/>
  <c r="Y101" i="6"/>
  <c r="X101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K101" i="6"/>
  <c r="J101" i="6"/>
  <c r="I101" i="6"/>
  <c r="H101" i="6"/>
  <c r="G101" i="6"/>
  <c r="F101" i="6"/>
  <c r="E101" i="6"/>
  <c r="D101" i="6"/>
  <c r="C101" i="6"/>
  <c r="AL100" i="6"/>
  <c r="AK100" i="6"/>
  <c r="AJ100" i="6"/>
  <c r="AI100" i="6"/>
  <c r="AH100" i="6"/>
  <c r="AG100" i="6"/>
  <c r="AF100" i="6"/>
  <c r="AE100" i="6"/>
  <c r="AD100" i="6"/>
  <c r="AC100" i="6"/>
  <c r="AB100" i="6"/>
  <c r="AA100" i="6"/>
  <c r="Z100" i="6"/>
  <c r="Y100" i="6"/>
  <c r="X100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AL99" i="6"/>
  <c r="AK99" i="6"/>
  <c r="AJ99" i="6"/>
  <c r="AI99" i="6"/>
  <c r="AH99" i="6"/>
  <c r="AG99" i="6"/>
  <c r="AF99" i="6"/>
  <c r="AE99" i="6"/>
  <c r="AD99" i="6"/>
  <c r="AC99" i="6"/>
  <c r="AB99" i="6"/>
  <c r="AA99" i="6"/>
  <c r="Z99" i="6"/>
  <c r="Y99" i="6"/>
  <c r="X99" i="6"/>
  <c r="W99" i="6"/>
  <c r="V99" i="6"/>
  <c r="U99" i="6"/>
  <c r="T99" i="6"/>
  <c r="S99" i="6"/>
  <c r="R99" i="6"/>
  <c r="P99" i="6"/>
  <c r="O99" i="6"/>
  <c r="N99" i="6"/>
  <c r="M99" i="6"/>
  <c r="L99" i="6"/>
  <c r="K99" i="6"/>
  <c r="J99" i="6"/>
  <c r="I99" i="6"/>
  <c r="H99" i="6"/>
  <c r="G99" i="6"/>
  <c r="F99" i="6"/>
  <c r="E99" i="6"/>
  <c r="D99" i="6"/>
  <c r="C99" i="6"/>
  <c r="AL98" i="6"/>
  <c r="AL149" i="6" s="1"/>
  <c r="AL13" i="20" s="1"/>
  <c r="AK98" i="6"/>
  <c r="AJ98" i="6"/>
  <c r="AI98" i="6"/>
  <c r="AI149" i="6" s="1"/>
  <c r="AI13" i="20" s="1"/>
  <c r="AH98" i="6"/>
  <c r="AG98" i="6"/>
  <c r="AF98" i="6"/>
  <c r="AE98" i="6"/>
  <c r="AD98" i="6"/>
  <c r="AC98" i="6"/>
  <c r="AB98" i="6"/>
  <c r="AA98" i="6"/>
  <c r="Z98" i="6"/>
  <c r="Y98" i="6"/>
  <c r="X98" i="6"/>
  <c r="W98" i="6"/>
  <c r="V98" i="6"/>
  <c r="U98" i="6"/>
  <c r="T98" i="6"/>
  <c r="S98" i="6"/>
  <c r="S149" i="6" s="1"/>
  <c r="S13" i="20" s="1"/>
  <c r="R98" i="6"/>
  <c r="Q98" i="6"/>
  <c r="P98" i="6"/>
  <c r="O98" i="6"/>
  <c r="N98" i="6"/>
  <c r="M98" i="6"/>
  <c r="L98" i="6"/>
  <c r="L149" i="6" s="1"/>
  <c r="L13" i="20" s="1"/>
  <c r="K98" i="6"/>
  <c r="J98" i="6"/>
  <c r="I98" i="6"/>
  <c r="H98" i="6"/>
  <c r="G98" i="6"/>
  <c r="G150" i="6" s="1"/>
  <c r="G14" i="20" s="1"/>
  <c r="F98" i="6"/>
  <c r="E98" i="6"/>
  <c r="D98" i="6"/>
  <c r="C98" i="6"/>
  <c r="BZ8" i="6"/>
  <c r="D11" i="5" s="1"/>
  <c r="BZ9" i="6"/>
  <c r="D12" i="5" s="1"/>
  <c r="BZ10" i="6"/>
  <c r="D13" i="5" s="1"/>
  <c r="BZ11" i="6"/>
  <c r="D14" i="5" s="1"/>
  <c r="BZ12" i="6"/>
  <c r="D15" i="5" s="1"/>
  <c r="BZ13" i="6"/>
  <c r="D16" i="5" s="1"/>
  <c r="BZ14" i="6"/>
  <c r="D17" i="5" s="1"/>
  <c r="BZ15" i="6"/>
  <c r="D18" i="5" s="1"/>
  <c r="BZ16" i="6"/>
  <c r="D19" i="5" s="1"/>
  <c r="BZ17" i="6"/>
  <c r="D20" i="5" s="1"/>
  <c r="BZ18" i="6"/>
  <c r="D21" i="5" s="1"/>
  <c r="BZ19" i="6"/>
  <c r="D22" i="5" s="1"/>
  <c r="BZ20" i="6"/>
  <c r="D23" i="5" s="1"/>
  <c r="BZ21" i="6"/>
  <c r="D24" i="5" s="1"/>
  <c r="BZ22" i="6"/>
  <c r="D25" i="5" s="1"/>
  <c r="BZ23" i="6"/>
  <c r="D26" i="5" s="1"/>
  <c r="BZ24" i="6"/>
  <c r="D27" i="5" s="1"/>
  <c r="BZ25" i="6"/>
  <c r="D28" i="5" s="1"/>
  <c r="BZ26" i="6"/>
  <c r="BZ27" i="6"/>
  <c r="BZ28" i="6"/>
  <c r="BZ29" i="6"/>
  <c r="BZ30" i="6"/>
  <c r="BZ31" i="6"/>
  <c r="BZ32" i="6"/>
  <c r="D35" i="5" s="1"/>
  <c r="BZ33" i="6"/>
  <c r="D36" i="5" s="1"/>
  <c r="BZ34" i="6"/>
  <c r="D37" i="5" s="1"/>
  <c r="BZ35" i="6"/>
  <c r="D38" i="5" s="1"/>
  <c r="BZ36" i="6"/>
  <c r="D39" i="5" s="1"/>
  <c r="BZ37" i="6"/>
  <c r="D40" i="5" s="1"/>
  <c r="BZ38" i="6"/>
  <c r="D41" i="5" s="1"/>
  <c r="BZ39" i="6"/>
  <c r="D42" i="5" s="1"/>
  <c r="BZ40" i="6"/>
  <c r="D43" i="5" s="1"/>
  <c r="BZ41" i="6"/>
  <c r="D44" i="5" s="1"/>
  <c r="BZ42" i="6"/>
  <c r="D45" i="5" s="1"/>
  <c r="BZ43" i="6"/>
  <c r="D46" i="5" s="1"/>
  <c r="AX114" i="7"/>
  <c r="AY114" i="7" s="1"/>
  <c r="AU114" i="7"/>
  <c r="AX113" i="7"/>
  <c r="AY113" i="7" s="1"/>
  <c r="AU113" i="7"/>
  <c r="AX112" i="7"/>
  <c r="AY112" i="7" s="1"/>
  <c r="AU112" i="7"/>
  <c r="AX111" i="7"/>
  <c r="AY111" i="7" s="1"/>
  <c r="AU111" i="7"/>
  <c r="AX110" i="7"/>
  <c r="AY110" i="7" s="1"/>
  <c r="AU110" i="7"/>
  <c r="AY109" i="7"/>
  <c r="AU109" i="7"/>
  <c r="D108" i="4"/>
  <c r="F112" i="4" s="1"/>
  <c r="A102" i="4"/>
  <c r="T39" i="10"/>
  <c r="A97" i="4"/>
  <c r="A94" i="4"/>
  <c r="A92" i="4"/>
  <c r="T29" i="10"/>
  <c r="A89" i="4"/>
  <c r="F44" i="20"/>
  <c r="K44" i="20"/>
  <c r="G45" i="20"/>
  <c r="H45" i="20"/>
  <c r="O45" i="20"/>
  <c r="P45" i="20"/>
  <c r="C46" i="20"/>
  <c r="D46" i="20"/>
  <c r="E46" i="20"/>
  <c r="F46" i="20"/>
  <c r="G46" i="20"/>
  <c r="H46" i="20"/>
  <c r="K46" i="20"/>
  <c r="L46" i="20"/>
  <c r="M46" i="20"/>
  <c r="N46" i="20"/>
  <c r="O46" i="20"/>
  <c r="P46" i="20"/>
  <c r="U13" i="3"/>
  <c r="U14" i="3" s="1"/>
  <c r="U15" i="3" s="1"/>
  <c r="U16" i="3" s="1"/>
  <c r="U17" i="3" s="1"/>
  <c r="U18" i="3" s="1"/>
  <c r="U19" i="3" s="1"/>
  <c r="U20" i="3" s="1"/>
  <c r="U21" i="3" s="1"/>
  <c r="U22" i="3" s="1"/>
  <c r="U23" i="3" s="1"/>
  <c r="U24" i="3" s="1"/>
  <c r="U25" i="3" s="1"/>
  <c r="U26" i="3" s="1"/>
  <c r="U27" i="3" s="1"/>
  <c r="U28" i="3" s="1"/>
  <c r="U29" i="3" s="1"/>
  <c r="U30" i="3" s="1"/>
  <c r="U31" i="3" s="1"/>
  <c r="P13" i="3"/>
  <c r="P14" i="3" s="1"/>
  <c r="P15" i="3" s="1"/>
  <c r="P16" i="3" s="1"/>
  <c r="P17" i="3" s="1"/>
  <c r="P18" i="3" s="1"/>
  <c r="P19" i="3" s="1"/>
  <c r="P20" i="3" s="1"/>
  <c r="P21" i="3" s="1"/>
  <c r="P22" i="3" s="1"/>
  <c r="P23" i="3" s="1"/>
  <c r="P24" i="3" s="1"/>
  <c r="P25" i="3" s="1"/>
  <c r="P26" i="3" s="1"/>
  <c r="P27" i="3" s="1"/>
  <c r="P28" i="3" s="1"/>
  <c r="P29" i="3" s="1"/>
  <c r="AK31" i="3"/>
  <c r="AK32" i="3" s="1"/>
  <c r="AK33" i="3" s="1"/>
  <c r="AK34" i="3" s="1"/>
  <c r="R112" i="19"/>
  <c r="R113" i="19" s="1"/>
  <c r="R114" i="19" s="1"/>
  <c r="R115" i="19" s="1"/>
  <c r="R116" i="19" s="1"/>
  <c r="R117" i="19" s="1"/>
  <c r="R118" i="19" s="1"/>
  <c r="R119" i="19" s="1"/>
  <c r="R120" i="19" s="1"/>
  <c r="R121" i="19" s="1"/>
  <c r="R122" i="19" s="1"/>
  <c r="R123" i="19" s="1"/>
  <c r="R124" i="19" s="1"/>
  <c r="R125" i="19" s="1"/>
  <c r="R126" i="19" s="1"/>
  <c r="R127" i="19" s="1"/>
  <c r="R128" i="19" s="1"/>
  <c r="R129" i="19" s="1"/>
  <c r="R130" i="19" s="1"/>
  <c r="R131" i="19" s="1"/>
  <c r="R132" i="19" s="1"/>
  <c r="R133" i="19" s="1"/>
  <c r="R134" i="19" s="1"/>
  <c r="R135" i="19" s="1"/>
  <c r="R136" i="19" s="1"/>
  <c r="R137" i="19" s="1"/>
  <c r="R138" i="19" s="1"/>
  <c r="R139" i="19" s="1"/>
  <c r="R140" i="19" s="1"/>
  <c r="R141" i="19" s="1"/>
  <c r="R142" i="19" s="1"/>
  <c r="R143" i="19" s="1"/>
  <c r="R144" i="19" s="1"/>
  <c r="R145" i="19" s="1"/>
  <c r="R146" i="19" s="1"/>
  <c r="R147" i="19" s="1"/>
  <c r="R148" i="19" s="1"/>
  <c r="R149" i="19" s="1"/>
  <c r="R150" i="19" s="1"/>
  <c r="R151" i="19" s="1"/>
  <c r="R152" i="19" s="1"/>
  <c r="R153" i="19" s="1"/>
  <c r="R154" i="19" s="1"/>
  <c r="R155" i="19" s="1"/>
  <c r="R156" i="19" s="1"/>
  <c r="R157" i="19" s="1"/>
  <c r="R158" i="19" s="1"/>
  <c r="R159" i="19" s="1"/>
  <c r="R160" i="19" s="1"/>
  <c r="R161" i="19" s="1"/>
  <c r="R162" i="19" s="1"/>
  <c r="R163" i="19" s="1"/>
  <c r="R164" i="19" s="1"/>
  <c r="R165" i="19" s="1"/>
  <c r="R166" i="19" s="1"/>
  <c r="R167" i="19" s="1"/>
  <c r="R168" i="19" s="1"/>
  <c r="R169" i="19" s="1"/>
  <c r="R170" i="19" s="1"/>
  <c r="R171" i="19" s="1"/>
  <c r="R172" i="19" s="1"/>
  <c r="R173" i="19" s="1"/>
  <c r="R174" i="19" s="1"/>
  <c r="R175" i="19" s="1"/>
  <c r="R176" i="19" s="1"/>
  <c r="R177" i="19" s="1"/>
  <c r="R178" i="19" s="1"/>
  <c r="R179" i="19" s="1"/>
  <c r="R180" i="19" s="1"/>
  <c r="R181" i="19" s="1"/>
  <c r="R182" i="19" s="1"/>
  <c r="R183" i="19" s="1"/>
  <c r="R184" i="19" s="1"/>
  <c r="R185" i="19" s="1"/>
  <c r="R186" i="19" s="1"/>
  <c r="R187" i="19" s="1"/>
  <c r="R188" i="19" s="1"/>
  <c r="R189" i="19" s="1"/>
  <c r="R190" i="19" s="1"/>
  <c r="R191" i="19" s="1"/>
  <c r="R192" i="19" s="1"/>
  <c r="R193" i="19" s="1"/>
  <c r="R194" i="19" s="1"/>
  <c r="R195" i="19" s="1"/>
  <c r="R196" i="19" s="1"/>
  <c r="R197" i="19" s="1"/>
  <c r="R198" i="19" s="1"/>
  <c r="R199" i="19" s="1"/>
  <c r="R200" i="19" s="1"/>
  <c r="R201" i="19" s="1"/>
  <c r="R202" i="19" s="1"/>
  <c r="R203" i="19" s="1"/>
  <c r="R204" i="19" s="1"/>
  <c r="R205" i="19" s="1"/>
  <c r="R206" i="19" s="1"/>
  <c r="R207" i="19" s="1"/>
  <c r="R208" i="19" s="1"/>
  <c r="R209" i="19" s="1"/>
  <c r="R210" i="19" s="1"/>
  <c r="R211" i="19" s="1"/>
  <c r="R212" i="19" s="1"/>
  <c r="R213" i="19" s="1"/>
  <c r="R214" i="19" s="1"/>
  <c r="R215" i="19" s="1"/>
  <c r="R216" i="19" s="1"/>
  <c r="R217" i="19" s="1"/>
  <c r="R218" i="19" s="1"/>
  <c r="R219" i="19" s="1"/>
  <c r="R220" i="19" s="1"/>
  <c r="R2" i="19"/>
  <c r="R3" i="19" s="1"/>
  <c r="R4" i="19" s="1"/>
  <c r="R5" i="19" s="1"/>
  <c r="R6" i="19" s="1"/>
  <c r="R7" i="19" s="1"/>
  <c r="R8" i="19" s="1"/>
  <c r="R9" i="19" s="1"/>
  <c r="R10" i="19" s="1"/>
  <c r="R11" i="19" s="1"/>
  <c r="R12" i="19" s="1"/>
  <c r="R13" i="19" s="1"/>
  <c r="R14" i="19" s="1"/>
  <c r="R15" i="19" s="1"/>
  <c r="R16" i="19" s="1"/>
  <c r="R17" i="19" s="1"/>
  <c r="R18" i="19" s="1"/>
  <c r="R19" i="19" s="1"/>
  <c r="R20" i="19" s="1"/>
  <c r="R21" i="19" s="1"/>
  <c r="R22" i="19" s="1"/>
  <c r="R23" i="19" s="1"/>
  <c r="R24" i="19" s="1"/>
  <c r="R25" i="19" s="1"/>
  <c r="R26" i="19" s="1"/>
  <c r="R27" i="19" s="1"/>
  <c r="R28" i="19" s="1"/>
  <c r="R29" i="19" s="1"/>
  <c r="R30" i="19" s="1"/>
  <c r="R31" i="19" s="1"/>
  <c r="R32" i="19" s="1"/>
  <c r="R33" i="19" s="1"/>
  <c r="R34" i="19" s="1"/>
  <c r="R35" i="19" s="1"/>
  <c r="R36" i="19" s="1"/>
  <c r="R37" i="19" s="1"/>
  <c r="R38" i="19" s="1"/>
  <c r="R39" i="19" s="1"/>
  <c r="R40" i="19" s="1"/>
  <c r="R41" i="19" s="1"/>
  <c r="R42" i="19" s="1"/>
  <c r="R43" i="19" s="1"/>
  <c r="R44" i="19" s="1"/>
  <c r="R45" i="19" s="1"/>
  <c r="R46" i="19" s="1"/>
  <c r="R47" i="19" s="1"/>
  <c r="R48" i="19" s="1"/>
  <c r="R49" i="19" s="1"/>
  <c r="R50" i="19" s="1"/>
  <c r="R51" i="19" s="1"/>
  <c r="R52" i="19" s="1"/>
  <c r="R53" i="19" s="1"/>
  <c r="R54" i="19" s="1"/>
  <c r="R55" i="19" s="1"/>
  <c r="R56" i="19" s="1"/>
  <c r="R57" i="19" s="1"/>
  <c r="R58" i="19" s="1"/>
  <c r="R59" i="19" s="1"/>
  <c r="R60" i="19" s="1"/>
  <c r="R61" i="19" s="1"/>
  <c r="R62" i="19" s="1"/>
  <c r="R63" i="19" s="1"/>
  <c r="R64" i="19" s="1"/>
  <c r="R65" i="19" s="1"/>
  <c r="R66" i="19" s="1"/>
  <c r="R67" i="19" s="1"/>
  <c r="R68" i="19" s="1"/>
  <c r="R69" i="19" s="1"/>
  <c r="R70" i="19" s="1"/>
  <c r="R71" i="19" s="1"/>
  <c r="R72" i="19" s="1"/>
  <c r="R73" i="19" s="1"/>
  <c r="R74" i="19" s="1"/>
  <c r="R75" i="19" s="1"/>
  <c r="R76" i="19" s="1"/>
  <c r="R77" i="19" s="1"/>
  <c r="R78" i="19" s="1"/>
  <c r="R79" i="19" s="1"/>
  <c r="R80" i="19" s="1"/>
  <c r="R81" i="19" s="1"/>
  <c r="R82" i="19" s="1"/>
  <c r="R83" i="19" s="1"/>
  <c r="R84" i="19" s="1"/>
  <c r="R85" i="19" s="1"/>
  <c r="R86" i="19" s="1"/>
  <c r="R87" i="19" s="1"/>
  <c r="R88" i="19" s="1"/>
  <c r="R89" i="19" s="1"/>
  <c r="R90" i="19" s="1"/>
  <c r="R91" i="19" s="1"/>
  <c r="R92" i="19" s="1"/>
  <c r="R93" i="19" s="1"/>
  <c r="R94" i="19" s="1"/>
  <c r="R95" i="19" s="1"/>
  <c r="R96" i="19" s="1"/>
  <c r="R97" i="19" s="1"/>
  <c r="R98" i="19" s="1"/>
  <c r="R99" i="19" s="1"/>
  <c r="R100" i="19" s="1"/>
  <c r="R101" i="19" s="1"/>
  <c r="R102" i="19" s="1"/>
  <c r="R103" i="19" s="1"/>
  <c r="R104" i="19" s="1"/>
  <c r="R105" i="19" s="1"/>
  <c r="R106" i="19" s="1"/>
  <c r="R107" i="19" s="1"/>
  <c r="R108" i="19" s="1"/>
  <c r="R109" i="19" s="1"/>
  <c r="R110" i="19" s="1"/>
  <c r="S59" i="19"/>
  <c r="S60" i="19" s="1"/>
  <c r="S61" i="19" s="1"/>
  <c r="S62" i="19" s="1"/>
  <c r="S63" i="19" s="1"/>
  <c r="S64" i="19" s="1"/>
  <c r="S65" i="19" s="1"/>
  <c r="S66" i="19" s="1"/>
  <c r="S67" i="19" s="1"/>
  <c r="S68" i="19" s="1"/>
  <c r="S69" i="19" s="1"/>
  <c r="S70" i="19" s="1"/>
  <c r="S71" i="19" s="1"/>
  <c r="S72" i="19" s="1"/>
  <c r="S73" i="19" s="1"/>
  <c r="S74" i="19" s="1"/>
  <c r="S75" i="19" s="1"/>
  <c r="S76" i="19" s="1"/>
  <c r="S77" i="19" s="1"/>
  <c r="S78" i="19" s="1"/>
  <c r="S79" i="19" s="1"/>
  <c r="S80" i="19" s="1"/>
  <c r="S81" i="19" s="1"/>
  <c r="S82" i="19" s="1"/>
  <c r="S83" i="19" s="1"/>
  <c r="S85" i="19"/>
  <c r="S86" i="19" s="1"/>
  <c r="S87" i="19" s="1"/>
  <c r="S88" i="19" s="1"/>
  <c r="S89" i="19" s="1"/>
  <c r="S90" i="19" s="1"/>
  <c r="S91" i="19" s="1"/>
  <c r="S92" i="19" s="1"/>
  <c r="S93" i="19" s="1"/>
  <c r="S94" i="19" s="1"/>
  <c r="S95" i="19" s="1"/>
  <c r="S96" i="19" s="1"/>
  <c r="S97" i="19" s="1"/>
  <c r="S98" i="19" s="1"/>
  <c r="S99" i="19" s="1"/>
  <c r="S100" i="19" s="1"/>
  <c r="S101" i="19" s="1"/>
  <c r="S102" i="19" s="1"/>
  <c r="S103" i="19" s="1"/>
  <c r="S104" i="19" s="1"/>
  <c r="S105" i="19" s="1"/>
  <c r="S106" i="19" s="1"/>
  <c r="S107" i="19" s="1"/>
  <c r="S108" i="19" s="1"/>
  <c r="S109" i="19" s="1"/>
  <c r="S110" i="19" s="1"/>
  <c r="A166" i="19"/>
  <c r="A111" i="19"/>
  <c r="A56" i="19"/>
  <c r="A1" i="19"/>
  <c r="AU226" i="7"/>
  <c r="AU112" i="18"/>
  <c r="CC88" i="18"/>
  <c r="CD88" i="18" s="1"/>
  <c r="CE88" i="18" s="1"/>
  <c r="CC87" i="18"/>
  <c r="CD87" i="18" s="1"/>
  <c r="CE87" i="18" s="1"/>
  <c r="CF87" i="18" s="1"/>
  <c r="CC86" i="18"/>
  <c r="CD86" i="18" s="1"/>
  <c r="CE86" i="18" s="1"/>
  <c r="CG86" i="18" s="1"/>
  <c r="CC85" i="18"/>
  <c r="CD85" i="18" s="1"/>
  <c r="CE85" i="18" s="1"/>
  <c r="CC84" i="18"/>
  <c r="CD84" i="18" s="1"/>
  <c r="CE84" i="18" s="1"/>
  <c r="CG84" i="18" s="1"/>
  <c r="CC83" i="18"/>
  <c r="CD83" i="18" s="1"/>
  <c r="CE83" i="18" s="1"/>
  <c r="CF83" i="18" s="1"/>
  <c r="CC82" i="18"/>
  <c r="CD82" i="18" s="1"/>
  <c r="CE82" i="18" s="1"/>
  <c r="CG82" i="18" s="1"/>
  <c r="BS82" i="18"/>
  <c r="BT82" i="18" s="1"/>
  <c r="BU82" i="18" s="1"/>
  <c r="CC81" i="18"/>
  <c r="CD81" i="18" s="1"/>
  <c r="CE81" i="18" s="1"/>
  <c r="BS81" i="18"/>
  <c r="BT81" i="18" s="1"/>
  <c r="BU81" i="18" s="1"/>
  <c r="BW81" i="18" s="1"/>
  <c r="CC80" i="18"/>
  <c r="CD80" i="18" s="1"/>
  <c r="CE80" i="18" s="1"/>
  <c r="BS80" i="18"/>
  <c r="BT80" i="18" s="1"/>
  <c r="BU80" i="18" s="1"/>
  <c r="BW80" i="18" s="1"/>
  <c r="CC79" i="18"/>
  <c r="CD79" i="18" s="1"/>
  <c r="CE79" i="18" s="1"/>
  <c r="CG79" i="18" s="1"/>
  <c r="BS79" i="18"/>
  <c r="BT79" i="18" s="1"/>
  <c r="BU79" i="18" s="1"/>
  <c r="BW79" i="18" s="1"/>
  <c r="CC78" i="18"/>
  <c r="CD78" i="18" s="1"/>
  <c r="CE78" i="18" s="1"/>
  <c r="CG78" i="18" s="1"/>
  <c r="BS78" i="18"/>
  <c r="BT78" i="18" s="1"/>
  <c r="BU78" i="18" s="1"/>
  <c r="CC77" i="18"/>
  <c r="CD77" i="18" s="1"/>
  <c r="CE77" i="18" s="1"/>
  <c r="BS77" i="18"/>
  <c r="BT77" i="18" s="1"/>
  <c r="BU77" i="18" s="1"/>
  <c r="CC76" i="18"/>
  <c r="CD76" i="18" s="1"/>
  <c r="CE76" i="18" s="1"/>
  <c r="BS76" i="18"/>
  <c r="BT76" i="18" s="1"/>
  <c r="BU76" i="18" s="1"/>
  <c r="CC75" i="18"/>
  <c r="CD75" i="18" s="1"/>
  <c r="CE75" i="18" s="1"/>
  <c r="CG75" i="18" s="1"/>
  <c r="BS75" i="18"/>
  <c r="BT75" i="18" s="1"/>
  <c r="BU75" i="18" s="1"/>
  <c r="BW75" i="18" s="1"/>
  <c r="CC74" i="18"/>
  <c r="CD74" i="18" s="1"/>
  <c r="CE74" i="18" s="1"/>
  <c r="CG74" i="18" s="1"/>
  <c r="BS74" i="18"/>
  <c r="BT74" i="18" s="1"/>
  <c r="BU74" i="18" s="1"/>
  <c r="CC73" i="18"/>
  <c r="CD73" i="18" s="1"/>
  <c r="CE73" i="18" s="1"/>
  <c r="CG73" i="18" s="1"/>
  <c r="BS73" i="18"/>
  <c r="BT73" i="18" s="1"/>
  <c r="BU73" i="18" s="1"/>
  <c r="BW73" i="18" s="1"/>
  <c r="CC72" i="18"/>
  <c r="CD72" i="18" s="1"/>
  <c r="CE72" i="18" s="1"/>
  <c r="CG72" i="18" s="1"/>
  <c r="BS72" i="18"/>
  <c r="BT72" i="18" s="1"/>
  <c r="BU72" i="18" s="1"/>
  <c r="BW72" i="18" s="1"/>
  <c r="CC71" i="18"/>
  <c r="CD71" i="18" s="1"/>
  <c r="CE71" i="18" s="1"/>
  <c r="CG71" i="18" s="1"/>
  <c r="BS71" i="18"/>
  <c r="BT71" i="18" s="1"/>
  <c r="BU71" i="18" s="1"/>
  <c r="CB44" i="18"/>
  <c r="CC44" i="18" s="1"/>
  <c r="CD44" i="18" s="1"/>
  <c r="CE44" i="18" s="1"/>
  <c r="BR44" i="18"/>
  <c r="BS44" i="18" s="1"/>
  <c r="BT44" i="18" s="1"/>
  <c r="BU44" i="18" s="1"/>
  <c r="BV44" i="18" s="1"/>
  <c r="BH44" i="18"/>
  <c r="BI44" i="18" s="1"/>
  <c r="BJ44" i="18" s="1"/>
  <c r="BK44" i="18" s="1"/>
  <c r="BM44" i="18" s="1"/>
  <c r="CB43" i="18"/>
  <c r="CC43" i="18" s="1"/>
  <c r="CD43" i="18" s="1"/>
  <c r="CE43" i="18" s="1"/>
  <c r="CG43" i="18" s="1"/>
  <c r="BR43" i="18"/>
  <c r="BS43" i="18" s="1"/>
  <c r="BT43" i="18" s="1"/>
  <c r="BU43" i="18" s="1"/>
  <c r="BW43" i="18" s="1"/>
  <c r="BH43" i="18"/>
  <c r="BI43" i="18" s="1"/>
  <c r="BJ43" i="18" s="1"/>
  <c r="BK43" i="18" s="1"/>
  <c r="BL43" i="18" s="1"/>
  <c r="CB42" i="18"/>
  <c r="CC42" i="18" s="1"/>
  <c r="CD42" i="18" s="1"/>
  <c r="CE42" i="18" s="1"/>
  <c r="BR42" i="18"/>
  <c r="BS42" i="18" s="1"/>
  <c r="BT42" i="18" s="1"/>
  <c r="BU42" i="18" s="1"/>
  <c r="BW42" i="18" s="1"/>
  <c r="BH42" i="18"/>
  <c r="BI42" i="18" s="1"/>
  <c r="BJ42" i="18" s="1"/>
  <c r="BK42" i="18" s="1"/>
  <c r="BM42" i="18" s="1"/>
  <c r="CB41" i="18"/>
  <c r="CC41" i="18" s="1"/>
  <c r="CD41" i="18" s="1"/>
  <c r="CE41" i="18" s="1"/>
  <c r="BR41" i="18"/>
  <c r="BS41" i="18" s="1"/>
  <c r="BT41" i="18" s="1"/>
  <c r="BU41" i="18" s="1"/>
  <c r="BH41" i="18"/>
  <c r="BI41" i="18" s="1"/>
  <c r="BJ41" i="18" s="1"/>
  <c r="BK41" i="18" s="1"/>
  <c r="BL41" i="18" s="1"/>
  <c r="CB40" i="18"/>
  <c r="CC40" i="18" s="1"/>
  <c r="CD40" i="18" s="1"/>
  <c r="CE40" i="18" s="1"/>
  <c r="BR40" i="18"/>
  <c r="BS40" i="18" s="1"/>
  <c r="BT40" i="18" s="1"/>
  <c r="BU40" i="18" s="1"/>
  <c r="BV40" i="18" s="1"/>
  <c r="BH40" i="18"/>
  <c r="BI40" i="18" s="1"/>
  <c r="BJ40" i="18" s="1"/>
  <c r="BK40" i="18" s="1"/>
  <c r="CB39" i="18"/>
  <c r="CC39" i="18" s="1"/>
  <c r="CD39" i="18" s="1"/>
  <c r="CE39" i="18" s="1"/>
  <c r="CG39" i="18" s="1"/>
  <c r="BR39" i="18"/>
  <c r="BS39" i="18" s="1"/>
  <c r="BT39" i="18" s="1"/>
  <c r="BU39" i="18" s="1"/>
  <c r="BH39" i="18"/>
  <c r="BI39" i="18" s="1"/>
  <c r="BJ39" i="18" s="1"/>
  <c r="BK39" i="18" s="1"/>
  <c r="BL39" i="18" s="1"/>
  <c r="CB38" i="18"/>
  <c r="CC38" i="18" s="1"/>
  <c r="CD38" i="18" s="1"/>
  <c r="CE38" i="18" s="1"/>
  <c r="CG38" i="18" s="1"/>
  <c r="BR38" i="18"/>
  <c r="BS38" i="18" s="1"/>
  <c r="BT38" i="18" s="1"/>
  <c r="BU38" i="18" s="1"/>
  <c r="BH38" i="18"/>
  <c r="BI38" i="18" s="1"/>
  <c r="BJ38" i="18" s="1"/>
  <c r="BK38" i="18" s="1"/>
  <c r="CB37" i="18"/>
  <c r="CC37" i="18" s="1"/>
  <c r="CD37" i="18" s="1"/>
  <c r="CE37" i="18" s="1"/>
  <c r="CF37" i="18" s="1"/>
  <c r="BR37" i="18"/>
  <c r="BS37" i="18" s="1"/>
  <c r="BT37" i="18" s="1"/>
  <c r="BU37" i="18" s="1"/>
  <c r="BW37" i="18" s="1"/>
  <c r="BH37" i="18"/>
  <c r="BI37" i="18" s="1"/>
  <c r="BJ37" i="18" s="1"/>
  <c r="BK37" i="18" s="1"/>
  <c r="BL37" i="18" s="1"/>
  <c r="CB36" i="18"/>
  <c r="CC36" i="18" s="1"/>
  <c r="CD36" i="18" s="1"/>
  <c r="CE36" i="18" s="1"/>
  <c r="CG36" i="18" s="1"/>
  <c r="BR36" i="18"/>
  <c r="BS36" i="18" s="1"/>
  <c r="BT36" i="18" s="1"/>
  <c r="BU36" i="18" s="1"/>
  <c r="BV36" i="18" s="1"/>
  <c r="BH36" i="18"/>
  <c r="BI36" i="18" s="1"/>
  <c r="BJ36" i="18" s="1"/>
  <c r="BK36" i="18" s="1"/>
  <c r="BM36" i="18" s="1"/>
  <c r="CB35" i="18"/>
  <c r="CC35" i="18" s="1"/>
  <c r="CD35" i="18" s="1"/>
  <c r="CE35" i="18" s="1"/>
  <c r="CF35" i="18" s="1"/>
  <c r="BR35" i="18"/>
  <c r="BS35" i="18" s="1"/>
  <c r="BT35" i="18" s="1"/>
  <c r="BU35" i="18" s="1"/>
  <c r="BV35" i="18" s="1"/>
  <c r="BH35" i="18"/>
  <c r="BI35" i="18" s="1"/>
  <c r="BJ35" i="18" s="1"/>
  <c r="BK35" i="18" s="1"/>
  <c r="BM35" i="18" s="1"/>
  <c r="CB34" i="18"/>
  <c r="CC34" i="18" s="1"/>
  <c r="CD34" i="18" s="1"/>
  <c r="CE34" i="18" s="1"/>
  <c r="BR34" i="18"/>
  <c r="BS34" i="18" s="1"/>
  <c r="BT34" i="18" s="1"/>
  <c r="BU34" i="18" s="1"/>
  <c r="BV34" i="18" s="1"/>
  <c r="BH34" i="18"/>
  <c r="BI34" i="18" s="1"/>
  <c r="BJ34" i="18" s="1"/>
  <c r="BK34" i="18" s="1"/>
  <c r="CB33" i="18"/>
  <c r="CC33" i="18" s="1"/>
  <c r="CD33" i="18" s="1"/>
  <c r="CE33" i="18" s="1"/>
  <c r="CF33" i="18" s="1"/>
  <c r="BR33" i="18"/>
  <c r="BS33" i="18" s="1"/>
  <c r="BT33" i="18" s="1"/>
  <c r="BU33" i="18" s="1"/>
  <c r="BV33" i="18" s="1"/>
  <c r="BH33" i="18"/>
  <c r="BI33" i="18" s="1"/>
  <c r="BJ33" i="18" s="1"/>
  <c r="BK33" i="18" s="1"/>
  <c r="CB32" i="18"/>
  <c r="CC32" i="18" s="1"/>
  <c r="CD32" i="18" s="1"/>
  <c r="CE32" i="18" s="1"/>
  <c r="CG32" i="18" s="1"/>
  <c r="BR32" i="18"/>
  <c r="BS32" i="18" s="1"/>
  <c r="BT32" i="18" s="1"/>
  <c r="BU32" i="18" s="1"/>
  <c r="BV32" i="18" s="1"/>
  <c r="BH32" i="18"/>
  <c r="BI32" i="18" s="1"/>
  <c r="BJ32" i="18" s="1"/>
  <c r="BK32" i="18" s="1"/>
  <c r="BM32" i="18" s="1"/>
  <c r="CB31" i="18"/>
  <c r="CC31" i="18" s="1"/>
  <c r="CD31" i="18" s="1"/>
  <c r="CE31" i="18" s="1"/>
  <c r="CG31" i="18" s="1"/>
  <c r="BR31" i="18"/>
  <c r="BS31" i="18" s="1"/>
  <c r="BT31" i="18" s="1"/>
  <c r="BU31" i="18" s="1"/>
  <c r="BV31" i="18" s="1"/>
  <c r="BH31" i="18"/>
  <c r="BI31" i="18" s="1"/>
  <c r="BJ31" i="18" s="1"/>
  <c r="BK31" i="18" s="1"/>
  <c r="BL31" i="18" s="1"/>
  <c r="CB30" i="18"/>
  <c r="CC30" i="18" s="1"/>
  <c r="CD30" i="18" s="1"/>
  <c r="CE30" i="18" s="1"/>
  <c r="CG30" i="18" s="1"/>
  <c r="BR30" i="18"/>
  <c r="BS30" i="18" s="1"/>
  <c r="BT30" i="18" s="1"/>
  <c r="BU30" i="18" s="1"/>
  <c r="BW30" i="18" s="1"/>
  <c r="BH30" i="18"/>
  <c r="BI30" i="18" s="1"/>
  <c r="BJ30" i="18" s="1"/>
  <c r="BK30" i="18" s="1"/>
  <c r="CB29" i="18"/>
  <c r="CC29" i="18" s="1"/>
  <c r="CD29" i="18" s="1"/>
  <c r="CE29" i="18" s="1"/>
  <c r="BR29" i="18"/>
  <c r="BS29" i="18" s="1"/>
  <c r="BT29" i="18" s="1"/>
  <c r="BU29" i="18" s="1"/>
  <c r="BH29" i="18"/>
  <c r="BI29" i="18" s="1"/>
  <c r="BJ29" i="18" s="1"/>
  <c r="BK29" i="18" s="1"/>
  <c r="BL29" i="18" s="1"/>
  <c r="CB28" i="18"/>
  <c r="CC28" i="18" s="1"/>
  <c r="CD28" i="18" s="1"/>
  <c r="CE28" i="18" s="1"/>
  <c r="CG28" i="18" s="1"/>
  <c r="BR28" i="18"/>
  <c r="BS28" i="18" s="1"/>
  <c r="BT28" i="18" s="1"/>
  <c r="BU28" i="18" s="1"/>
  <c r="BV28" i="18" s="1"/>
  <c r="BH28" i="18"/>
  <c r="BI28" i="18" s="1"/>
  <c r="BJ28" i="18" s="1"/>
  <c r="BK28" i="18" s="1"/>
  <c r="CB27" i="18"/>
  <c r="BR27" i="18"/>
  <c r="BH27" i="18"/>
  <c r="BI27" i="18" s="1"/>
  <c r="BJ27" i="18" s="1"/>
  <c r="BK27" i="18" s="1"/>
  <c r="BM27" i="18" s="1"/>
  <c r="CC26" i="18"/>
  <c r="CD26" i="18" s="1"/>
  <c r="CE26" i="18" s="1"/>
  <c r="CG26" i="18" s="1"/>
  <c r="BR26" i="18"/>
  <c r="BS26" i="18" s="1"/>
  <c r="BT26" i="18" s="1"/>
  <c r="BU26" i="18" s="1"/>
  <c r="BW26" i="18" s="1"/>
  <c r="BH26" i="18"/>
  <c r="BI26" i="18" s="1"/>
  <c r="BJ26" i="18" s="1"/>
  <c r="BK26" i="18" s="1"/>
  <c r="CC25" i="18"/>
  <c r="CD25" i="18" s="1"/>
  <c r="CE25" i="18" s="1"/>
  <c r="CF25" i="18" s="1"/>
  <c r="BR25" i="18"/>
  <c r="BS25" i="18" s="1"/>
  <c r="BT25" i="18" s="1"/>
  <c r="BU25" i="18" s="1"/>
  <c r="BH25" i="18"/>
  <c r="BI25" i="18" s="1"/>
  <c r="BJ25" i="18" s="1"/>
  <c r="BK25" i="18" s="1"/>
  <c r="BL25" i="18" s="1"/>
  <c r="CC24" i="18"/>
  <c r="CD24" i="18" s="1"/>
  <c r="CE24" i="18" s="1"/>
  <c r="BR24" i="18"/>
  <c r="BS24" i="18" s="1"/>
  <c r="BT24" i="18" s="1"/>
  <c r="BU24" i="18" s="1"/>
  <c r="BW24" i="18" s="1"/>
  <c r="BH24" i="18"/>
  <c r="BI24" i="18" s="1"/>
  <c r="BJ24" i="18" s="1"/>
  <c r="BK24" i="18" s="1"/>
  <c r="BL24" i="18" s="1"/>
  <c r="CC23" i="18"/>
  <c r="CD23" i="18" s="1"/>
  <c r="CE23" i="18" s="1"/>
  <c r="CG23" i="18" s="1"/>
  <c r="BR23" i="18"/>
  <c r="BS23" i="18" s="1"/>
  <c r="BT23" i="18" s="1"/>
  <c r="BU23" i="18" s="1"/>
  <c r="BW23" i="18" s="1"/>
  <c r="BH23" i="18"/>
  <c r="BI23" i="18" s="1"/>
  <c r="BJ23" i="18" s="1"/>
  <c r="BK23" i="18" s="1"/>
  <c r="CC22" i="18"/>
  <c r="CD22" i="18" s="1"/>
  <c r="CE22" i="18" s="1"/>
  <c r="BR22" i="18"/>
  <c r="BS22" i="18" s="1"/>
  <c r="BT22" i="18" s="1"/>
  <c r="BU22" i="18" s="1"/>
  <c r="BH22" i="18"/>
  <c r="BI22" i="18" s="1"/>
  <c r="BJ22" i="18" s="1"/>
  <c r="BK22" i="18" s="1"/>
  <c r="CC21" i="18"/>
  <c r="CD21" i="18" s="1"/>
  <c r="CE21" i="18" s="1"/>
  <c r="CG21" i="18" s="1"/>
  <c r="BR21" i="18"/>
  <c r="BS21" i="18" s="1"/>
  <c r="BT21" i="18" s="1"/>
  <c r="BU21" i="18" s="1"/>
  <c r="BH21" i="18"/>
  <c r="BI21" i="18" s="1"/>
  <c r="BJ21" i="18" s="1"/>
  <c r="BK21" i="18" s="1"/>
  <c r="CC20" i="18"/>
  <c r="CD20" i="18" s="1"/>
  <c r="CE20" i="18" s="1"/>
  <c r="CG20" i="18" s="1"/>
  <c r="BS20" i="18"/>
  <c r="BT20" i="18" s="1"/>
  <c r="BU20" i="18" s="1"/>
  <c r="BH20" i="18"/>
  <c r="BI20" i="18" s="1"/>
  <c r="BJ20" i="18" s="1"/>
  <c r="BK20" i="18" s="1"/>
  <c r="BM20" i="18" s="1"/>
  <c r="CC19" i="18"/>
  <c r="CD19" i="18" s="1"/>
  <c r="CE19" i="18" s="1"/>
  <c r="BS19" i="18"/>
  <c r="BT19" i="18" s="1"/>
  <c r="BU19" i="18" s="1"/>
  <c r="BW19" i="18" s="1"/>
  <c r="BH19" i="18"/>
  <c r="BI19" i="18" s="1"/>
  <c r="BJ19" i="18" s="1"/>
  <c r="BK19" i="18" s="1"/>
  <c r="BM19" i="18" s="1"/>
  <c r="CC18" i="18"/>
  <c r="CD18" i="18" s="1"/>
  <c r="CE18" i="18" s="1"/>
  <c r="CG18" i="18" s="1"/>
  <c r="BS18" i="18"/>
  <c r="BT18" i="18" s="1"/>
  <c r="BU18" i="18" s="1"/>
  <c r="BH18" i="18"/>
  <c r="BI18" i="18" s="1"/>
  <c r="BJ18" i="18" s="1"/>
  <c r="BK18" i="18" s="1"/>
  <c r="BM18" i="18" s="1"/>
  <c r="CC17" i="18"/>
  <c r="CD17" i="18" s="1"/>
  <c r="CE17" i="18" s="1"/>
  <c r="BS17" i="18"/>
  <c r="BT17" i="18" s="1"/>
  <c r="BU17" i="18" s="1"/>
  <c r="BV17" i="18" s="1"/>
  <c r="BH17" i="18"/>
  <c r="BI17" i="18" s="1"/>
  <c r="BJ17" i="18" s="1"/>
  <c r="BK17" i="18" s="1"/>
  <c r="BL17" i="18" s="1"/>
  <c r="CC16" i="18"/>
  <c r="CD16" i="18" s="1"/>
  <c r="CE16" i="18" s="1"/>
  <c r="BS16" i="18"/>
  <c r="BT16" i="18" s="1"/>
  <c r="BU16" i="18" s="1"/>
  <c r="BW16" i="18" s="1"/>
  <c r="BH16" i="18"/>
  <c r="BI16" i="18" s="1"/>
  <c r="BJ16" i="18" s="1"/>
  <c r="BK16" i="18" s="1"/>
  <c r="BL16" i="18" s="1"/>
  <c r="CC15" i="18"/>
  <c r="CD15" i="18" s="1"/>
  <c r="CE15" i="18" s="1"/>
  <c r="BS15" i="18"/>
  <c r="BT15" i="18" s="1"/>
  <c r="BU15" i="18" s="1"/>
  <c r="BV15" i="18" s="1"/>
  <c r="BH15" i="18"/>
  <c r="BI15" i="18" s="1"/>
  <c r="BJ15" i="18" s="1"/>
  <c r="BK15" i="18" s="1"/>
  <c r="BL15" i="18" s="1"/>
  <c r="CC14" i="18"/>
  <c r="CD14" i="18" s="1"/>
  <c r="CE14" i="18" s="1"/>
  <c r="CG14" i="18" s="1"/>
  <c r="BS14" i="18"/>
  <c r="BT14" i="18" s="1"/>
  <c r="BU14" i="18" s="1"/>
  <c r="BW14" i="18" s="1"/>
  <c r="BH14" i="18"/>
  <c r="BI14" i="18" s="1"/>
  <c r="BJ14" i="18" s="1"/>
  <c r="BK14" i="18" s="1"/>
  <c r="BM14" i="18" s="1"/>
  <c r="CC13" i="18"/>
  <c r="CD13" i="18" s="1"/>
  <c r="CE13" i="18" s="1"/>
  <c r="CF13" i="18" s="1"/>
  <c r="BS13" i="18"/>
  <c r="BT13" i="18" s="1"/>
  <c r="BU13" i="18" s="1"/>
  <c r="BV13" i="18" s="1"/>
  <c r="BH13" i="18"/>
  <c r="BI13" i="18" s="1"/>
  <c r="BJ13" i="18" s="1"/>
  <c r="BK13" i="18" s="1"/>
  <c r="BL13" i="18" s="1"/>
  <c r="CC12" i="18"/>
  <c r="CD12" i="18" s="1"/>
  <c r="CE12" i="18" s="1"/>
  <c r="CG12" i="18" s="1"/>
  <c r="BS12" i="18"/>
  <c r="BT12" i="18" s="1"/>
  <c r="BU12" i="18" s="1"/>
  <c r="BW12" i="18" s="1"/>
  <c r="BH12" i="18"/>
  <c r="BI12" i="18" s="1"/>
  <c r="BJ12" i="18" s="1"/>
  <c r="BK12" i="18" s="1"/>
  <c r="CC11" i="18"/>
  <c r="CD11" i="18" s="1"/>
  <c r="CE11" i="18" s="1"/>
  <c r="CG11" i="18" s="1"/>
  <c r="BS11" i="18"/>
  <c r="BT11" i="18" s="1"/>
  <c r="BU11" i="18" s="1"/>
  <c r="BV11" i="18" s="1"/>
  <c r="BH11" i="18"/>
  <c r="BI11" i="18" s="1"/>
  <c r="BJ11" i="18" s="1"/>
  <c r="BK11" i="18" s="1"/>
  <c r="CC10" i="18"/>
  <c r="CD10" i="18" s="1"/>
  <c r="CE10" i="18" s="1"/>
  <c r="CF10" i="18" s="1"/>
  <c r="BS10" i="18"/>
  <c r="BT10" i="18" s="1"/>
  <c r="BU10" i="18" s="1"/>
  <c r="BH10" i="18"/>
  <c r="BI10" i="18" s="1"/>
  <c r="BJ10" i="18" s="1"/>
  <c r="BK10" i="18" s="1"/>
  <c r="CC9" i="18"/>
  <c r="CD9" i="18" s="1"/>
  <c r="CE9" i="18" s="1"/>
  <c r="BS9" i="18"/>
  <c r="BT9" i="18" s="1"/>
  <c r="BU9" i="18" s="1"/>
  <c r="BW9" i="18" s="1"/>
  <c r="BH9" i="18"/>
  <c r="BI9" i="18" s="1"/>
  <c r="BJ9" i="18" s="1"/>
  <c r="BK9" i="18" s="1"/>
  <c r="AT9" i="18"/>
  <c r="BH71" i="18" s="1"/>
  <c r="BI71" i="18" s="1"/>
  <c r="BJ71" i="18" s="1"/>
  <c r="BK71" i="18" s="1"/>
  <c r="BL71" i="18" s="1"/>
  <c r="AR9" i="18"/>
  <c r="AB10" i="18"/>
  <c r="AB11" i="18" s="1"/>
  <c r="AB12" i="18" s="1"/>
  <c r="AB13" i="18" s="1"/>
  <c r="AB14" i="18" s="1"/>
  <c r="AB15" i="18" s="1"/>
  <c r="AB16" i="18" s="1"/>
  <c r="AB17" i="18" s="1"/>
  <c r="AB18" i="18" s="1"/>
  <c r="AB19" i="18" s="1"/>
  <c r="AB20" i="18" s="1"/>
  <c r="AB21" i="18" s="1"/>
  <c r="AB22" i="18" s="1"/>
  <c r="AB23" i="18" s="1"/>
  <c r="AB24" i="18" s="1"/>
  <c r="AB25" i="18" s="1"/>
  <c r="AB26" i="18" s="1"/>
  <c r="AB27" i="18" s="1"/>
  <c r="AB28" i="18" s="1"/>
  <c r="AB29" i="18" s="1"/>
  <c r="AB30" i="18" s="1"/>
  <c r="AB31" i="18" s="1"/>
  <c r="AB32" i="18" s="1"/>
  <c r="AB33" i="18" s="1"/>
  <c r="AB34" i="18" s="1"/>
  <c r="AB35" i="18" s="1"/>
  <c r="AB36" i="18" s="1"/>
  <c r="AB37" i="18" s="1"/>
  <c r="AB38" i="18" s="1"/>
  <c r="AB39" i="18" s="1"/>
  <c r="AB40" i="18" s="1"/>
  <c r="AB41" i="18" s="1"/>
  <c r="AB42" i="18" s="1"/>
  <c r="AB43" i="18" s="1"/>
  <c r="AB44" i="18" s="1"/>
  <c r="AC6" i="18"/>
  <c r="AM3" i="18"/>
  <c r="X26" i="18"/>
  <c r="X25" i="18"/>
  <c r="X24" i="18"/>
  <c r="X23" i="18"/>
  <c r="X22" i="18"/>
  <c r="X21" i="18"/>
  <c r="X20" i="18"/>
  <c r="X19" i="18"/>
  <c r="X18" i="18"/>
  <c r="X17" i="18"/>
  <c r="X16" i="18"/>
  <c r="X15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42" i="18"/>
  <c r="D43" i="18"/>
  <c r="D8" i="18"/>
  <c r="B37" i="10"/>
  <c r="AP289" i="7" s="1"/>
  <c r="M55" i="17"/>
  <c r="D6" i="17"/>
  <c r="C3" i="5"/>
  <c r="C6" i="6"/>
  <c r="C474" i="6" s="1"/>
  <c r="B20" i="10"/>
  <c r="AP272" i="7" s="1"/>
  <c r="B21" i="10"/>
  <c r="AP273" i="7" s="1"/>
  <c r="B22" i="10"/>
  <c r="AP274" i="7" s="1"/>
  <c r="B23" i="10"/>
  <c r="AP275" i="7" s="1"/>
  <c r="B24" i="10"/>
  <c r="AP276" i="7" s="1"/>
  <c r="B25" i="10"/>
  <c r="AP277" i="7" s="1"/>
  <c r="B26" i="10"/>
  <c r="AP278" i="7" s="1"/>
  <c r="B27" i="10"/>
  <c r="AP279" i="7" s="1"/>
  <c r="B28" i="10"/>
  <c r="AP280" i="7" s="1"/>
  <c r="B29" i="10"/>
  <c r="AP281" i="7" s="1"/>
  <c r="B30" i="10"/>
  <c r="AP282" i="7" s="1"/>
  <c r="B31" i="10"/>
  <c r="AP283" i="7" s="1"/>
  <c r="B32" i="10"/>
  <c r="AP284" i="7" s="1"/>
  <c r="B33" i="10"/>
  <c r="AP285" i="7" s="1"/>
  <c r="B34" i="10"/>
  <c r="AP286" i="7" s="1"/>
  <c r="B35" i="10"/>
  <c r="AP287" i="7" s="1"/>
  <c r="B36" i="10"/>
  <c r="AP288" i="7" s="1"/>
  <c r="B83" i="4"/>
  <c r="B82" i="4"/>
  <c r="B22" i="5"/>
  <c r="F21" i="16" s="1"/>
  <c r="B21" i="5"/>
  <c r="F20" i="16" s="1"/>
  <c r="B20" i="5"/>
  <c r="F19" i="16" s="1"/>
  <c r="B19" i="5"/>
  <c r="F18" i="16" s="1"/>
  <c r="B18" i="5"/>
  <c r="F17" i="16" s="1"/>
  <c r="B17" i="5"/>
  <c r="F16" i="16" s="1"/>
  <c r="B16" i="5"/>
  <c r="F15" i="16" s="1"/>
  <c r="B15" i="5"/>
  <c r="F14" i="16" s="1"/>
  <c r="B14" i="5"/>
  <c r="F13" i="16" s="1"/>
  <c r="A82" i="4"/>
  <c r="A83" i="4"/>
  <c r="G3" i="17"/>
  <c r="A1" i="17"/>
  <c r="A12" i="10"/>
  <c r="Y11" i="10" s="1"/>
  <c r="Q9" i="12"/>
  <c r="Q10" i="12"/>
  <c r="Q11" i="12"/>
  <c r="Q12" i="12"/>
  <c r="Q13" i="12"/>
  <c r="Q14" i="12"/>
  <c r="Q15" i="12"/>
  <c r="Q16" i="12"/>
  <c r="Q17" i="12"/>
  <c r="Q18" i="12"/>
  <c r="Q19" i="12"/>
  <c r="Q20" i="12"/>
  <c r="A31" i="4"/>
  <c r="C32" i="4" s="1"/>
  <c r="B55" i="10"/>
  <c r="AP307" i="7" s="1"/>
  <c r="BL8" i="6"/>
  <c r="Q9" i="4" s="1"/>
  <c r="B54" i="10"/>
  <c r="AP306" i="7" s="1"/>
  <c r="BL9" i="6"/>
  <c r="Q10" i="4" s="1"/>
  <c r="B53" i="10"/>
  <c r="AP305" i="7" s="1"/>
  <c r="BL10" i="6"/>
  <c r="Q11" i="4" s="1"/>
  <c r="B52" i="10"/>
  <c r="AP304" i="7" s="1"/>
  <c r="BL11" i="6"/>
  <c r="Q12" i="4" s="1"/>
  <c r="B51" i="10"/>
  <c r="AP303" i="7" s="1"/>
  <c r="BL12" i="6"/>
  <c r="Q13" i="4" s="1"/>
  <c r="B50" i="10"/>
  <c r="AP302" i="7" s="1"/>
  <c r="BL13" i="6"/>
  <c r="Q14" i="4" s="1"/>
  <c r="B49" i="10"/>
  <c r="AP301" i="7" s="1"/>
  <c r="BL14" i="6"/>
  <c r="Q15" i="4" s="1"/>
  <c r="B48" i="10"/>
  <c r="AP300" i="7" s="1"/>
  <c r="BL15" i="6"/>
  <c r="Q16" i="4" s="1"/>
  <c r="B47" i="10"/>
  <c r="AP299" i="7" s="1"/>
  <c r="BL16" i="6"/>
  <c r="Q17" i="4" s="1"/>
  <c r="B46" i="10"/>
  <c r="AP298" i="7" s="1"/>
  <c r="BL17" i="6"/>
  <c r="Q18" i="4" s="1"/>
  <c r="B45" i="10"/>
  <c r="AP297" i="7" s="1"/>
  <c r="BL18" i="6"/>
  <c r="Q19" i="4" s="1"/>
  <c r="B44" i="10"/>
  <c r="AP296" i="7" s="1"/>
  <c r="BL19" i="6"/>
  <c r="Q20" i="4" s="1"/>
  <c r="B43" i="10"/>
  <c r="AP295" i="7" s="1"/>
  <c r="B42" i="10"/>
  <c r="AP294" i="7" s="1"/>
  <c r="B41" i="10"/>
  <c r="AP293" i="7" s="1"/>
  <c r="B40" i="10"/>
  <c r="AP292" i="7" s="1"/>
  <c r="B39" i="10"/>
  <c r="AP291" i="7" s="1"/>
  <c r="B38" i="10"/>
  <c r="AP290" i="7" s="1"/>
  <c r="G10" i="16"/>
  <c r="AF11" i="16" s="1"/>
  <c r="H10" i="16"/>
  <c r="H11" i="16" s="1"/>
  <c r="H12" i="16" s="1"/>
  <c r="H13" i="16" s="1"/>
  <c r="H14" i="16" s="1"/>
  <c r="H15" i="16" s="1"/>
  <c r="E275" i="6"/>
  <c r="G20" i="16"/>
  <c r="K20" i="16" s="1"/>
  <c r="G27" i="16"/>
  <c r="K27" i="16" s="1"/>
  <c r="G26" i="16"/>
  <c r="K26" i="16" s="1"/>
  <c r="G25" i="16"/>
  <c r="K25" i="16" s="1"/>
  <c r="G24" i="16"/>
  <c r="K24" i="16" s="1"/>
  <c r="G23" i="16"/>
  <c r="K23" i="16" s="1"/>
  <c r="G22" i="16"/>
  <c r="K22" i="16" s="1"/>
  <c r="G21" i="16"/>
  <c r="K21" i="16" s="1"/>
  <c r="G19" i="16"/>
  <c r="K19" i="16" s="1"/>
  <c r="G18" i="16"/>
  <c r="K18" i="16" s="1"/>
  <c r="G17" i="16"/>
  <c r="K17" i="16" s="1"/>
  <c r="G16" i="16"/>
  <c r="K16" i="16" s="1"/>
  <c r="G15" i="16"/>
  <c r="K15" i="16" s="1"/>
  <c r="G14" i="16"/>
  <c r="K14" i="16" s="1"/>
  <c r="G13" i="16"/>
  <c r="K13" i="16" s="1"/>
  <c r="G12" i="16"/>
  <c r="K12" i="16" s="1"/>
  <c r="G11" i="16"/>
  <c r="U55" i="16"/>
  <c r="A86" i="4"/>
  <c r="A81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C103" i="4" s="1"/>
  <c r="B11" i="5"/>
  <c r="B13" i="5"/>
  <c r="F12" i="16" s="1"/>
  <c r="D47" i="16" s="1"/>
  <c r="A113" i="4"/>
  <c r="A114" i="4" s="1"/>
  <c r="A115" i="4" s="1"/>
  <c r="A116" i="4" s="1"/>
  <c r="A117" i="4" s="1"/>
  <c r="S11" i="16"/>
  <c r="S12" i="16" s="1"/>
  <c r="S13" i="16" s="1"/>
  <c r="S14" i="16" s="1"/>
  <c r="S15" i="16" s="1"/>
  <c r="S16" i="16" s="1"/>
  <c r="S17" i="16" s="1"/>
  <c r="S18" i="16" s="1"/>
  <c r="S19" i="16" s="1"/>
  <c r="S20" i="16" s="1"/>
  <c r="S21" i="16" s="1"/>
  <c r="S22" i="16" s="1"/>
  <c r="S23" i="16" s="1"/>
  <c r="S24" i="16" s="1"/>
  <c r="S25" i="16" s="1"/>
  <c r="S26" i="16" s="1"/>
  <c r="S27" i="16" s="1"/>
  <c r="B28" i="5"/>
  <c r="F27" i="16" s="1"/>
  <c r="B27" i="5"/>
  <c r="F26" i="16" s="1"/>
  <c r="B26" i="5"/>
  <c r="F25" i="16" s="1"/>
  <c r="B25" i="5"/>
  <c r="F24" i="16" s="1"/>
  <c r="B24" i="5"/>
  <c r="F23" i="16" s="1"/>
  <c r="B23" i="5"/>
  <c r="F22" i="16" s="1"/>
  <c r="B12" i="5"/>
  <c r="F11" i="16" s="1"/>
  <c r="A1" i="5"/>
  <c r="A1" i="16" s="1"/>
  <c r="H19" i="8"/>
  <c r="A91" i="8"/>
  <c r="A89" i="8"/>
  <c r="A77" i="8"/>
  <c r="A90" i="8" s="1"/>
  <c r="B91" i="8"/>
  <c r="B92" i="8"/>
  <c r="B93" i="8"/>
  <c r="B94" i="8"/>
  <c r="B95" i="8"/>
  <c r="C94" i="8" s="1"/>
  <c r="H18" i="8"/>
  <c r="H17" i="8"/>
  <c r="I17" i="8" s="1"/>
  <c r="H16" i="8"/>
  <c r="H15" i="8"/>
  <c r="H14" i="8"/>
  <c r="H13" i="8"/>
  <c r="H12" i="8"/>
  <c r="H11" i="8"/>
  <c r="H10" i="8"/>
  <c r="H9" i="8"/>
  <c r="T38" i="10"/>
  <c r="AT43" i="6"/>
  <c r="AT8" i="6"/>
  <c r="AT9" i="6"/>
  <c r="AT10" i="6"/>
  <c r="AT11" i="6"/>
  <c r="AT12" i="6"/>
  <c r="AT13" i="6"/>
  <c r="AT14" i="6"/>
  <c r="AT15" i="6"/>
  <c r="AT16" i="6"/>
  <c r="AT17" i="6"/>
  <c r="AT18" i="6"/>
  <c r="AT19" i="6"/>
  <c r="AT20" i="6"/>
  <c r="AT21" i="6"/>
  <c r="AT22" i="6"/>
  <c r="AT23" i="6"/>
  <c r="AT24" i="6"/>
  <c r="AT25" i="6"/>
  <c r="AT26" i="6"/>
  <c r="AT27" i="6"/>
  <c r="AT28" i="6"/>
  <c r="AT29" i="6"/>
  <c r="AT30" i="6"/>
  <c r="AT31" i="6"/>
  <c r="AT32" i="6"/>
  <c r="AT33" i="6"/>
  <c r="AT34" i="6"/>
  <c r="AT35" i="6"/>
  <c r="AT36" i="6"/>
  <c r="AT37" i="6"/>
  <c r="AT38" i="6"/>
  <c r="AT39" i="6"/>
  <c r="AT40" i="6"/>
  <c r="AT41" i="6"/>
  <c r="AT42" i="6"/>
  <c r="A166" i="14"/>
  <c r="A111" i="14"/>
  <c r="A56" i="14"/>
  <c r="A1" i="14"/>
  <c r="E276" i="6"/>
  <c r="F330" i="6"/>
  <c r="F331" i="6" s="1"/>
  <c r="F332" i="6" s="1"/>
  <c r="F390" i="6"/>
  <c r="F391" i="6" s="1"/>
  <c r="F392" i="6" s="1"/>
  <c r="F393" i="6" s="1"/>
  <c r="F394" i="6" s="1"/>
  <c r="F395" i="6" s="1"/>
  <c r="F396" i="6" s="1"/>
  <c r="F397" i="6" s="1"/>
  <c r="F398" i="6" s="1"/>
  <c r="F399" i="6" s="1"/>
  <c r="S344" i="6"/>
  <c r="E344" i="6"/>
  <c r="S343" i="6"/>
  <c r="E343" i="6"/>
  <c r="O340" i="6"/>
  <c r="A340" i="6"/>
  <c r="CS43" i="11"/>
  <c r="CS42" i="11"/>
  <c r="CS41" i="11"/>
  <c r="CS62" i="11"/>
  <c r="CS61" i="11"/>
  <c r="CS60" i="11"/>
  <c r="CS59" i="11"/>
  <c r="CS58" i="11"/>
  <c r="CS57" i="11"/>
  <c r="CS56" i="11"/>
  <c r="CS55" i="11"/>
  <c r="CS54" i="11"/>
  <c r="CS53" i="11"/>
  <c r="CS52" i="11"/>
  <c r="CS51" i="11"/>
  <c r="CS50" i="11"/>
  <c r="CS49" i="11"/>
  <c r="CS48" i="11"/>
  <c r="CS47" i="11"/>
  <c r="CS46" i="11"/>
  <c r="CS45" i="11"/>
  <c r="CS44" i="11"/>
  <c r="CS40" i="11"/>
  <c r="T21" i="10"/>
  <c r="U21" i="10"/>
  <c r="W21" i="10"/>
  <c r="T22" i="10"/>
  <c r="U22" i="10"/>
  <c r="W22" i="10"/>
  <c r="U23" i="10"/>
  <c r="W23" i="10"/>
  <c r="U24" i="10"/>
  <c r="W24" i="10"/>
  <c r="T25" i="10"/>
  <c r="U25" i="10"/>
  <c r="W25" i="10"/>
  <c r="T26" i="10"/>
  <c r="U26" i="10"/>
  <c r="W26" i="10"/>
  <c r="U27" i="10"/>
  <c r="W27" i="10"/>
  <c r="T28" i="10"/>
  <c r="U28" i="10"/>
  <c r="W28" i="10"/>
  <c r="U29" i="10"/>
  <c r="W29" i="10"/>
  <c r="U30" i="10"/>
  <c r="W30" i="10"/>
  <c r="U31" i="10"/>
  <c r="W31" i="10"/>
  <c r="U32" i="10"/>
  <c r="W32" i="10"/>
  <c r="T33" i="10"/>
  <c r="U33" i="10"/>
  <c r="W33" i="10"/>
  <c r="T34" i="10"/>
  <c r="U34" i="10"/>
  <c r="W34" i="10"/>
  <c r="U35" i="10"/>
  <c r="W35" i="10"/>
  <c r="T36" i="10"/>
  <c r="U36" i="10"/>
  <c r="W36" i="10"/>
  <c r="U37" i="10"/>
  <c r="W37" i="10"/>
  <c r="U38" i="10"/>
  <c r="W38" i="10"/>
  <c r="U39" i="10"/>
  <c r="W39" i="10"/>
  <c r="U40" i="10"/>
  <c r="W40" i="10"/>
  <c r="T41" i="10"/>
  <c r="U41" i="10"/>
  <c r="W41" i="10"/>
  <c r="T42" i="10"/>
  <c r="U42" i="10"/>
  <c r="W42" i="10"/>
  <c r="U43" i="10"/>
  <c r="W43" i="10"/>
  <c r="AN2" i="6"/>
  <c r="U5" i="11"/>
  <c r="V5" i="11" s="1"/>
  <c r="W5" i="11" s="1"/>
  <c r="X5" i="11" s="1"/>
  <c r="Y5" i="11" s="1"/>
  <c r="Z5" i="11" s="1"/>
  <c r="AA5" i="11" s="1"/>
  <c r="AB5" i="11" s="1"/>
  <c r="AC5" i="11" s="1"/>
  <c r="AD5" i="11" s="1"/>
  <c r="AE5" i="11" s="1"/>
  <c r="AF5" i="11" s="1"/>
  <c r="AG5" i="11" s="1"/>
  <c r="AH5" i="11" s="1"/>
  <c r="AI5" i="11" s="1"/>
  <c r="AJ5" i="11" s="1"/>
  <c r="AK5" i="11" s="1"/>
  <c r="AL5" i="11" s="1"/>
  <c r="AM5" i="11" s="1"/>
  <c r="AN5" i="11" s="1"/>
  <c r="AO5" i="11" s="1"/>
  <c r="AP5" i="11" s="1"/>
  <c r="AQ5" i="11" s="1"/>
  <c r="AR5" i="11" s="1"/>
  <c r="AS5" i="11" s="1"/>
  <c r="AT5" i="11" s="1"/>
  <c r="AU5" i="11" s="1"/>
  <c r="AV5" i="11" s="1"/>
  <c r="AW5" i="11" s="1"/>
  <c r="AX5" i="11" s="1"/>
  <c r="AY5" i="11" s="1"/>
  <c r="AZ5" i="11" s="1"/>
  <c r="BA5" i="11" s="1"/>
  <c r="BB5" i="11" s="1"/>
  <c r="BC5" i="11" s="1"/>
  <c r="BD5" i="11" s="1"/>
  <c r="DC9" i="11"/>
  <c r="DE9" i="11" s="1"/>
  <c r="DD9" i="11"/>
  <c r="DC10" i="11"/>
  <c r="DE10" i="11" s="1"/>
  <c r="DD10" i="11"/>
  <c r="DC11" i="11"/>
  <c r="DE11" i="11" s="1"/>
  <c r="DD11" i="11"/>
  <c r="DC12" i="11"/>
  <c r="DE12" i="11" s="1"/>
  <c r="DD12" i="11"/>
  <c r="DC13" i="11"/>
  <c r="DE13" i="11" s="1"/>
  <c r="DD13" i="11"/>
  <c r="DC14" i="11"/>
  <c r="DE14" i="11" s="1"/>
  <c r="DD14" i="11"/>
  <c r="DC15" i="11"/>
  <c r="DE15" i="11" s="1"/>
  <c r="DD15" i="11"/>
  <c r="DC16" i="11"/>
  <c r="DE16" i="11" s="1"/>
  <c r="DD16" i="11"/>
  <c r="DC17" i="11"/>
  <c r="DE17" i="11" s="1"/>
  <c r="DD17" i="11"/>
  <c r="DC18" i="11"/>
  <c r="DE18" i="11" s="1"/>
  <c r="DD18" i="11"/>
  <c r="DC19" i="11"/>
  <c r="DE19" i="11" s="1"/>
  <c r="DD19" i="11"/>
  <c r="DC20" i="11"/>
  <c r="DE20" i="11" s="1"/>
  <c r="DD20" i="11"/>
  <c r="DE25" i="11"/>
  <c r="CX27" i="11"/>
  <c r="DD27" i="11"/>
  <c r="DE27" i="11"/>
  <c r="DD28" i="11"/>
  <c r="DE28" i="11"/>
  <c r="A62" i="10"/>
  <c r="A117" i="10"/>
  <c r="J167" i="10"/>
  <c r="L167" i="10"/>
  <c r="M167" i="10"/>
  <c r="O167" i="10"/>
  <c r="P167" i="10"/>
  <c r="Q167" i="10"/>
  <c r="O168" i="10"/>
  <c r="O169" i="10"/>
  <c r="O170" i="10"/>
  <c r="A3" i="9"/>
  <c r="AT7" i="9"/>
  <c r="AU7" i="9" s="1"/>
  <c r="AV7" i="9" s="1"/>
  <c r="BD7" i="9"/>
  <c r="BE7" i="9" s="1"/>
  <c r="BF7" i="9" s="1"/>
  <c r="BH7" i="9" s="1"/>
  <c r="DD7" i="9"/>
  <c r="DE7" i="9" s="1"/>
  <c r="DF7" i="9" s="1"/>
  <c r="DJ7" i="9"/>
  <c r="AT8" i="9"/>
  <c r="AU8" i="9" s="1"/>
  <c r="AV8" i="9" s="1"/>
  <c r="BD8" i="9"/>
  <c r="BE8" i="9" s="1"/>
  <c r="BF8" i="9" s="1"/>
  <c r="BH8" i="9" s="1"/>
  <c r="DD8" i="9"/>
  <c r="DE8" i="9" s="1"/>
  <c r="DF8" i="9" s="1"/>
  <c r="DJ8" i="9"/>
  <c r="AT9" i="9"/>
  <c r="AU9" i="9" s="1"/>
  <c r="AV9" i="9" s="1"/>
  <c r="AW9" i="9" s="1"/>
  <c r="BD9" i="9"/>
  <c r="BE9" i="9" s="1"/>
  <c r="BF9" i="9" s="1"/>
  <c r="DD9" i="9"/>
  <c r="DE9" i="9" s="1"/>
  <c r="DF9" i="9" s="1"/>
  <c r="DH9" i="9" s="1"/>
  <c r="DJ9" i="9"/>
  <c r="AT10" i="9"/>
  <c r="AU10" i="9" s="1"/>
  <c r="AV10" i="9" s="1"/>
  <c r="BD10" i="9"/>
  <c r="BE10" i="9" s="1"/>
  <c r="BF10" i="9" s="1"/>
  <c r="BG10" i="9" s="1"/>
  <c r="DD10" i="9"/>
  <c r="DE10" i="9" s="1"/>
  <c r="DF10" i="9" s="1"/>
  <c r="DJ10" i="9"/>
  <c r="AT11" i="9"/>
  <c r="AU11" i="9" s="1"/>
  <c r="AV11" i="9" s="1"/>
  <c r="BD11" i="9"/>
  <c r="BE11" i="9" s="1"/>
  <c r="BF11" i="9" s="1"/>
  <c r="BG11" i="9" s="1"/>
  <c r="DD11" i="9"/>
  <c r="DE11" i="9" s="1"/>
  <c r="DF11" i="9" s="1"/>
  <c r="DH11" i="9" s="1"/>
  <c r="DJ11" i="9"/>
  <c r="AT12" i="9"/>
  <c r="AU12" i="9" s="1"/>
  <c r="AV12" i="9" s="1"/>
  <c r="BD12" i="9"/>
  <c r="BE12" i="9" s="1"/>
  <c r="BF12" i="9" s="1"/>
  <c r="BG12" i="9" s="1"/>
  <c r="DD12" i="9"/>
  <c r="DE12" i="9" s="1"/>
  <c r="DF12" i="9" s="1"/>
  <c r="DJ12" i="9"/>
  <c r="AT13" i="9"/>
  <c r="AU13" i="9" s="1"/>
  <c r="AV13" i="9" s="1"/>
  <c r="BD13" i="9"/>
  <c r="BE13" i="9" s="1"/>
  <c r="BF13" i="9" s="1"/>
  <c r="BG13" i="9" s="1"/>
  <c r="DD13" i="9"/>
  <c r="DE13" i="9" s="1"/>
  <c r="DF13" i="9" s="1"/>
  <c r="DJ13" i="9"/>
  <c r="AT14" i="9"/>
  <c r="AU14" i="9" s="1"/>
  <c r="AV14" i="9" s="1"/>
  <c r="AX14" i="9" s="1"/>
  <c r="BD14" i="9"/>
  <c r="BE14" i="9" s="1"/>
  <c r="BF14" i="9" s="1"/>
  <c r="DD14" i="9"/>
  <c r="DE14" i="9" s="1"/>
  <c r="DF14" i="9" s="1"/>
  <c r="DH14" i="9" s="1"/>
  <c r="DJ14" i="9"/>
  <c r="AT15" i="9"/>
  <c r="AU15" i="9" s="1"/>
  <c r="AV15" i="9" s="1"/>
  <c r="AW15" i="9" s="1"/>
  <c r="BD15" i="9"/>
  <c r="BE15" i="9" s="1"/>
  <c r="BF15" i="9" s="1"/>
  <c r="DD15" i="9"/>
  <c r="DE15" i="9" s="1"/>
  <c r="DF15" i="9" s="1"/>
  <c r="DJ15" i="9"/>
  <c r="AT16" i="9"/>
  <c r="AU16" i="9" s="1"/>
  <c r="AV16" i="9" s="1"/>
  <c r="BD16" i="9"/>
  <c r="BE16" i="9" s="1"/>
  <c r="BF16" i="9" s="1"/>
  <c r="DD16" i="9"/>
  <c r="DE16" i="9" s="1"/>
  <c r="DF16" i="9" s="1"/>
  <c r="DJ16" i="9"/>
  <c r="BD17" i="9"/>
  <c r="BE17" i="9" s="1"/>
  <c r="BF17" i="9" s="1"/>
  <c r="BG17" i="9" s="1"/>
  <c r="DD17" i="9"/>
  <c r="DE17" i="9" s="1"/>
  <c r="DF17" i="9" s="1"/>
  <c r="DJ17" i="9"/>
  <c r="BD18" i="9"/>
  <c r="BE18" i="9" s="1"/>
  <c r="BF18" i="9" s="1"/>
  <c r="DD18" i="9"/>
  <c r="DE18" i="9" s="1"/>
  <c r="DF18" i="9" s="1"/>
  <c r="DG18" i="9" s="1"/>
  <c r="DJ18" i="9"/>
  <c r="BD19" i="9"/>
  <c r="BE19" i="9" s="1"/>
  <c r="BF19" i="9" s="1"/>
  <c r="BH19" i="9" s="1"/>
  <c r="DD19" i="9"/>
  <c r="DE19" i="9" s="1"/>
  <c r="DF19" i="9" s="1"/>
  <c r="DJ19" i="9"/>
  <c r="BD20" i="9"/>
  <c r="BE20" i="9" s="1"/>
  <c r="BF20" i="9" s="1"/>
  <c r="DD20" i="9"/>
  <c r="DE20" i="9" s="1"/>
  <c r="DF20" i="9" s="1"/>
  <c r="DJ20" i="9"/>
  <c r="BD21" i="9"/>
  <c r="BE21" i="9" s="1"/>
  <c r="BF21" i="9" s="1"/>
  <c r="BG21" i="9" s="1"/>
  <c r="DD21" i="9"/>
  <c r="DE21" i="9" s="1"/>
  <c r="DF21" i="9" s="1"/>
  <c r="DJ21" i="9"/>
  <c r="BD22" i="9"/>
  <c r="BE22" i="9" s="1"/>
  <c r="BF22" i="9" s="1"/>
  <c r="BG22" i="9" s="1"/>
  <c r="DD22" i="9"/>
  <c r="DE22" i="9" s="1"/>
  <c r="DF22" i="9" s="1"/>
  <c r="DH22" i="9" s="1"/>
  <c r="DJ22" i="9"/>
  <c r="DD23" i="9"/>
  <c r="DE23" i="9" s="1"/>
  <c r="DF23" i="9" s="1"/>
  <c r="DJ23" i="9"/>
  <c r="DD24" i="9"/>
  <c r="DE24" i="9" s="1"/>
  <c r="DF24" i="9" s="1"/>
  <c r="DJ24" i="9"/>
  <c r="AT69" i="9"/>
  <c r="AU69" i="9" s="1"/>
  <c r="AV69" i="9" s="1"/>
  <c r="AX69" i="9" s="1"/>
  <c r="BD69" i="9"/>
  <c r="BE69" i="9" s="1"/>
  <c r="BF69" i="9" s="1"/>
  <c r="BH69" i="9" s="1"/>
  <c r="AT70" i="9"/>
  <c r="AU70" i="9" s="1"/>
  <c r="AV70" i="9" s="1"/>
  <c r="AW70" i="9" s="1"/>
  <c r="BD70" i="9"/>
  <c r="BE70" i="9" s="1"/>
  <c r="BF70" i="9" s="1"/>
  <c r="BG70" i="9" s="1"/>
  <c r="AT71" i="9"/>
  <c r="AU71" i="9" s="1"/>
  <c r="AV71" i="9" s="1"/>
  <c r="BD71" i="9"/>
  <c r="BE71" i="9" s="1"/>
  <c r="BF71" i="9" s="1"/>
  <c r="BG71" i="9" s="1"/>
  <c r="AT72" i="9"/>
  <c r="AU72" i="9" s="1"/>
  <c r="AV72" i="9" s="1"/>
  <c r="AX72" i="9" s="1"/>
  <c r="BD72" i="9"/>
  <c r="BE72" i="9" s="1"/>
  <c r="BF72" i="9" s="1"/>
  <c r="BH72" i="9" s="1"/>
  <c r="AT73" i="9"/>
  <c r="AU73" i="9" s="1"/>
  <c r="AV73" i="9" s="1"/>
  <c r="BD73" i="9"/>
  <c r="BE73" i="9" s="1"/>
  <c r="BF73" i="9" s="1"/>
  <c r="AT74" i="9"/>
  <c r="AU74" i="9" s="1"/>
  <c r="AV74" i="9" s="1"/>
  <c r="BD74" i="9"/>
  <c r="BE74" i="9" s="1"/>
  <c r="BF74" i="9" s="1"/>
  <c r="BG74" i="9" s="1"/>
  <c r="AT75" i="9"/>
  <c r="AU75" i="9" s="1"/>
  <c r="AV75" i="9" s="1"/>
  <c r="AW75" i="9" s="1"/>
  <c r="BD75" i="9"/>
  <c r="BE75" i="9" s="1"/>
  <c r="BF75" i="9" s="1"/>
  <c r="BH75" i="9" s="1"/>
  <c r="AT76" i="9"/>
  <c r="AU76" i="9" s="1"/>
  <c r="AV76" i="9" s="1"/>
  <c r="BD76" i="9"/>
  <c r="BE76" i="9" s="1"/>
  <c r="BF76" i="9" s="1"/>
  <c r="AT77" i="9"/>
  <c r="AU77" i="9" s="1"/>
  <c r="AV77" i="9" s="1"/>
  <c r="AX77" i="9" s="1"/>
  <c r="BD77" i="9"/>
  <c r="BE77" i="9" s="1"/>
  <c r="BF77" i="9" s="1"/>
  <c r="BG77" i="9" s="1"/>
  <c r="AT78" i="9"/>
  <c r="AU78" i="9" s="1"/>
  <c r="AV78" i="9" s="1"/>
  <c r="AX78" i="9" s="1"/>
  <c r="BD78" i="9"/>
  <c r="BE78" i="9" s="1"/>
  <c r="BF78" i="9" s="1"/>
  <c r="BD79" i="9"/>
  <c r="BE79" i="9" s="1"/>
  <c r="BF79" i="9" s="1"/>
  <c r="BG79" i="9" s="1"/>
  <c r="BD80" i="9"/>
  <c r="BE80" i="9" s="1"/>
  <c r="BF80" i="9" s="1"/>
  <c r="BG80" i="9" s="1"/>
  <c r="BD81" i="9"/>
  <c r="BE81" i="9" s="1"/>
  <c r="BF81" i="9" s="1"/>
  <c r="BD82" i="9"/>
  <c r="BE82" i="9" s="1"/>
  <c r="BF82" i="9" s="1"/>
  <c r="BH82" i="9" s="1"/>
  <c r="BD83" i="9"/>
  <c r="BE83" i="9" s="1"/>
  <c r="BF83" i="9" s="1"/>
  <c r="BG83" i="9" s="1"/>
  <c r="BD84" i="9"/>
  <c r="BE84" i="9" s="1"/>
  <c r="BF84" i="9" s="1"/>
  <c r="V110" i="9"/>
  <c r="A1" i="13"/>
  <c r="F112" i="13"/>
  <c r="L112" i="13"/>
  <c r="A1" i="12"/>
  <c r="A3" i="12"/>
  <c r="W9" i="12"/>
  <c r="W10" i="12"/>
  <c r="W11" i="12"/>
  <c r="W12" i="12"/>
  <c r="W13" i="12"/>
  <c r="W14" i="12"/>
  <c r="W15" i="12"/>
  <c r="W16" i="12"/>
  <c r="W17" i="12"/>
  <c r="W18" i="12"/>
  <c r="W19" i="12"/>
  <c r="W20" i="12"/>
  <c r="A1" i="7"/>
  <c r="U268" i="7" s="1"/>
  <c r="U1" i="7"/>
  <c r="AZ3" i="7"/>
  <c r="AO6" i="7"/>
  <c r="AN10" i="7"/>
  <c r="AN11" i="7" s="1"/>
  <c r="AN12" i="7" s="1"/>
  <c r="AN13" i="7" s="1"/>
  <c r="AN14" i="7" s="1"/>
  <c r="AN15" i="7" s="1"/>
  <c r="AN16" i="7" s="1"/>
  <c r="AN17" i="7" s="1"/>
  <c r="AN18" i="7" s="1"/>
  <c r="AN19" i="7" s="1"/>
  <c r="AN20" i="7" s="1"/>
  <c r="AN21" i="7" s="1"/>
  <c r="AN22" i="7" s="1"/>
  <c r="AN23" i="7" s="1"/>
  <c r="AN24" i="7" s="1"/>
  <c r="AN25" i="7" s="1"/>
  <c r="AN26" i="7" s="1"/>
  <c r="AN27" i="7" s="1"/>
  <c r="AO92" i="7"/>
  <c r="AP92" i="7"/>
  <c r="AQ92" i="7"/>
  <c r="AR92" i="7"/>
  <c r="AS92" i="7"/>
  <c r="AX92" i="7"/>
  <c r="AY92" i="7"/>
  <c r="AZ92" i="7"/>
  <c r="BA92" i="7"/>
  <c r="AO93" i="7"/>
  <c r="AW93" i="7" s="1"/>
  <c r="AP93" i="7"/>
  <c r="AQ93" i="7"/>
  <c r="AR93" i="7"/>
  <c r="AS93" i="7"/>
  <c r="AX93" i="7"/>
  <c r="AY93" i="7"/>
  <c r="AZ93" i="7"/>
  <c r="BA93" i="7"/>
  <c r="AO95" i="7"/>
  <c r="AW95" i="7" s="1"/>
  <c r="AO96" i="7"/>
  <c r="AW96" i="7" s="1"/>
  <c r="AO98" i="7"/>
  <c r="AW98" i="7" s="1"/>
  <c r="AO99" i="7"/>
  <c r="AW99" i="7" s="1"/>
  <c r="AO101" i="7"/>
  <c r="AW101" i="7" s="1"/>
  <c r="AO102" i="7"/>
  <c r="AW102" i="7" s="1"/>
  <c r="AO104" i="7"/>
  <c r="AW104" i="7" s="1"/>
  <c r="AO105" i="7"/>
  <c r="AW105" i="7" s="1"/>
  <c r="AO330" i="7"/>
  <c r="AO331" i="7"/>
  <c r="AG347" i="7"/>
  <c r="D1" i="8"/>
  <c r="A4" i="8"/>
  <c r="A92" i="8"/>
  <c r="B90" i="8"/>
  <c r="H20" i="8"/>
  <c r="H21" i="8"/>
  <c r="H22" i="8"/>
  <c r="F28" i="8"/>
  <c r="F29" i="8"/>
  <c r="F30" i="8"/>
  <c r="F31" i="8"/>
  <c r="F32" i="8"/>
  <c r="F33" i="8"/>
  <c r="F34" i="8"/>
  <c r="F35" i="8"/>
  <c r="F36" i="8"/>
  <c r="L40" i="8"/>
  <c r="L41" i="8"/>
  <c r="L42" i="8"/>
  <c r="L43" i="8"/>
  <c r="L44" i="8"/>
  <c r="L45" i="8"/>
  <c r="L46" i="8"/>
  <c r="L47" i="8"/>
  <c r="L48" i="8"/>
  <c r="L49" i="8"/>
  <c r="A93" i="8"/>
  <c r="A94" i="8"/>
  <c r="A95" i="8"/>
  <c r="C1" i="4"/>
  <c r="P31" i="4"/>
  <c r="P32" i="4"/>
  <c r="P33" i="4"/>
  <c r="P34" i="4"/>
  <c r="P35" i="4"/>
  <c r="P36" i="4"/>
  <c r="P37" i="4"/>
  <c r="P38" i="4"/>
  <c r="P39" i="4"/>
  <c r="P40" i="4"/>
  <c r="P41" i="4"/>
  <c r="P42" i="4"/>
  <c r="A87" i="4"/>
  <c r="A90" i="4"/>
  <c r="A95" i="4"/>
  <c r="A99" i="4"/>
  <c r="A103" i="4"/>
  <c r="E108" i="4"/>
  <c r="D7" i="17" s="1"/>
  <c r="B124" i="4"/>
  <c r="C124" i="4"/>
  <c r="E124" i="4"/>
  <c r="H118" i="5"/>
  <c r="BL20" i="6"/>
  <c r="BL21" i="6"/>
  <c r="H119" i="5"/>
  <c r="H120" i="5"/>
  <c r="H121" i="5"/>
  <c r="J121" i="5" s="1"/>
  <c r="H122" i="5"/>
  <c r="J122" i="5" s="1"/>
  <c r="H123" i="5"/>
  <c r="J123" i="5" s="1"/>
  <c r="H124" i="5"/>
  <c r="J124" i="5" s="1"/>
  <c r="H125" i="5"/>
  <c r="J125" i="5" s="1"/>
  <c r="H126" i="5"/>
  <c r="J126" i="5" s="1"/>
  <c r="H127" i="5"/>
  <c r="J127" i="5" s="1"/>
  <c r="H128" i="5"/>
  <c r="J128" i="5" s="1"/>
  <c r="H129" i="5"/>
  <c r="J129" i="5" s="1"/>
  <c r="H130" i="5"/>
  <c r="J130" i="5" s="1"/>
  <c r="H131" i="5"/>
  <c r="J131" i="5" s="1"/>
  <c r="H132" i="5"/>
  <c r="J132" i="5" s="1"/>
  <c r="H133" i="5"/>
  <c r="J133" i="5" s="1"/>
  <c r="H134" i="5"/>
  <c r="J134" i="5" s="1"/>
  <c r="E157" i="5"/>
  <c r="O1" i="6"/>
  <c r="AA1" i="6"/>
  <c r="AV1" i="6"/>
  <c r="R2" i="6"/>
  <c r="AD2" i="6"/>
  <c r="R3" i="6"/>
  <c r="AD3" i="6"/>
  <c r="CO6" i="6"/>
  <c r="CO7" i="6" s="1"/>
  <c r="CO8" i="6" s="1"/>
  <c r="CO9" i="6" s="1"/>
  <c r="CO10" i="6" s="1"/>
  <c r="CO11" i="6" s="1"/>
  <c r="CO12" i="6" s="1"/>
  <c r="CO13" i="6" s="1"/>
  <c r="CO14" i="6" s="1"/>
  <c r="CO15" i="6" s="1"/>
  <c r="BL22" i="6"/>
  <c r="BL23" i="6"/>
  <c r="BL24" i="6"/>
  <c r="BL25" i="6"/>
  <c r="BL26" i="6"/>
  <c r="BL27" i="6"/>
  <c r="BL28" i="6"/>
  <c r="BL29" i="6"/>
  <c r="BL30" i="6"/>
  <c r="BL31" i="6"/>
  <c r="BL32" i="6"/>
  <c r="BL33" i="6"/>
  <c r="BL34" i="6"/>
  <c r="BL35" i="6"/>
  <c r="BL36" i="6"/>
  <c r="BL37" i="6"/>
  <c r="BL38" i="6"/>
  <c r="BL39" i="6"/>
  <c r="BL40" i="6"/>
  <c r="BL41" i="6"/>
  <c r="C144" i="6"/>
  <c r="O144" i="6"/>
  <c r="AA144" i="6"/>
  <c r="BL42" i="6"/>
  <c r="BL43" i="6"/>
  <c r="C187" i="6"/>
  <c r="O187" i="6"/>
  <c r="AA187" i="6"/>
  <c r="C192" i="6"/>
  <c r="D192" i="6"/>
  <c r="E192" i="6"/>
  <c r="F192" i="6"/>
  <c r="G192" i="6"/>
  <c r="H192" i="6"/>
  <c r="I192" i="6"/>
  <c r="J192" i="6"/>
  <c r="K192" i="6"/>
  <c r="L192" i="6"/>
  <c r="M192" i="6"/>
  <c r="N192" i="6"/>
  <c r="O192" i="6"/>
  <c r="P192" i="6"/>
  <c r="Q192" i="6"/>
  <c r="R192" i="6"/>
  <c r="S192" i="6"/>
  <c r="T192" i="6"/>
  <c r="U192" i="6"/>
  <c r="V192" i="6"/>
  <c r="W192" i="6"/>
  <c r="X192" i="6"/>
  <c r="Y192" i="6"/>
  <c r="Z192" i="6"/>
  <c r="AA192" i="6"/>
  <c r="AB192" i="6"/>
  <c r="AC192" i="6"/>
  <c r="AD192" i="6"/>
  <c r="AE192" i="6"/>
  <c r="AF192" i="6"/>
  <c r="AG192" i="6"/>
  <c r="AH192" i="6"/>
  <c r="AI192" i="6"/>
  <c r="AJ192" i="6"/>
  <c r="AK192" i="6"/>
  <c r="AL192" i="6"/>
  <c r="AL193" i="6"/>
  <c r="AK194" i="6"/>
  <c r="AL194" i="6"/>
  <c r="AJ195" i="6"/>
  <c r="AK195" i="6"/>
  <c r="AL195" i="6"/>
  <c r="AI196" i="6"/>
  <c r="AJ196" i="6"/>
  <c r="AK196" i="6"/>
  <c r="AL196" i="6"/>
  <c r="AH197" i="6"/>
  <c r="AI197" i="6"/>
  <c r="AJ197" i="6"/>
  <c r="AK197" i="6"/>
  <c r="AL197" i="6"/>
  <c r="AG198" i="6"/>
  <c r="AH198" i="6"/>
  <c r="AI198" i="6"/>
  <c r="AJ198" i="6"/>
  <c r="AK198" i="6"/>
  <c r="AL198" i="6"/>
  <c r="AF199" i="6"/>
  <c r="AG199" i="6"/>
  <c r="AH199" i="6"/>
  <c r="AI199" i="6"/>
  <c r="AJ199" i="6"/>
  <c r="AK199" i="6"/>
  <c r="AL199" i="6"/>
  <c r="AE200" i="6"/>
  <c r="AF200" i="6"/>
  <c r="AG200" i="6"/>
  <c r="AH200" i="6"/>
  <c r="AI200" i="6"/>
  <c r="AJ200" i="6"/>
  <c r="AK200" i="6"/>
  <c r="AL200" i="6"/>
  <c r="AD201" i="6"/>
  <c r="AE201" i="6"/>
  <c r="AF201" i="6"/>
  <c r="AG201" i="6"/>
  <c r="AH201" i="6"/>
  <c r="AI201" i="6"/>
  <c r="AJ201" i="6"/>
  <c r="AK201" i="6"/>
  <c r="AL201" i="6"/>
  <c r="AC202" i="6"/>
  <c r="AD202" i="6"/>
  <c r="AE202" i="6"/>
  <c r="AF202" i="6"/>
  <c r="AG202" i="6"/>
  <c r="AH202" i="6"/>
  <c r="AI202" i="6"/>
  <c r="AJ202" i="6"/>
  <c r="AK202" i="6"/>
  <c r="AL202" i="6"/>
  <c r="AB203" i="6"/>
  <c r="AC203" i="6"/>
  <c r="AD203" i="6"/>
  <c r="AE203" i="6"/>
  <c r="AF203" i="6"/>
  <c r="AG203" i="6"/>
  <c r="AH203" i="6"/>
  <c r="AI203" i="6"/>
  <c r="AJ203" i="6"/>
  <c r="AK203" i="6"/>
  <c r="AL203" i="6"/>
  <c r="AA204" i="6"/>
  <c r="AB204" i="6"/>
  <c r="AC204" i="6"/>
  <c r="AD204" i="6"/>
  <c r="AE204" i="6"/>
  <c r="AF204" i="6"/>
  <c r="AG204" i="6"/>
  <c r="AH204" i="6"/>
  <c r="AI204" i="6"/>
  <c r="AJ204" i="6"/>
  <c r="AK204" i="6"/>
  <c r="AL204" i="6"/>
  <c r="Z205" i="6"/>
  <c r="AA205" i="6"/>
  <c r="AB205" i="6"/>
  <c r="AC205" i="6"/>
  <c r="AD205" i="6"/>
  <c r="AE205" i="6"/>
  <c r="AF205" i="6"/>
  <c r="AG205" i="6"/>
  <c r="AH205" i="6"/>
  <c r="AI205" i="6"/>
  <c r="AJ205" i="6"/>
  <c r="AK205" i="6"/>
  <c r="AL205" i="6"/>
  <c r="Y206" i="6"/>
  <c r="Z206" i="6"/>
  <c r="AA206" i="6"/>
  <c r="AB206" i="6"/>
  <c r="AC206" i="6"/>
  <c r="AD206" i="6"/>
  <c r="AE206" i="6"/>
  <c r="AF206" i="6"/>
  <c r="AG206" i="6"/>
  <c r="AH206" i="6"/>
  <c r="AI206" i="6"/>
  <c r="AJ206" i="6"/>
  <c r="AK206" i="6"/>
  <c r="AL206" i="6"/>
  <c r="X207" i="6"/>
  <c r="Y207" i="6"/>
  <c r="Z207" i="6"/>
  <c r="AA207" i="6"/>
  <c r="AB207" i="6"/>
  <c r="AC207" i="6"/>
  <c r="AD207" i="6"/>
  <c r="AE207" i="6"/>
  <c r="AF207" i="6"/>
  <c r="AG207" i="6"/>
  <c r="AH207" i="6"/>
  <c r="AI207" i="6"/>
  <c r="AJ207" i="6"/>
  <c r="AK207" i="6"/>
  <c r="AL207" i="6"/>
  <c r="W208" i="6"/>
  <c r="X208" i="6"/>
  <c r="Y208" i="6"/>
  <c r="Z208" i="6"/>
  <c r="AA208" i="6"/>
  <c r="AB208" i="6"/>
  <c r="AC208" i="6"/>
  <c r="AD208" i="6"/>
  <c r="AE208" i="6"/>
  <c r="AF208" i="6"/>
  <c r="AG208" i="6"/>
  <c r="AH208" i="6"/>
  <c r="AI208" i="6"/>
  <c r="AJ208" i="6"/>
  <c r="AK208" i="6"/>
  <c r="AL208" i="6"/>
  <c r="V209" i="6"/>
  <c r="W209" i="6"/>
  <c r="X209" i="6"/>
  <c r="Y209" i="6"/>
  <c r="Z209" i="6"/>
  <c r="AA209" i="6"/>
  <c r="AB209" i="6"/>
  <c r="AC209" i="6"/>
  <c r="AD209" i="6"/>
  <c r="AE209" i="6"/>
  <c r="AF209" i="6"/>
  <c r="AG209" i="6"/>
  <c r="AH209" i="6"/>
  <c r="AI209" i="6"/>
  <c r="AJ209" i="6"/>
  <c r="AK209" i="6"/>
  <c r="AL209" i="6"/>
  <c r="U210" i="6"/>
  <c r="V210" i="6"/>
  <c r="W210" i="6"/>
  <c r="X210" i="6"/>
  <c r="Y210" i="6"/>
  <c r="Z210" i="6"/>
  <c r="AA210" i="6"/>
  <c r="AB210" i="6"/>
  <c r="AC210" i="6"/>
  <c r="AD210" i="6"/>
  <c r="AE210" i="6"/>
  <c r="AF210" i="6"/>
  <c r="AG210" i="6"/>
  <c r="AH210" i="6"/>
  <c r="AI210" i="6"/>
  <c r="AJ210" i="6"/>
  <c r="AK210" i="6"/>
  <c r="AL210" i="6"/>
  <c r="T211" i="6"/>
  <c r="U211" i="6"/>
  <c r="V211" i="6"/>
  <c r="W211" i="6"/>
  <c r="X211" i="6"/>
  <c r="Y211" i="6"/>
  <c r="Z211" i="6"/>
  <c r="AA211" i="6"/>
  <c r="AB211" i="6"/>
  <c r="AC211" i="6"/>
  <c r="AD211" i="6"/>
  <c r="AE211" i="6"/>
  <c r="AF211" i="6"/>
  <c r="AG211" i="6"/>
  <c r="AH211" i="6"/>
  <c r="AI211" i="6"/>
  <c r="AJ211" i="6"/>
  <c r="AK211" i="6"/>
  <c r="AL211" i="6"/>
  <c r="S212" i="6"/>
  <c r="T212" i="6"/>
  <c r="U212" i="6"/>
  <c r="V212" i="6"/>
  <c r="W212" i="6"/>
  <c r="X212" i="6"/>
  <c r="Y212" i="6"/>
  <c r="Z212" i="6"/>
  <c r="AA212" i="6"/>
  <c r="AB212" i="6"/>
  <c r="AC212" i="6"/>
  <c r="AD212" i="6"/>
  <c r="AE212" i="6"/>
  <c r="AF212" i="6"/>
  <c r="AG212" i="6"/>
  <c r="AH212" i="6"/>
  <c r="AI212" i="6"/>
  <c r="AJ212" i="6"/>
  <c r="AK212" i="6"/>
  <c r="AL212" i="6"/>
  <c r="R213" i="6"/>
  <c r="S213" i="6"/>
  <c r="T213" i="6"/>
  <c r="U213" i="6"/>
  <c r="V213" i="6"/>
  <c r="W213" i="6"/>
  <c r="X213" i="6"/>
  <c r="Y213" i="6"/>
  <c r="Z213" i="6"/>
  <c r="AA213" i="6"/>
  <c r="AB213" i="6"/>
  <c r="AC213" i="6"/>
  <c r="AD213" i="6"/>
  <c r="AE213" i="6"/>
  <c r="AF213" i="6"/>
  <c r="AG213" i="6"/>
  <c r="AH213" i="6"/>
  <c r="AI213" i="6"/>
  <c r="AJ213" i="6"/>
  <c r="AK213" i="6"/>
  <c r="AL213" i="6"/>
  <c r="Q214" i="6"/>
  <c r="R214" i="6"/>
  <c r="S214" i="6"/>
  <c r="T214" i="6"/>
  <c r="U214" i="6"/>
  <c r="V214" i="6"/>
  <c r="W214" i="6"/>
  <c r="X214" i="6"/>
  <c r="Y214" i="6"/>
  <c r="Z214" i="6"/>
  <c r="AA214" i="6"/>
  <c r="AB214" i="6"/>
  <c r="AC214" i="6"/>
  <c r="AD214" i="6"/>
  <c r="AE214" i="6"/>
  <c r="AF214" i="6"/>
  <c r="AG214" i="6"/>
  <c r="AH214" i="6"/>
  <c r="AI214" i="6"/>
  <c r="AJ214" i="6"/>
  <c r="AK214" i="6"/>
  <c r="AL214" i="6"/>
  <c r="P215" i="6"/>
  <c r="Q215" i="6"/>
  <c r="R215" i="6"/>
  <c r="S215" i="6"/>
  <c r="T215" i="6"/>
  <c r="U215" i="6"/>
  <c r="V215" i="6"/>
  <c r="W215" i="6"/>
  <c r="X215" i="6"/>
  <c r="Y215" i="6"/>
  <c r="Z215" i="6"/>
  <c r="AA215" i="6"/>
  <c r="AB215" i="6"/>
  <c r="AC215" i="6"/>
  <c r="AD215" i="6"/>
  <c r="AE215" i="6"/>
  <c r="AF215" i="6"/>
  <c r="AG215" i="6"/>
  <c r="AH215" i="6"/>
  <c r="AI215" i="6"/>
  <c r="AJ215" i="6"/>
  <c r="AK215" i="6"/>
  <c r="AL215" i="6"/>
  <c r="A230" i="6"/>
  <c r="V230" i="6"/>
  <c r="A272" i="6"/>
  <c r="O272" i="6"/>
  <c r="S275" i="6"/>
  <c r="S276" i="6"/>
  <c r="A423" i="6"/>
  <c r="B441" i="6"/>
  <c r="E441" i="6" s="1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BH83" i="9"/>
  <c r="BH77" i="9"/>
  <c r="BW76" i="18"/>
  <c r="BV76" i="18"/>
  <c r="BV16" i="18"/>
  <c r="CF75" i="18"/>
  <c r="BM29" i="18"/>
  <c r="BV30" i="18"/>
  <c r="CF43" i="18"/>
  <c r="BM24" i="18"/>
  <c r="BL32" i="18"/>
  <c r="CG33" i="18"/>
  <c r="BL36" i="18"/>
  <c r="BL44" i="18"/>
  <c r="BV73" i="18"/>
  <c r="BV79" i="18"/>
  <c r="AW69" i="9"/>
  <c r="BM16" i="18"/>
  <c r="BM37" i="18"/>
  <c r="AX75" i="9"/>
  <c r="BV26" i="18"/>
  <c r="BV22" i="18"/>
  <c r="BW22" i="18"/>
  <c r="BV42" i="18"/>
  <c r="BV38" i="18"/>
  <c r="BW38" i="18"/>
  <c r="BH71" i="9"/>
  <c r="BV24" i="18"/>
  <c r="BG7" i="9"/>
  <c r="BH16" i="9"/>
  <c r="BG16" i="9"/>
  <c r="T30" i="10"/>
  <c r="A91" i="4"/>
  <c r="A100" i="4"/>
  <c r="T31" i="10"/>
  <c r="BH22" i="9"/>
  <c r="DG11" i="9"/>
  <c r="T32" i="10"/>
  <c r="A93" i="4"/>
  <c r="T40" i="10"/>
  <c r="A101" i="4"/>
  <c r="DF13" i="11"/>
  <c r="DG13" i="11" s="1"/>
  <c r="BN90" i="9"/>
  <c r="BO90" i="9" s="1"/>
  <c r="BP90" i="9" s="1"/>
  <c r="BN89" i="9"/>
  <c r="BO89" i="9" s="1"/>
  <c r="BP89" i="9" s="1"/>
  <c r="BN88" i="9"/>
  <c r="BO88" i="9" s="1"/>
  <c r="BP88" i="9" s="1"/>
  <c r="AT44" i="18"/>
  <c r="BH106" i="18" s="1"/>
  <c r="AR44" i="18"/>
  <c r="AT42" i="9"/>
  <c r="AU42" i="9" s="1"/>
  <c r="AV42" i="9" s="1"/>
  <c r="AW42" i="9" s="1"/>
  <c r="BD42" i="9"/>
  <c r="BE42" i="9" s="1"/>
  <c r="BF42" i="9" s="1"/>
  <c r="AJ42" i="9"/>
  <c r="AK42" i="9" s="1"/>
  <c r="AL42" i="9" s="1"/>
  <c r="AN42" i="9" s="1"/>
  <c r="AT41" i="9"/>
  <c r="AU41" i="9" s="1"/>
  <c r="AV41" i="9" s="1"/>
  <c r="BD41" i="9"/>
  <c r="BE41" i="9" s="1"/>
  <c r="BF41" i="9" s="1"/>
  <c r="BH41" i="9" s="1"/>
  <c r="AJ41" i="9"/>
  <c r="AK41" i="9" s="1"/>
  <c r="AL41" i="9" s="1"/>
  <c r="AN41" i="9" s="1"/>
  <c r="AJ103" i="9"/>
  <c r="AK103" i="9" s="1"/>
  <c r="AL103" i="9" s="1"/>
  <c r="AJ104" i="9"/>
  <c r="AK104" i="9" s="1"/>
  <c r="AL104" i="9" s="1"/>
  <c r="BN87" i="9"/>
  <c r="BO87" i="9" s="1"/>
  <c r="BP87" i="9" s="1"/>
  <c r="BR87" i="9" s="1"/>
  <c r="BD104" i="9"/>
  <c r="BE104" i="9" s="1"/>
  <c r="BF104" i="9" s="1"/>
  <c r="BH104" i="9" s="1"/>
  <c r="AT104" i="9"/>
  <c r="AU104" i="9" s="1"/>
  <c r="AV104" i="9" s="1"/>
  <c r="AT103" i="9"/>
  <c r="AU103" i="9" s="1"/>
  <c r="AV103" i="9" s="1"/>
  <c r="BD103" i="9"/>
  <c r="BE103" i="9" s="1"/>
  <c r="BF103" i="9" s="1"/>
  <c r="V20" i="4" l="1"/>
  <c r="B442" i="6"/>
  <c r="E442" i="6" s="1"/>
  <c r="B434" i="6"/>
  <c r="E434" i="6" s="1"/>
  <c r="AW197" i="9"/>
  <c r="B438" i="6"/>
  <c r="E438" i="6" s="1"/>
  <c r="CF38" i="18"/>
  <c r="AX199" i="9"/>
  <c r="CF79" i="18"/>
  <c r="CG10" i="18"/>
  <c r="CF30" i="18"/>
  <c r="CF26" i="18"/>
  <c r="CF18" i="18"/>
  <c r="BR41" i="9"/>
  <c r="BR206" i="9"/>
  <c r="AW140" i="9"/>
  <c r="BH21" i="9"/>
  <c r="BR210" i="9"/>
  <c r="BV19" i="18"/>
  <c r="BH17" i="9"/>
  <c r="BV23" i="18"/>
  <c r="BR203" i="9"/>
  <c r="BH201" i="9"/>
  <c r="CF74" i="18"/>
  <c r="B433" i="6"/>
  <c r="E433" i="6" s="1"/>
  <c r="BV81" i="18"/>
  <c r="CG35" i="18"/>
  <c r="BQ75" i="9"/>
  <c r="CF31" i="18"/>
  <c r="CF39" i="18"/>
  <c r="BV75" i="18"/>
  <c r="CF11" i="18"/>
  <c r="DF17" i="11"/>
  <c r="DG17" i="11" s="1"/>
  <c r="BR18" i="9"/>
  <c r="AW139" i="9"/>
  <c r="DF10" i="11"/>
  <c r="DG10" i="11" s="1"/>
  <c r="BH80" i="9"/>
  <c r="BG205" i="9"/>
  <c r="CG83" i="18"/>
  <c r="BM41" i="18"/>
  <c r="BH166" i="9"/>
  <c r="DF15" i="11"/>
  <c r="DG15" i="11" s="1"/>
  <c r="DF12" i="11"/>
  <c r="DG12" i="11" s="1"/>
  <c r="CF72" i="18"/>
  <c r="BL42" i="18"/>
  <c r="CF86" i="18"/>
  <c r="CF78" i="18"/>
  <c r="AW72" i="9"/>
  <c r="AW78" i="9"/>
  <c r="AX9" i="9"/>
  <c r="DG22" i="9"/>
  <c r="BQ201" i="9"/>
  <c r="CF20" i="18"/>
  <c r="CF12" i="18"/>
  <c r="AM228" i="9"/>
  <c r="BR84" i="9"/>
  <c r="BH227" i="9"/>
  <c r="CF32" i="18"/>
  <c r="BG198" i="9"/>
  <c r="DG9" i="9"/>
  <c r="BR23" i="9"/>
  <c r="BH79" i="9"/>
  <c r="BG19" i="9"/>
  <c r="BV37" i="18"/>
  <c r="CF84" i="18"/>
  <c r="BW17" i="18"/>
  <c r="BW33" i="18"/>
  <c r="BL27" i="18"/>
  <c r="BL19" i="18"/>
  <c r="BR227" i="9"/>
  <c r="BH11" i="9"/>
  <c r="BM43" i="18"/>
  <c r="BR207" i="9"/>
  <c r="BV80" i="18"/>
  <c r="BH70" i="9"/>
  <c r="BM15" i="18"/>
  <c r="BR15" i="9"/>
  <c r="CG81" i="18"/>
  <c r="CF81" i="18"/>
  <c r="BR14" i="9"/>
  <c r="DH17" i="9"/>
  <c r="DG17" i="9"/>
  <c r="D34" i="5"/>
  <c r="D33" i="5"/>
  <c r="BG75" i="9"/>
  <c r="D32" i="5"/>
  <c r="D31" i="5"/>
  <c r="C93" i="8"/>
  <c r="C92" i="8" s="1"/>
  <c r="C91" i="8" s="1"/>
  <c r="C90" i="8" s="1"/>
  <c r="C89" i="8" s="1"/>
  <c r="D30" i="5"/>
  <c r="D29" i="5"/>
  <c r="DF20" i="11"/>
  <c r="DG20" i="11" s="1"/>
  <c r="CF19" i="18"/>
  <c r="CG19" i="18"/>
  <c r="BW78" i="18"/>
  <c r="BV78" i="18"/>
  <c r="N142" i="6"/>
  <c r="N143" i="6" s="1"/>
  <c r="BJ43" i="6"/>
  <c r="BG43" i="6"/>
  <c r="BF43" i="6"/>
  <c r="BI43" i="6"/>
  <c r="BE43" i="6"/>
  <c r="BH43" i="6"/>
  <c r="BL14" i="18"/>
  <c r="DF18" i="11"/>
  <c r="DG18" i="11" s="1"/>
  <c r="V161" i="6"/>
  <c r="V25" i="20" s="1"/>
  <c r="BH10" i="9"/>
  <c r="I11" i="16"/>
  <c r="U57" i="16" s="1"/>
  <c r="B430" i="6"/>
  <c r="E430" i="6" s="1"/>
  <c r="AI164" i="6"/>
  <c r="AI28" i="20" s="1"/>
  <c r="BX13" i="9"/>
  <c r="D35" i="9" s="1"/>
  <c r="R155" i="6"/>
  <c r="R19" i="20" s="1"/>
  <c r="AH158" i="6"/>
  <c r="AH22" i="20" s="1"/>
  <c r="W169" i="6"/>
  <c r="W33" i="20" s="1"/>
  <c r="M135" i="6"/>
  <c r="R385" i="6"/>
  <c r="R383" i="6" s="1"/>
  <c r="R382" i="6" s="1"/>
  <c r="R381" i="6" s="1"/>
  <c r="R380" i="6" s="1"/>
  <c r="R379" i="6" s="1"/>
  <c r="R378" i="6" s="1"/>
  <c r="AD316" i="6"/>
  <c r="AD317" i="6" s="1"/>
  <c r="AD318" i="6" s="1"/>
  <c r="AD319" i="6" s="1"/>
  <c r="AD320" i="6" s="1"/>
  <c r="M316" i="6"/>
  <c r="M317" i="6" s="1"/>
  <c r="M318" i="6" s="1"/>
  <c r="M319" i="6" s="1"/>
  <c r="M320" i="6" s="1"/>
  <c r="X316" i="6"/>
  <c r="X317" i="6" s="1"/>
  <c r="X318" i="6" s="1"/>
  <c r="X319" i="6" s="1"/>
  <c r="X320" i="6" s="1"/>
  <c r="R316" i="6"/>
  <c r="R317" i="6" s="1"/>
  <c r="R318" i="6" s="1"/>
  <c r="R319" i="6" s="1"/>
  <c r="R320" i="6" s="1"/>
  <c r="J316" i="6"/>
  <c r="J317" i="6" s="1"/>
  <c r="J318" i="6" s="1"/>
  <c r="J319" i="6" s="1"/>
  <c r="J320" i="6" s="1"/>
  <c r="AA316" i="6"/>
  <c r="AA317" i="6" s="1"/>
  <c r="AA318" i="6" s="1"/>
  <c r="AA319" i="6" s="1"/>
  <c r="AA320" i="6" s="1"/>
  <c r="U316" i="6"/>
  <c r="U317" i="6" s="1"/>
  <c r="U318" i="6" s="1"/>
  <c r="U319" i="6" s="1"/>
  <c r="U320" i="6" s="1"/>
  <c r="G316" i="6"/>
  <c r="G317" i="6" s="1"/>
  <c r="G318" i="6" s="1"/>
  <c r="G319" i="6" s="1"/>
  <c r="G320" i="6" s="1"/>
  <c r="AU9" i="6"/>
  <c r="Z154" i="6"/>
  <c r="Z18" i="20" s="1"/>
  <c r="AD159" i="6"/>
  <c r="AD23" i="20" s="1"/>
  <c r="AH151" i="6"/>
  <c r="AH15" i="20" s="1"/>
  <c r="AA151" i="6"/>
  <c r="AA15" i="20" s="1"/>
  <c r="AI169" i="6"/>
  <c r="AI33" i="20" s="1"/>
  <c r="V168" i="6"/>
  <c r="V32" i="20" s="1"/>
  <c r="V172" i="6"/>
  <c r="V36" i="20" s="1"/>
  <c r="Z163" i="6"/>
  <c r="Z27" i="20" s="1"/>
  <c r="V171" i="6"/>
  <c r="V35" i="20" s="1"/>
  <c r="AH166" i="6"/>
  <c r="AH30" i="20" s="1"/>
  <c r="AD161" i="6"/>
  <c r="AD25" i="20" s="1"/>
  <c r="AL150" i="6"/>
  <c r="AL14" i="20" s="1"/>
  <c r="AH155" i="6"/>
  <c r="AH19" i="20" s="1"/>
  <c r="C442" i="6"/>
  <c r="F442" i="6" s="1"/>
  <c r="V170" i="6"/>
  <c r="V34" i="20" s="1"/>
  <c r="AI165" i="6"/>
  <c r="AI29" i="20" s="1"/>
  <c r="AI159" i="6"/>
  <c r="AI23" i="20" s="1"/>
  <c r="AA155" i="6"/>
  <c r="AA19" i="20" s="1"/>
  <c r="AI163" i="6"/>
  <c r="AI27" i="20" s="1"/>
  <c r="R152" i="6"/>
  <c r="R16" i="20" s="1"/>
  <c r="I13" i="16"/>
  <c r="U59" i="16" s="1"/>
  <c r="I102" i="8"/>
  <c r="I15" i="8"/>
  <c r="Z160" i="6"/>
  <c r="Z24" i="20" s="1"/>
  <c r="Z178" i="6"/>
  <c r="Z177" i="6"/>
  <c r="Z176" i="6"/>
  <c r="Z175" i="6"/>
  <c r="Z174" i="6"/>
  <c r="Z173" i="6"/>
  <c r="Z184" i="6"/>
  <c r="Z183" i="6"/>
  <c r="Z182" i="6"/>
  <c r="Z181" i="6"/>
  <c r="Z180" i="6"/>
  <c r="Z179" i="6"/>
  <c r="Z142" i="6"/>
  <c r="Z143" i="6" s="1"/>
  <c r="AP232" i="7" s="1"/>
  <c r="AQ232" i="7" s="1"/>
  <c r="AW239" i="7" s="1"/>
  <c r="AV239" i="7" s="1"/>
  <c r="Z135" i="6"/>
  <c r="AH178" i="6"/>
  <c r="AH177" i="6"/>
  <c r="AH176" i="6"/>
  <c r="AH175" i="6"/>
  <c r="AH174" i="6"/>
  <c r="AH173" i="6"/>
  <c r="AH142" i="6"/>
  <c r="AH143" i="6" s="1"/>
  <c r="AH184" i="6"/>
  <c r="AH183" i="6"/>
  <c r="AH182" i="6"/>
  <c r="AH181" i="6"/>
  <c r="AH180" i="6"/>
  <c r="AH179" i="6"/>
  <c r="AH135" i="6"/>
  <c r="BY12" i="6" s="1"/>
  <c r="CA12" i="6" s="1"/>
  <c r="V151" i="6"/>
  <c r="V15" i="20" s="1"/>
  <c r="V178" i="6"/>
  <c r="V177" i="6"/>
  <c r="V176" i="6"/>
  <c r="V175" i="6"/>
  <c r="V174" i="6"/>
  <c r="V173" i="6"/>
  <c r="V142" i="6"/>
  <c r="AP184" i="7" s="1"/>
  <c r="AQ184" i="7" s="1"/>
  <c r="V184" i="6"/>
  <c r="V182" i="6"/>
  <c r="V180" i="6"/>
  <c r="V183" i="6"/>
  <c r="V181" i="6"/>
  <c r="V179" i="6"/>
  <c r="V135" i="6"/>
  <c r="AL171" i="6"/>
  <c r="AL35" i="20" s="1"/>
  <c r="AL168" i="6"/>
  <c r="AL32" i="20" s="1"/>
  <c r="AA166" i="6"/>
  <c r="AA30" i="20" s="1"/>
  <c r="AE165" i="6"/>
  <c r="AE29" i="20" s="1"/>
  <c r="AD164" i="6"/>
  <c r="AD28" i="20" s="1"/>
  <c r="AA161" i="6"/>
  <c r="AA25" i="20" s="1"/>
  <c r="AH157" i="6"/>
  <c r="AH21" i="20" s="1"/>
  <c r="AL154" i="6"/>
  <c r="AL18" i="20" s="1"/>
  <c r="I21" i="8"/>
  <c r="E29" i="8"/>
  <c r="G29" i="8" s="1"/>
  <c r="I87" i="8" s="1"/>
  <c r="U7" i="8"/>
  <c r="E33" i="8"/>
  <c r="G33" i="8" s="1"/>
  <c r="I91" i="8" s="1"/>
  <c r="I19" i="8"/>
  <c r="R178" i="6"/>
  <c r="R177" i="6"/>
  <c r="R176" i="6"/>
  <c r="R175" i="6"/>
  <c r="R174" i="6"/>
  <c r="R173" i="6"/>
  <c r="R184" i="6"/>
  <c r="R183" i="6"/>
  <c r="R182" i="6"/>
  <c r="R181" i="6"/>
  <c r="R180" i="6"/>
  <c r="R179" i="6"/>
  <c r="AD155" i="6"/>
  <c r="AD19" i="20" s="1"/>
  <c r="AD178" i="6"/>
  <c r="AD177" i="6"/>
  <c r="AD176" i="6"/>
  <c r="AD175" i="6"/>
  <c r="AD174" i="6"/>
  <c r="AD173" i="6"/>
  <c r="AD142" i="6"/>
  <c r="AD143" i="6" s="1"/>
  <c r="AP236" i="7" s="1"/>
  <c r="AQ236" i="7" s="1"/>
  <c r="AW235" i="7" s="1"/>
  <c r="AV235" i="7" s="1"/>
  <c r="AD184" i="6"/>
  <c r="AD182" i="6"/>
  <c r="AD180" i="6"/>
  <c r="AD183" i="6"/>
  <c r="AD181" i="6"/>
  <c r="AD179" i="6"/>
  <c r="AD135" i="6"/>
  <c r="AL177" i="6"/>
  <c r="AL176" i="6"/>
  <c r="AL175" i="6"/>
  <c r="AL174" i="6"/>
  <c r="AL173" i="6"/>
  <c r="AL142" i="6"/>
  <c r="AC28" i="5" s="1"/>
  <c r="AL178" i="6"/>
  <c r="AL184" i="6"/>
  <c r="AL183" i="6"/>
  <c r="AL182" i="6"/>
  <c r="AL181" i="6"/>
  <c r="AL180" i="6"/>
  <c r="AL179" i="6"/>
  <c r="AL135" i="6"/>
  <c r="C441" i="6"/>
  <c r="F441" i="6" s="1"/>
  <c r="AL172" i="6"/>
  <c r="AL36" i="20" s="1"/>
  <c r="AL170" i="6"/>
  <c r="AL34" i="20" s="1"/>
  <c r="AH167" i="6"/>
  <c r="AH31" i="20" s="1"/>
  <c r="AH162" i="6"/>
  <c r="AH26" i="20" s="1"/>
  <c r="AA152" i="6"/>
  <c r="AA16" i="20" s="1"/>
  <c r="V155" i="6"/>
  <c r="V19" i="20" s="1"/>
  <c r="E30" i="8"/>
  <c r="G30" i="8" s="1"/>
  <c r="I88" i="8" s="1"/>
  <c r="I16" i="8"/>
  <c r="AD152" i="6"/>
  <c r="AD16" i="20" s="1"/>
  <c r="S162" i="6"/>
  <c r="S26" i="20" s="1"/>
  <c r="O155" i="6"/>
  <c r="O19" i="20" s="1"/>
  <c r="O142" i="6"/>
  <c r="O184" i="6"/>
  <c r="O183" i="6"/>
  <c r="O182" i="6"/>
  <c r="O181" i="6"/>
  <c r="O180" i="6"/>
  <c r="O179" i="6"/>
  <c r="O178" i="6"/>
  <c r="O177" i="6"/>
  <c r="O176" i="6"/>
  <c r="O175" i="6"/>
  <c r="O174" i="6"/>
  <c r="O173" i="6"/>
  <c r="W156" i="6"/>
  <c r="W20" i="20" s="1"/>
  <c r="W184" i="6"/>
  <c r="W183" i="6"/>
  <c r="W182" i="6"/>
  <c r="W181" i="6"/>
  <c r="W180" i="6"/>
  <c r="W179" i="6"/>
  <c r="W178" i="6"/>
  <c r="W177" i="6"/>
  <c r="W176" i="6"/>
  <c r="W175" i="6"/>
  <c r="W174" i="6"/>
  <c r="W173" i="6"/>
  <c r="W142" i="6"/>
  <c r="W143" i="6" s="1"/>
  <c r="AP229" i="7" s="1"/>
  <c r="AQ229" i="7" s="1"/>
  <c r="AW242" i="7" s="1"/>
  <c r="AV242" i="7" s="1"/>
  <c r="W135" i="6"/>
  <c r="BM23" i="6" s="1"/>
  <c r="D40" i="10" s="1"/>
  <c r="AE152" i="6"/>
  <c r="AE16" i="20" s="1"/>
  <c r="AE142" i="6"/>
  <c r="AP193" i="7" s="1"/>
  <c r="AQ193" i="7" s="1"/>
  <c r="AE184" i="6"/>
  <c r="AE183" i="6"/>
  <c r="AE182" i="6"/>
  <c r="AE181" i="6"/>
  <c r="AE180" i="6"/>
  <c r="AE179" i="6"/>
  <c r="AE178" i="6"/>
  <c r="AE177" i="6"/>
  <c r="AE176" i="6"/>
  <c r="AE175" i="6"/>
  <c r="AE174" i="6"/>
  <c r="AE173" i="6"/>
  <c r="AE135" i="6"/>
  <c r="BY15" i="6" s="1"/>
  <c r="CA15" i="6" s="1"/>
  <c r="C190" i="6"/>
  <c r="C437" i="6"/>
  <c r="F437" i="6" s="1"/>
  <c r="AE172" i="6"/>
  <c r="AE36" i="20" s="1"/>
  <c r="AD171" i="6"/>
  <c r="AD35" i="20" s="1"/>
  <c r="AD170" i="6"/>
  <c r="AD34" i="20" s="1"/>
  <c r="AH169" i="6"/>
  <c r="AH33" i="20" s="1"/>
  <c r="AE168" i="6"/>
  <c r="AE32" i="20" s="1"/>
  <c r="Z167" i="6"/>
  <c r="Z31" i="20" s="1"/>
  <c r="Z166" i="6"/>
  <c r="Z30" i="20" s="1"/>
  <c r="AD165" i="6"/>
  <c r="AD29" i="20" s="1"/>
  <c r="Z162" i="6"/>
  <c r="Z26" i="20" s="1"/>
  <c r="AH160" i="6"/>
  <c r="AH24" i="20" s="1"/>
  <c r="AL158" i="6"/>
  <c r="AL22" i="20" s="1"/>
  <c r="AE157" i="6"/>
  <c r="AE21" i="20" s="1"/>
  <c r="AL153" i="6"/>
  <c r="AL17" i="20" s="1"/>
  <c r="I20" i="8"/>
  <c r="P41" i="8"/>
  <c r="Q41" i="8" s="1"/>
  <c r="U6" i="8"/>
  <c r="V6" i="8" s="1"/>
  <c r="W150" i="6"/>
  <c r="W14" i="20" s="1"/>
  <c r="AE149" i="6"/>
  <c r="AE13" i="20" s="1"/>
  <c r="Z152" i="6"/>
  <c r="Z16" i="20" s="1"/>
  <c r="V157" i="6"/>
  <c r="V21" i="20" s="1"/>
  <c r="R160" i="6"/>
  <c r="R24" i="20" s="1"/>
  <c r="I13" i="8"/>
  <c r="P48" i="8" s="1"/>
  <c r="Q48" i="8" s="1"/>
  <c r="I97" i="8"/>
  <c r="AH149" i="6"/>
  <c r="AH13" i="20" s="1"/>
  <c r="AE153" i="6"/>
  <c r="V163" i="6"/>
  <c r="V27" i="20" s="1"/>
  <c r="W159" i="6"/>
  <c r="W23" i="20" s="1"/>
  <c r="P184" i="6"/>
  <c r="P183" i="6"/>
  <c r="P182" i="6"/>
  <c r="P181" i="6"/>
  <c r="P180" i="6"/>
  <c r="P179" i="6"/>
  <c r="P174" i="6"/>
  <c r="P142" i="6"/>
  <c r="P143" i="6" s="1"/>
  <c r="P178" i="6"/>
  <c r="P177" i="6"/>
  <c r="P176" i="6"/>
  <c r="P175" i="6"/>
  <c r="P173" i="6"/>
  <c r="T184" i="6"/>
  <c r="T183" i="6"/>
  <c r="T182" i="6"/>
  <c r="T181" i="6"/>
  <c r="T180" i="6"/>
  <c r="T179" i="6"/>
  <c r="T142" i="6"/>
  <c r="T143" i="6" s="1"/>
  <c r="T175" i="6"/>
  <c r="T173" i="6"/>
  <c r="T178" i="6"/>
  <c r="T177" i="6"/>
  <c r="T176" i="6"/>
  <c r="T174" i="6"/>
  <c r="T135" i="6"/>
  <c r="X149" i="6"/>
  <c r="X13" i="20" s="1"/>
  <c r="X184" i="6"/>
  <c r="X183" i="6"/>
  <c r="X182" i="6"/>
  <c r="X181" i="6"/>
  <c r="X180" i="6"/>
  <c r="X179" i="6"/>
  <c r="X142" i="6"/>
  <c r="X143" i="6" s="1"/>
  <c r="AP230" i="7" s="1"/>
  <c r="AQ230" i="7" s="1"/>
  <c r="AW241" i="7" s="1"/>
  <c r="AV241" i="7" s="1"/>
  <c r="X175" i="6"/>
  <c r="X174" i="6"/>
  <c r="X178" i="6"/>
  <c r="X177" i="6"/>
  <c r="X176" i="6"/>
  <c r="X173" i="6"/>
  <c r="X135" i="6"/>
  <c r="AB184" i="6"/>
  <c r="AB183" i="6"/>
  <c r="AB182" i="6"/>
  <c r="AB181" i="6"/>
  <c r="AB180" i="6"/>
  <c r="AB179" i="6"/>
  <c r="AB173" i="6"/>
  <c r="AB178" i="6"/>
  <c r="AB177" i="6"/>
  <c r="AB176" i="6"/>
  <c r="AB175" i="6"/>
  <c r="AB174" i="6"/>
  <c r="AB142" i="6"/>
  <c r="AB143" i="6" s="1"/>
  <c r="AP234" i="7" s="1"/>
  <c r="AQ234" i="7" s="1"/>
  <c r="AW237" i="7" s="1"/>
  <c r="AV237" i="7" s="1"/>
  <c r="AB135" i="6"/>
  <c r="AF161" i="6"/>
  <c r="AF25" i="20" s="1"/>
  <c r="AF184" i="6"/>
  <c r="AF183" i="6"/>
  <c r="AF182" i="6"/>
  <c r="AF181" i="6"/>
  <c r="AF180" i="6"/>
  <c r="AF179" i="6"/>
  <c r="AF174" i="6"/>
  <c r="AF173" i="6"/>
  <c r="AF178" i="6"/>
  <c r="AF177" i="6"/>
  <c r="AF176" i="6"/>
  <c r="AF175" i="6"/>
  <c r="AF142" i="6"/>
  <c r="AF135" i="6"/>
  <c r="BY14" i="6" s="1"/>
  <c r="CA14" i="6" s="1"/>
  <c r="AJ169" i="6"/>
  <c r="AJ33" i="20" s="1"/>
  <c r="AJ184" i="6"/>
  <c r="AJ183" i="6"/>
  <c r="AJ182" i="6"/>
  <c r="AJ181" i="6"/>
  <c r="AJ180" i="6"/>
  <c r="AJ179" i="6"/>
  <c r="AJ175" i="6"/>
  <c r="AJ178" i="6"/>
  <c r="AJ177" i="6"/>
  <c r="AJ176" i="6"/>
  <c r="AJ174" i="6"/>
  <c r="AJ173" i="6"/>
  <c r="AJ142" i="6"/>
  <c r="AJ135" i="6"/>
  <c r="AE156" i="6"/>
  <c r="AE20" i="20" s="1"/>
  <c r="AA159" i="6"/>
  <c r="AA23" i="20" s="1"/>
  <c r="C149" i="6"/>
  <c r="C13" i="20" s="1"/>
  <c r="K150" i="6"/>
  <c r="K14" i="20" s="1"/>
  <c r="S171" i="6"/>
  <c r="S35" i="20" s="1"/>
  <c r="S184" i="6"/>
  <c r="S183" i="6"/>
  <c r="S182" i="6"/>
  <c r="S181" i="6"/>
  <c r="S180" i="6"/>
  <c r="S179" i="6"/>
  <c r="S178" i="6"/>
  <c r="S177" i="6"/>
  <c r="S176" i="6"/>
  <c r="S175" i="6"/>
  <c r="S174" i="6"/>
  <c r="S173" i="6"/>
  <c r="AA165" i="6"/>
  <c r="AA29" i="20" s="1"/>
  <c r="AA184" i="6"/>
  <c r="AA183" i="6"/>
  <c r="AA182" i="6"/>
  <c r="AA181" i="6"/>
  <c r="AA180" i="6"/>
  <c r="AA179" i="6"/>
  <c r="AA178" i="6"/>
  <c r="AA177" i="6"/>
  <c r="AA176" i="6"/>
  <c r="AA175" i="6"/>
  <c r="AA174" i="6"/>
  <c r="AA173" i="6"/>
  <c r="AA135" i="6"/>
  <c r="BM19" i="6" s="1"/>
  <c r="D44" i="10" s="1"/>
  <c r="AI151" i="6"/>
  <c r="AI15" i="20" s="1"/>
  <c r="AI184" i="6"/>
  <c r="AI183" i="6"/>
  <c r="AI182" i="6"/>
  <c r="AI181" i="6"/>
  <c r="AI180" i="6"/>
  <c r="AI179" i="6"/>
  <c r="AI142" i="6"/>
  <c r="AI143" i="6" s="1"/>
  <c r="AP241" i="7" s="1"/>
  <c r="AQ241" i="7" s="1"/>
  <c r="AW230" i="7" s="1"/>
  <c r="AV230" i="7" s="1"/>
  <c r="AI178" i="6"/>
  <c r="AI177" i="6"/>
  <c r="AI176" i="6"/>
  <c r="AI175" i="6"/>
  <c r="AI174" i="6"/>
  <c r="AI173" i="6"/>
  <c r="AI135" i="6"/>
  <c r="D6" i="6"/>
  <c r="D147" i="6" s="1"/>
  <c r="D11" i="20" s="1"/>
  <c r="D40" i="20" s="1"/>
  <c r="C147" i="6"/>
  <c r="C11" i="20" s="1"/>
  <c r="C40" i="20" s="1"/>
  <c r="C434" i="6"/>
  <c r="F434" i="6" s="1"/>
  <c r="AD172" i="6"/>
  <c r="AD36" i="20" s="1"/>
  <c r="AB171" i="6"/>
  <c r="AB35" i="20" s="1"/>
  <c r="AA170" i="6"/>
  <c r="AA34" i="20" s="1"/>
  <c r="Z169" i="6"/>
  <c r="Z33" i="20" s="1"/>
  <c r="AD168" i="6"/>
  <c r="AD32" i="20" s="1"/>
  <c r="W167" i="6"/>
  <c r="W31" i="20" s="1"/>
  <c r="AL165" i="6"/>
  <c r="AL29" i="20" s="1"/>
  <c r="AL164" i="6"/>
  <c r="AL28" i="20" s="1"/>
  <c r="AH163" i="6"/>
  <c r="AH27" i="20" s="1"/>
  <c r="AL161" i="6"/>
  <c r="AL25" i="20" s="1"/>
  <c r="AL159" i="6"/>
  <c r="AL23" i="20" s="1"/>
  <c r="AI158" i="6"/>
  <c r="AI22" i="20" s="1"/>
  <c r="AH156" i="6"/>
  <c r="AH20" i="20" s="1"/>
  <c r="AI153" i="6"/>
  <c r="AI17" i="20" s="1"/>
  <c r="R150" i="6"/>
  <c r="R14" i="20" s="1"/>
  <c r="AD149" i="6"/>
  <c r="AD13" i="20" s="1"/>
  <c r="V153" i="6"/>
  <c r="V17" i="20" s="1"/>
  <c r="V158" i="6"/>
  <c r="V22" i="20" s="1"/>
  <c r="R162" i="6"/>
  <c r="R26" i="20" s="1"/>
  <c r="E32" i="8"/>
  <c r="G32" i="8" s="1"/>
  <c r="I90" i="8" s="1"/>
  <c r="I18" i="8"/>
  <c r="AI152" i="6"/>
  <c r="AI16" i="20" s="1"/>
  <c r="AE154" i="6"/>
  <c r="Z156" i="6"/>
  <c r="Z20" i="20" s="1"/>
  <c r="R166" i="6"/>
  <c r="R30" i="20" s="1"/>
  <c r="U149" i="6"/>
  <c r="U13" i="20" s="1"/>
  <c r="U184" i="6"/>
  <c r="U183" i="6"/>
  <c r="U182" i="6"/>
  <c r="U181" i="6"/>
  <c r="U180" i="6"/>
  <c r="U179" i="6"/>
  <c r="U176" i="6"/>
  <c r="U175" i="6"/>
  <c r="U174" i="6"/>
  <c r="U173" i="6"/>
  <c r="U142" i="6"/>
  <c r="AP183" i="7" s="1"/>
  <c r="AQ183" i="7" s="1"/>
  <c r="U178" i="6"/>
  <c r="U177" i="6"/>
  <c r="U135" i="6"/>
  <c r="Y153" i="6"/>
  <c r="Y17" i="20" s="1"/>
  <c r="Y184" i="6"/>
  <c r="Y183" i="6"/>
  <c r="Y182" i="6"/>
  <c r="Y181" i="6"/>
  <c r="Y180" i="6"/>
  <c r="Y179" i="6"/>
  <c r="Y176" i="6"/>
  <c r="Y175" i="6"/>
  <c r="Y174" i="6"/>
  <c r="Y173" i="6"/>
  <c r="Y142" i="6"/>
  <c r="Y143" i="6" s="1"/>
  <c r="AP231" i="7" s="1"/>
  <c r="AQ231" i="7" s="1"/>
  <c r="AW240" i="7" s="1"/>
  <c r="AV240" i="7" s="1"/>
  <c r="Y178" i="6"/>
  <c r="Y177" i="6"/>
  <c r="Y135" i="6"/>
  <c r="AC149" i="6"/>
  <c r="AC13" i="20" s="1"/>
  <c r="AC184" i="6"/>
  <c r="AC183" i="6"/>
  <c r="AC182" i="6"/>
  <c r="AC181" i="6"/>
  <c r="AC180" i="6"/>
  <c r="AC179" i="6"/>
  <c r="AC142" i="6"/>
  <c r="AC176" i="6"/>
  <c r="AC175" i="6"/>
  <c r="AC174" i="6"/>
  <c r="AC173" i="6"/>
  <c r="AC178" i="6"/>
  <c r="AC177" i="6"/>
  <c r="AC135" i="6"/>
  <c r="AG184" i="6"/>
  <c r="AG183" i="6"/>
  <c r="AG182" i="6"/>
  <c r="AG181" i="6"/>
  <c r="AG180" i="6"/>
  <c r="AG179" i="6"/>
  <c r="AG142" i="6"/>
  <c r="AG176" i="6"/>
  <c r="AG175" i="6"/>
  <c r="AG174" i="6"/>
  <c r="AG173" i="6"/>
  <c r="AG178" i="6"/>
  <c r="AG177" i="6"/>
  <c r="AG135" i="6"/>
  <c r="AK158" i="6"/>
  <c r="AK22" i="20" s="1"/>
  <c r="AK184" i="6"/>
  <c r="AK183" i="6"/>
  <c r="AK182" i="6"/>
  <c r="AK181" i="6"/>
  <c r="AK180" i="6"/>
  <c r="AK179" i="6"/>
  <c r="AK178" i="6"/>
  <c r="AK142" i="6"/>
  <c r="AK176" i="6"/>
  <c r="AK175" i="6"/>
  <c r="AK174" i="6"/>
  <c r="AK173" i="6"/>
  <c r="AK177" i="6"/>
  <c r="AK135" i="6"/>
  <c r="D316" i="6"/>
  <c r="D317" i="6" s="1"/>
  <c r="D318" i="6" s="1"/>
  <c r="D319" i="6" s="1"/>
  <c r="D320" i="6" s="1"/>
  <c r="F10" i="16"/>
  <c r="D46" i="16" s="1"/>
  <c r="D48" i="16" s="1"/>
  <c r="B47" i="5"/>
  <c r="C13" i="10"/>
  <c r="Z18" i="10" s="1"/>
  <c r="AA18" i="10" s="1"/>
  <c r="AA29" i="5"/>
  <c r="F121" i="4"/>
  <c r="F117" i="4"/>
  <c r="F116" i="4"/>
  <c r="F122" i="4"/>
  <c r="F113" i="4"/>
  <c r="F118" i="4"/>
  <c r="F115" i="4"/>
  <c r="F114" i="4"/>
  <c r="F120" i="4"/>
  <c r="F119" i="4"/>
  <c r="F123" i="4"/>
  <c r="AA142" i="6"/>
  <c r="AA143" i="6" s="1"/>
  <c r="AP233" i="7" s="1"/>
  <c r="AQ233" i="7" s="1"/>
  <c r="AW238" i="7" s="1"/>
  <c r="AV238" i="7" s="1"/>
  <c r="L183" i="6"/>
  <c r="L181" i="6"/>
  <c r="L179" i="6"/>
  <c r="L177" i="6"/>
  <c r="L175" i="6"/>
  <c r="L173" i="6"/>
  <c r="S142" i="6"/>
  <c r="S143" i="6" s="1"/>
  <c r="L184" i="6"/>
  <c r="L182" i="6"/>
  <c r="L180" i="6"/>
  <c r="L178" i="6"/>
  <c r="L176" i="6"/>
  <c r="L174" i="6"/>
  <c r="M184" i="6"/>
  <c r="M180" i="6"/>
  <c r="M176" i="6"/>
  <c r="M179" i="6"/>
  <c r="M181" i="6"/>
  <c r="M177" i="6"/>
  <c r="M173" i="6"/>
  <c r="M183" i="6"/>
  <c r="M175" i="6"/>
  <c r="M182" i="6"/>
  <c r="M178" i="6"/>
  <c r="M174" i="6"/>
  <c r="Q142" i="6"/>
  <c r="Q143" i="6" s="1"/>
  <c r="N184" i="6"/>
  <c r="N183" i="6"/>
  <c r="N182" i="6"/>
  <c r="N181" i="6"/>
  <c r="N180" i="6"/>
  <c r="N179" i="6"/>
  <c r="N178" i="6"/>
  <c r="N177" i="6"/>
  <c r="N176" i="6"/>
  <c r="N175" i="6"/>
  <c r="N174" i="6"/>
  <c r="N173" i="6"/>
  <c r="O149" i="6"/>
  <c r="O13" i="20" s="1"/>
  <c r="O170" i="6"/>
  <c r="O34" i="20" s="1"/>
  <c r="N135" i="6"/>
  <c r="S168" i="6"/>
  <c r="S32" i="20" s="1"/>
  <c r="S135" i="6"/>
  <c r="C453" i="6"/>
  <c r="F453" i="6" s="1"/>
  <c r="S170" i="6"/>
  <c r="S34" i="20" s="1"/>
  <c r="S163" i="6"/>
  <c r="O135" i="6"/>
  <c r="BY31" i="6" s="1"/>
  <c r="CA31" i="6" s="1"/>
  <c r="C449" i="6"/>
  <c r="F449" i="6" s="1"/>
  <c r="S151" i="6"/>
  <c r="S15" i="20" s="1"/>
  <c r="S156" i="6"/>
  <c r="S20" i="20" s="1"/>
  <c r="S164" i="6"/>
  <c r="S28" i="20" s="1"/>
  <c r="R164" i="6"/>
  <c r="R28" i="20" s="1"/>
  <c r="R135" i="6"/>
  <c r="BY28" i="6" s="1"/>
  <c r="CA28" i="6" s="1"/>
  <c r="L135" i="6"/>
  <c r="O151" i="6"/>
  <c r="O15" i="20" s="1"/>
  <c r="O156" i="6"/>
  <c r="O20" i="20" s="1"/>
  <c r="O160" i="6"/>
  <c r="O24" i="20" s="1"/>
  <c r="O159" i="6"/>
  <c r="O23" i="20" s="1"/>
  <c r="O164" i="6"/>
  <c r="O28" i="20" s="1"/>
  <c r="N160" i="6"/>
  <c r="N24" i="20" s="1"/>
  <c r="N166" i="6"/>
  <c r="N30" i="20" s="1"/>
  <c r="N153" i="6"/>
  <c r="N17" i="20" s="1"/>
  <c r="O154" i="6"/>
  <c r="N158" i="6"/>
  <c r="N22" i="20" s="1"/>
  <c r="O167" i="6"/>
  <c r="O31" i="20" s="1"/>
  <c r="N167" i="6"/>
  <c r="N31" i="20" s="1"/>
  <c r="O172" i="6"/>
  <c r="O36" i="20" s="1"/>
  <c r="O38" i="20" s="1"/>
  <c r="O41" i="20" s="1"/>
  <c r="N151" i="6"/>
  <c r="N15" i="20" s="1"/>
  <c r="N171" i="6"/>
  <c r="N35" i="20" s="1"/>
  <c r="N169" i="6"/>
  <c r="N33" i="20" s="1"/>
  <c r="N157" i="6"/>
  <c r="N21" i="20" s="1"/>
  <c r="N161" i="6"/>
  <c r="N25" i="20" s="1"/>
  <c r="L45" i="6"/>
  <c r="P135" i="6"/>
  <c r="CP6" i="6"/>
  <c r="G330" i="6" s="1"/>
  <c r="G390" i="6" s="1"/>
  <c r="K11" i="16"/>
  <c r="E35" i="8"/>
  <c r="G35" i="8" s="1"/>
  <c r="I93" i="8" s="1"/>
  <c r="I100" i="8"/>
  <c r="I96" i="8"/>
  <c r="C445" i="6"/>
  <c r="F445" i="6" s="1"/>
  <c r="AA172" i="6"/>
  <c r="AA36" i="20" s="1"/>
  <c r="AI171" i="6"/>
  <c r="AI35" i="20" s="1"/>
  <c r="AA171" i="6"/>
  <c r="AA35" i="20" s="1"/>
  <c r="W170" i="6"/>
  <c r="W34" i="20" s="1"/>
  <c r="AA168" i="6"/>
  <c r="AA32" i="20" s="1"/>
  <c r="AE167" i="6"/>
  <c r="AE31" i="20" s="1"/>
  <c r="AI166" i="6"/>
  <c r="AI30" i="20" s="1"/>
  <c r="W166" i="6"/>
  <c r="W30" i="20" s="1"/>
  <c r="AE163" i="6"/>
  <c r="AE27" i="20" s="1"/>
  <c r="AE162" i="6"/>
  <c r="AE26" i="20" s="1"/>
  <c r="AI161" i="6"/>
  <c r="AI25" i="20" s="1"/>
  <c r="AI160" i="6"/>
  <c r="AI24" i="20" s="1"/>
  <c r="AE159" i="6"/>
  <c r="AE23" i="20" s="1"/>
  <c r="AI154" i="6"/>
  <c r="AI18" i="20" s="1"/>
  <c r="K149" i="6"/>
  <c r="K13" i="20" s="1"/>
  <c r="C150" i="6"/>
  <c r="C14" i="20" s="1"/>
  <c r="O152" i="6"/>
  <c r="S153" i="6"/>
  <c r="S17" i="20" s="1"/>
  <c r="W155" i="6"/>
  <c r="W19" i="20" s="1"/>
  <c r="S157" i="6"/>
  <c r="S21" i="20" s="1"/>
  <c r="S160" i="6"/>
  <c r="S24" i="20" s="1"/>
  <c r="O162" i="6"/>
  <c r="O26" i="20" s="1"/>
  <c r="AE151" i="6"/>
  <c r="AE15" i="20" s="1"/>
  <c r="W163" i="6"/>
  <c r="W27" i="20" s="1"/>
  <c r="S165" i="6"/>
  <c r="S29" i="20" s="1"/>
  <c r="W160" i="6"/>
  <c r="C433" i="6"/>
  <c r="F433" i="6" s="1"/>
  <c r="AI172" i="6"/>
  <c r="AI36" i="20" s="1"/>
  <c r="W172" i="6"/>
  <c r="W36" i="20" s="1"/>
  <c r="AE171" i="6"/>
  <c r="AE35" i="20" s="1"/>
  <c r="W171" i="6"/>
  <c r="W35" i="20" s="1"/>
  <c r="AI170" i="6"/>
  <c r="AI34" i="20" s="1"/>
  <c r="AA169" i="6"/>
  <c r="AA33" i="20" s="1"/>
  <c r="AI168" i="6"/>
  <c r="AI32" i="20" s="1"/>
  <c r="W168" i="6"/>
  <c r="W32" i="20" s="1"/>
  <c r="AA167" i="6"/>
  <c r="AA31" i="20" s="1"/>
  <c r="W165" i="6"/>
  <c r="W29" i="20" s="1"/>
  <c r="AA164" i="6"/>
  <c r="AA28" i="20" s="1"/>
  <c r="AA163" i="6"/>
  <c r="AA27" i="20" s="1"/>
  <c r="AA162" i="6"/>
  <c r="AA26" i="20" s="1"/>
  <c r="AE161" i="6"/>
  <c r="AE25" i="20" s="1"/>
  <c r="AI157" i="6"/>
  <c r="AI21" i="20" s="1"/>
  <c r="AI155" i="6"/>
  <c r="AI19" i="20" s="1"/>
  <c r="W149" i="6"/>
  <c r="W13" i="20" s="1"/>
  <c r="G149" i="6"/>
  <c r="G13" i="20" s="1"/>
  <c r="O150" i="6"/>
  <c r="O14" i="20" s="1"/>
  <c r="W151" i="6"/>
  <c r="S154" i="6"/>
  <c r="S18" i="20" s="1"/>
  <c r="S155" i="6"/>
  <c r="S19" i="20" s="1"/>
  <c r="O157" i="6"/>
  <c r="O21" i="20" s="1"/>
  <c r="AA149" i="6"/>
  <c r="AA13" i="20" s="1"/>
  <c r="AA153" i="6"/>
  <c r="AA17" i="20" s="1"/>
  <c r="AE150" i="6"/>
  <c r="AE14" i="20" s="1"/>
  <c r="AE155" i="6"/>
  <c r="AA157" i="6"/>
  <c r="AA21" i="20" s="1"/>
  <c r="S166" i="6"/>
  <c r="S30" i="20" s="1"/>
  <c r="O169" i="6"/>
  <c r="AA158" i="6"/>
  <c r="AA22" i="20" s="1"/>
  <c r="C450" i="6"/>
  <c r="F450" i="6" s="1"/>
  <c r="I12" i="16"/>
  <c r="U58" i="16" s="1"/>
  <c r="I10" i="8"/>
  <c r="P45" i="8" s="1"/>
  <c r="Q45" i="8" s="1"/>
  <c r="S172" i="6"/>
  <c r="S36" i="20" s="1"/>
  <c r="S38" i="20" s="1"/>
  <c r="S41" i="20" s="1"/>
  <c r="AE170" i="6"/>
  <c r="AE34" i="20" s="1"/>
  <c r="AE169" i="6"/>
  <c r="AE33" i="20" s="1"/>
  <c r="S169" i="6"/>
  <c r="S33" i="20" s="1"/>
  <c r="AI167" i="6"/>
  <c r="AI31" i="20" s="1"/>
  <c r="AE166" i="6"/>
  <c r="AE30" i="20" s="1"/>
  <c r="AE164" i="6"/>
  <c r="AE28" i="20" s="1"/>
  <c r="AI162" i="6"/>
  <c r="AI26" i="20" s="1"/>
  <c r="AE160" i="6"/>
  <c r="AE24" i="20" s="1"/>
  <c r="AE158" i="6"/>
  <c r="AE22" i="20" s="1"/>
  <c r="AI156" i="6"/>
  <c r="AI20" i="20" s="1"/>
  <c r="R149" i="6"/>
  <c r="J149" i="6"/>
  <c r="J13" i="20" s="1"/>
  <c r="S150" i="6"/>
  <c r="S193" i="6" s="1"/>
  <c r="J150" i="6"/>
  <c r="S152" i="6"/>
  <c r="O153" i="6"/>
  <c r="N154" i="6"/>
  <c r="R156" i="6"/>
  <c r="R20" i="20" s="1"/>
  <c r="O158" i="6"/>
  <c r="O22" i="20" s="1"/>
  <c r="Z150" i="6"/>
  <c r="Z14" i="20" s="1"/>
  <c r="W152" i="6"/>
  <c r="W154" i="6"/>
  <c r="W18" i="20" s="1"/>
  <c r="W157" i="6"/>
  <c r="W21" i="20" s="1"/>
  <c r="R158" i="6"/>
  <c r="R22" i="20" s="1"/>
  <c r="S159" i="6"/>
  <c r="S23" i="20" s="1"/>
  <c r="O161" i="6"/>
  <c r="O25" i="20" s="1"/>
  <c r="N164" i="6"/>
  <c r="N28" i="20" s="1"/>
  <c r="AD154" i="6"/>
  <c r="AD18" i="20" s="1"/>
  <c r="W161" i="6"/>
  <c r="W25" i="20" s="1"/>
  <c r="W164" i="6"/>
  <c r="W28" i="20" s="1"/>
  <c r="W158" i="6"/>
  <c r="U385" i="6"/>
  <c r="U383" i="6" s="1"/>
  <c r="U382" i="6" s="1"/>
  <c r="U381" i="6" s="1"/>
  <c r="U380" i="6" s="1"/>
  <c r="U379" i="6" s="1"/>
  <c r="U378" i="6" s="1"/>
  <c r="AA385" i="6"/>
  <c r="AA383" i="6" s="1"/>
  <c r="AA382" i="6" s="1"/>
  <c r="AA381" i="6" s="1"/>
  <c r="AA380" i="6" s="1"/>
  <c r="AA379" i="6" s="1"/>
  <c r="AA378" i="6" s="1"/>
  <c r="CP7" i="6"/>
  <c r="G331" i="6" s="1"/>
  <c r="G391" i="6" s="1"/>
  <c r="CP5" i="6"/>
  <c r="G329" i="6" s="1"/>
  <c r="D385" i="6"/>
  <c r="D383" i="6" s="1"/>
  <c r="A107" i="5"/>
  <c r="X385" i="6"/>
  <c r="X383" i="6" s="1"/>
  <c r="X382" i="6" s="1"/>
  <c r="X381" i="6" s="1"/>
  <c r="X380" i="6" s="1"/>
  <c r="X379" i="6" s="1"/>
  <c r="X378" i="6" s="1"/>
  <c r="AD385" i="6"/>
  <c r="AD383" i="6" s="1"/>
  <c r="AD382" i="6" s="1"/>
  <c r="AD381" i="6" s="1"/>
  <c r="AD380" i="6" s="1"/>
  <c r="AD379" i="6" s="1"/>
  <c r="AD378" i="6" s="1"/>
  <c r="AD377" i="6" s="1"/>
  <c r="AD376" i="6" s="1"/>
  <c r="AD375" i="6" s="1"/>
  <c r="AD374" i="6" s="1"/>
  <c r="AD373" i="6" s="1"/>
  <c r="AD372" i="6" s="1"/>
  <c r="AD371" i="6" s="1"/>
  <c r="AD370" i="6" s="1"/>
  <c r="AD369" i="6" s="1"/>
  <c r="AD368" i="6" s="1"/>
  <c r="AD367" i="6" s="1"/>
  <c r="AD366" i="6" s="1"/>
  <c r="AD365" i="6" s="1"/>
  <c r="AD364" i="6" s="1"/>
  <c r="AD363" i="6" s="1"/>
  <c r="AD362" i="6" s="1"/>
  <c r="AD361" i="6" s="1"/>
  <c r="AD360" i="6" s="1"/>
  <c r="AD359" i="6" s="1"/>
  <c r="AD358" i="6" s="1"/>
  <c r="AD357" i="6" s="1"/>
  <c r="AD356" i="6" s="1"/>
  <c r="AD355" i="6" s="1"/>
  <c r="AD354" i="6" s="1"/>
  <c r="AD353" i="6" s="1"/>
  <c r="AD352" i="6" s="1"/>
  <c r="AD351" i="6" s="1"/>
  <c r="AD350" i="6" s="1"/>
  <c r="AD349" i="6" s="1"/>
  <c r="I98" i="8"/>
  <c r="B138" i="5"/>
  <c r="J385" i="6"/>
  <c r="J383" i="6" s="1"/>
  <c r="J382" i="6" s="1"/>
  <c r="J381" i="6" s="1"/>
  <c r="J380" i="6" s="1"/>
  <c r="J379" i="6" s="1"/>
  <c r="J378" i="6" s="1"/>
  <c r="G385" i="6"/>
  <c r="G383" i="6" s="1"/>
  <c r="G382" i="6" s="1"/>
  <c r="G381" i="6" s="1"/>
  <c r="G380" i="6" s="1"/>
  <c r="G379" i="6" s="1"/>
  <c r="G378" i="6" s="1"/>
  <c r="M385" i="6"/>
  <c r="M383" i="6" s="1"/>
  <c r="M382" i="6" s="1"/>
  <c r="M381" i="6" s="1"/>
  <c r="M380" i="6" s="1"/>
  <c r="M379" i="6" s="1"/>
  <c r="M378" i="6" s="1"/>
  <c r="M377" i="6" s="1"/>
  <c r="M376" i="6" s="1"/>
  <c r="M375" i="6" s="1"/>
  <c r="M374" i="6" s="1"/>
  <c r="M373" i="6" s="1"/>
  <c r="M372" i="6" s="1"/>
  <c r="M371" i="6" s="1"/>
  <c r="M370" i="6" s="1"/>
  <c r="M369" i="6" s="1"/>
  <c r="M368" i="6" s="1"/>
  <c r="M367" i="6" s="1"/>
  <c r="M366" i="6" s="1"/>
  <c r="M365" i="6" s="1"/>
  <c r="M364" i="6" s="1"/>
  <c r="M363" i="6" s="1"/>
  <c r="M362" i="6" s="1"/>
  <c r="M361" i="6" s="1"/>
  <c r="M360" i="6" s="1"/>
  <c r="M359" i="6" s="1"/>
  <c r="M358" i="6" s="1"/>
  <c r="M357" i="6" s="1"/>
  <c r="M356" i="6" s="1"/>
  <c r="M355" i="6" s="1"/>
  <c r="M354" i="6" s="1"/>
  <c r="M353" i="6" s="1"/>
  <c r="M352" i="6" s="1"/>
  <c r="M351" i="6" s="1"/>
  <c r="M350" i="6" s="1"/>
  <c r="M349" i="6" s="1"/>
  <c r="A136" i="5"/>
  <c r="BW32" i="18"/>
  <c r="BM17" i="18"/>
  <c r="BL18" i="18"/>
  <c r="BW13" i="18"/>
  <c r="BH131" i="9"/>
  <c r="BG131" i="9"/>
  <c r="BW40" i="18"/>
  <c r="BW28" i="18"/>
  <c r="DH21" i="9"/>
  <c r="DG21" i="9"/>
  <c r="BL26" i="18"/>
  <c r="BM26" i="18"/>
  <c r="BW39" i="18"/>
  <c r="BV39" i="18"/>
  <c r="BG41" i="9"/>
  <c r="BV12" i="18"/>
  <c r="BW35" i="18"/>
  <c r="CG13" i="18"/>
  <c r="BG82" i="9"/>
  <c r="BW77" i="18"/>
  <c r="BV77" i="18"/>
  <c r="F150" i="6"/>
  <c r="F149" i="6"/>
  <c r="F13" i="20" s="1"/>
  <c r="N168" i="6"/>
  <c r="N32" i="20" s="1"/>
  <c r="N172" i="6"/>
  <c r="N156" i="6"/>
  <c r="N155" i="6"/>
  <c r="N150" i="6"/>
  <c r="N149" i="6"/>
  <c r="N13" i="20" s="1"/>
  <c r="C454" i="6"/>
  <c r="F454" i="6" s="1"/>
  <c r="N170" i="6"/>
  <c r="N163" i="6"/>
  <c r="N27" i="20" s="1"/>
  <c r="N159" i="6"/>
  <c r="N152" i="6"/>
  <c r="N16" i="20" s="1"/>
  <c r="R161" i="6"/>
  <c r="R168" i="6"/>
  <c r="R32" i="20" s="1"/>
  <c r="R153" i="6"/>
  <c r="R170" i="6"/>
  <c r="R34" i="20" s="1"/>
  <c r="R169" i="6"/>
  <c r="R33" i="20" s="1"/>
  <c r="R167" i="6"/>
  <c r="R31" i="20" s="1"/>
  <c r="R165" i="6"/>
  <c r="R163" i="6"/>
  <c r="R159" i="6"/>
  <c r="R157" i="6"/>
  <c r="R154" i="6"/>
  <c r="R18" i="20" s="1"/>
  <c r="R151" i="6"/>
  <c r="R15" i="20" s="1"/>
  <c r="R171" i="6"/>
  <c r="R35" i="20" s="1"/>
  <c r="R172" i="6"/>
  <c r="R36" i="20" s="1"/>
  <c r="R38" i="20" s="1"/>
  <c r="R41" i="20" s="1"/>
  <c r="V165" i="6"/>
  <c r="V29" i="20" s="1"/>
  <c r="V159" i="6"/>
  <c r="V156" i="6"/>
  <c r="V200" i="6" s="1"/>
  <c r="V150" i="6"/>
  <c r="V149" i="6"/>
  <c r="V13" i="20" s="1"/>
  <c r="V167" i="6"/>
  <c r="V31" i="20" s="1"/>
  <c r="V160" i="6"/>
  <c r="V154" i="6"/>
  <c r="V152" i="6"/>
  <c r="V16" i="20" s="1"/>
  <c r="V166" i="6"/>
  <c r="V30" i="20" s="1"/>
  <c r="V169" i="6"/>
  <c r="V33" i="20" s="1"/>
  <c r="C446" i="6"/>
  <c r="F446" i="6" s="1"/>
  <c r="Z159" i="6"/>
  <c r="Z23" i="20" s="1"/>
  <c r="Z157" i="6"/>
  <c r="Z21" i="20" s="1"/>
  <c r="Z155" i="6"/>
  <c r="Z151" i="6"/>
  <c r="Z15" i="20" s="1"/>
  <c r="Z149" i="6"/>
  <c r="Z13" i="20" s="1"/>
  <c r="Z164" i="6"/>
  <c r="Z28" i="20" s="1"/>
  <c r="Z165" i="6"/>
  <c r="Z29" i="20" s="1"/>
  <c r="Z170" i="6"/>
  <c r="Z34" i="20" s="1"/>
  <c r="Z161" i="6"/>
  <c r="Z153" i="6"/>
  <c r="Z17" i="20" s="1"/>
  <c r="Z168" i="6"/>
  <c r="Z32" i="20" s="1"/>
  <c r="Z171" i="6"/>
  <c r="Z35" i="20" s="1"/>
  <c r="Z172" i="6"/>
  <c r="Z36" i="20" s="1"/>
  <c r="AD157" i="6"/>
  <c r="AD21" i="20" s="1"/>
  <c r="AD153" i="6"/>
  <c r="AD17" i="20" s="1"/>
  <c r="AD151" i="6"/>
  <c r="AD158" i="6"/>
  <c r="AD22" i="20" s="1"/>
  <c r="AD162" i="6"/>
  <c r="AD26" i="20" s="1"/>
  <c r="AD167" i="6"/>
  <c r="AD31" i="20" s="1"/>
  <c r="AD156" i="6"/>
  <c r="AD20" i="20" s="1"/>
  <c r="AD150" i="6"/>
  <c r="AD160" i="6"/>
  <c r="AD24" i="20" s="1"/>
  <c r="AD163" i="6"/>
  <c r="AD27" i="20" s="1"/>
  <c r="AD166" i="6"/>
  <c r="AD30" i="20" s="1"/>
  <c r="AD169" i="6"/>
  <c r="AD33" i="20" s="1"/>
  <c r="C438" i="6"/>
  <c r="F438" i="6" s="1"/>
  <c r="AH153" i="6"/>
  <c r="AH17" i="20" s="1"/>
  <c r="AH159" i="6"/>
  <c r="AH23" i="20" s="1"/>
  <c r="AH164" i="6"/>
  <c r="AH28" i="20" s="1"/>
  <c r="AH165" i="6"/>
  <c r="AH29" i="20" s="1"/>
  <c r="AH170" i="6"/>
  <c r="AH34" i="20" s="1"/>
  <c r="AH171" i="6"/>
  <c r="AH35" i="20" s="1"/>
  <c r="AH154" i="6"/>
  <c r="AH18" i="20" s="1"/>
  <c r="AH161" i="6"/>
  <c r="AH25" i="20" s="1"/>
  <c r="AH168" i="6"/>
  <c r="AH32" i="20" s="1"/>
  <c r="AH172" i="6"/>
  <c r="AH36" i="20" s="1"/>
  <c r="AL152" i="6"/>
  <c r="AL16" i="20" s="1"/>
  <c r="AL155" i="6"/>
  <c r="AL19" i="20" s="1"/>
  <c r="AL162" i="6"/>
  <c r="AL26" i="20" s="1"/>
  <c r="AL167" i="6"/>
  <c r="AL31" i="20" s="1"/>
  <c r="AL151" i="6"/>
  <c r="AL15" i="20" s="1"/>
  <c r="AL156" i="6"/>
  <c r="AL20" i="20" s="1"/>
  <c r="AL157" i="6"/>
  <c r="AL21" i="20" s="1"/>
  <c r="AL160" i="6"/>
  <c r="AL24" i="20" s="1"/>
  <c r="AL163" i="6"/>
  <c r="AL27" i="20" s="1"/>
  <c r="AL166" i="6"/>
  <c r="AL30" i="20" s="1"/>
  <c r="AL169" i="6"/>
  <c r="AL33" i="20" s="1"/>
  <c r="C430" i="6"/>
  <c r="F430" i="6" s="1"/>
  <c r="C3" i="12"/>
  <c r="F5" i="12" s="1"/>
  <c r="K10" i="16"/>
  <c r="BH76" i="9"/>
  <c r="BG76" i="9"/>
  <c r="BW18" i="18"/>
  <c r="BV18" i="18"/>
  <c r="BG72" i="9"/>
  <c r="BM71" i="18"/>
  <c r="I10" i="16"/>
  <c r="CF36" i="18"/>
  <c r="I11" i="8"/>
  <c r="P46" i="8" s="1"/>
  <c r="Q46" i="8" s="1"/>
  <c r="BL35" i="18"/>
  <c r="BM31" i="18"/>
  <c r="CF21" i="18"/>
  <c r="BW31" i="18"/>
  <c r="CF14" i="18"/>
  <c r="T24" i="10"/>
  <c r="A85" i="4"/>
  <c r="I95" i="8"/>
  <c r="DF9" i="11"/>
  <c r="DG9" i="11" s="1"/>
  <c r="BQ82" i="9"/>
  <c r="AW227" i="9"/>
  <c r="BQ194" i="9"/>
  <c r="BG165" i="9"/>
  <c r="BR85" i="9"/>
  <c r="BQ202" i="9"/>
  <c r="BR197" i="9"/>
  <c r="AX165" i="9"/>
  <c r="BH193" i="9"/>
  <c r="BR19" i="9"/>
  <c r="AW16" i="9"/>
  <c r="AX16" i="9"/>
  <c r="BH15" i="9"/>
  <c r="BG15" i="9"/>
  <c r="F333" i="6"/>
  <c r="CP8" i="6"/>
  <c r="G332" i="6" s="1"/>
  <c r="G392" i="6" s="1"/>
  <c r="AU8" i="6"/>
  <c r="AU11" i="6"/>
  <c r="AU21" i="6"/>
  <c r="AU17" i="6"/>
  <c r="I9" i="8"/>
  <c r="P44" i="8" s="1"/>
  <c r="Q44" i="8" s="1"/>
  <c r="E31" i="8"/>
  <c r="G31" i="8" s="1"/>
  <c r="I89" i="8" s="1"/>
  <c r="E34" i="8"/>
  <c r="G34" i="8" s="1"/>
  <c r="I92" i="8" s="1"/>
  <c r="I12" i="8"/>
  <c r="P47" i="8" s="1"/>
  <c r="Q47" i="8" s="1"/>
  <c r="CC27" i="18"/>
  <c r="CD27" i="18" s="1"/>
  <c r="CB45" i="18"/>
  <c r="P40" i="8"/>
  <c r="Q40" i="8" s="1"/>
  <c r="U5" i="8"/>
  <c r="V5" i="8" s="1"/>
  <c r="E27" i="8"/>
  <c r="G27" i="8" s="1"/>
  <c r="I85" i="8" s="1"/>
  <c r="DH23" i="9"/>
  <c r="DG23" i="9"/>
  <c r="DG20" i="9"/>
  <c r="DH20" i="9"/>
  <c r="BW25" i="18"/>
  <c r="BV25" i="18"/>
  <c r="P155" i="6"/>
  <c r="P19" i="20" s="1"/>
  <c r="P169" i="6"/>
  <c r="P33" i="20" s="1"/>
  <c r="AB168" i="6"/>
  <c r="AB32" i="20" s="1"/>
  <c r="AB163" i="6"/>
  <c r="AB27" i="20" s="1"/>
  <c r="BQ87" i="9"/>
  <c r="I22" i="8"/>
  <c r="DF14" i="11"/>
  <c r="DG14" i="11" s="1"/>
  <c r="BM11" i="18"/>
  <c r="BL11" i="18"/>
  <c r="BM12" i="18"/>
  <c r="BL12" i="18"/>
  <c r="CF15" i="18"/>
  <c r="CG15" i="18"/>
  <c r="CG80" i="18"/>
  <c r="CF80" i="18"/>
  <c r="CG88" i="18"/>
  <c r="CF88" i="18"/>
  <c r="A84" i="4"/>
  <c r="T23" i="10"/>
  <c r="T27" i="10"/>
  <c r="A88" i="4"/>
  <c r="T35" i="10"/>
  <c r="A96" i="4"/>
  <c r="T43" i="10"/>
  <c r="A104" i="4"/>
  <c r="BG81" i="9"/>
  <c r="BH81" i="9"/>
  <c r="AW13" i="9"/>
  <c r="AX13" i="9"/>
  <c r="AW7" i="9"/>
  <c r="AX7" i="9"/>
  <c r="BM30" i="18"/>
  <c r="BL30" i="18"/>
  <c r="BM34" i="18"/>
  <c r="BL34" i="18"/>
  <c r="BM38" i="18"/>
  <c r="BL38" i="18"/>
  <c r="CG40" i="18"/>
  <c r="CF40" i="18"/>
  <c r="CF41" i="18"/>
  <c r="CG41" i="18"/>
  <c r="BW74" i="18"/>
  <c r="BV74" i="18"/>
  <c r="I101" i="8"/>
  <c r="CG25" i="18"/>
  <c r="BG199" i="9"/>
  <c r="BH146" i="9"/>
  <c r="BQ196" i="9"/>
  <c r="BR83" i="9"/>
  <c r="BQ22" i="9"/>
  <c r="BR42" i="9"/>
  <c r="AW202" i="9"/>
  <c r="BR152" i="9"/>
  <c r="BQ137" i="9"/>
  <c r="I99" i="8"/>
  <c r="E28" i="8"/>
  <c r="G28" i="8" s="1"/>
  <c r="I86" i="8" s="1"/>
  <c r="DF16" i="11"/>
  <c r="DG16" i="11" s="1"/>
  <c r="S167" i="6"/>
  <c r="AA160" i="6"/>
  <c r="AA24" i="20" s="1"/>
  <c r="AI150" i="6"/>
  <c r="AI14" i="20" s="1"/>
  <c r="BR103" i="9"/>
  <c r="BQ166" i="9"/>
  <c r="AA150" i="6"/>
  <c r="AA14" i="20" s="1"/>
  <c r="X156" i="6"/>
  <c r="X20" i="20" s="1"/>
  <c r="S161" i="6"/>
  <c r="S25" i="20" s="1"/>
  <c r="O165" i="6"/>
  <c r="O29" i="20" s="1"/>
  <c r="O163" i="6"/>
  <c r="AH152" i="6"/>
  <c r="AA154" i="6"/>
  <c r="AA18" i="20" s="1"/>
  <c r="W162" i="6"/>
  <c r="V164" i="6"/>
  <c r="V28" i="20" s="1"/>
  <c r="O166" i="6"/>
  <c r="O168" i="6"/>
  <c r="O171" i="6"/>
  <c r="Z158" i="6"/>
  <c r="Z22" i="20" s="1"/>
  <c r="W153" i="6"/>
  <c r="S158" i="6"/>
  <c r="N165" i="6"/>
  <c r="N162" i="6"/>
  <c r="AH150" i="6"/>
  <c r="AA156" i="6"/>
  <c r="V162" i="6"/>
  <c r="B431" i="6"/>
  <c r="E431" i="6" s="1"/>
  <c r="U180" i="7"/>
  <c r="A268" i="7"/>
  <c r="A180" i="7"/>
  <c r="A89" i="7"/>
  <c r="U89" i="7"/>
  <c r="Q22" i="12"/>
  <c r="BG78" i="9"/>
  <c r="BH78" i="9"/>
  <c r="BH103" i="9"/>
  <c r="BG103" i="9"/>
  <c r="AX12" i="9"/>
  <c r="AW12" i="9"/>
  <c r="CF17" i="18"/>
  <c r="CG17" i="18"/>
  <c r="E149" i="6"/>
  <c r="E13" i="20" s="1"/>
  <c r="AG158" i="6"/>
  <c r="AG22" i="20" s="1"/>
  <c r="AG164" i="6"/>
  <c r="AG28" i="20" s="1"/>
  <c r="AK149" i="6"/>
  <c r="AK13" i="20" s="1"/>
  <c r="AK152" i="6"/>
  <c r="AK16" i="20" s="1"/>
  <c r="AK157" i="6"/>
  <c r="AK21" i="20" s="1"/>
  <c r="AK163" i="6"/>
  <c r="AK27" i="20" s="1"/>
  <c r="AK166" i="6"/>
  <c r="AK30" i="20" s="1"/>
  <c r="C431" i="6"/>
  <c r="F431" i="6" s="1"/>
  <c r="AK159" i="6"/>
  <c r="AK23" i="20" s="1"/>
  <c r="AK164" i="6"/>
  <c r="AK28" i="20" s="1"/>
  <c r="AK168" i="6"/>
  <c r="AK32" i="20" s="1"/>
  <c r="AK169" i="6"/>
  <c r="AK33" i="20" s="1"/>
  <c r="AK170" i="6"/>
  <c r="AK34" i="20" s="1"/>
  <c r="AK151" i="6"/>
  <c r="AK15" i="20" s="1"/>
  <c r="AK165" i="6"/>
  <c r="AK29" i="20" s="1"/>
  <c r="AK167" i="6"/>
  <c r="AK31" i="20" s="1"/>
  <c r="AK171" i="6"/>
  <c r="AK35" i="20" s="1"/>
  <c r="AK172" i="6"/>
  <c r="AK36" i="20" s="1"/>
  <c r="M157" i="6"/>
  <c r="M21" i="20" s="1"/>
  <c r="AC169" i="6"/>
  <c r="AC33" i="20" s="1"/>
  <c r="B439" i="6"/>
  <c r="E439" i="6" s="1"/>
  <c r="B447" i="6"/>
  <c r="E447" i="6" s="1"/>
  <c r="BQ79" i="9"/>
  <c r="BR79" i="9"/>
  <c r="BH228" i="9"/>
  <c r="BG228" i="9"/>
  <c r="I14" i="16"/>
  <c r="U60" i="16" s="1"/>
  <c r="B4" i="16"/>
  <c r="I3" i="17"/>
  <c r="E11" i="17" s="1"/>
  <c r="BW15" i="18"/>
  <c r="CF23" i="18"/>
  <c r="AW14" i="9"/>
  <c r="CG37" i="18"/>
  <c r="CF73" i="18"/>
  <c r="AK162" i="6"/>
  <c r="AK26" i="20" s="1"/>
  <c r="AK161" i="6"/>
  <c r="AK25" i="20" s="1"/>
  <c r="AK160" i="6"/>
  <c r="AK24" i="20" s="1"/>
  <c r="CG22" i="18"/>
  <c r="CF22" i="18"/>
  <c r="A98" i="4"/>
  <c r="T37" i="10"/>
  <c r="BR193" i="9"/>
  <c r="BQ193" i="9"/>
  <c r="AW193" i="9"/>
  <c r="AX193" i="9"/>
  <c r="BH194" i="9"/>
  <c r="BG194" i="9"/>
  <c r="CF29" i="18"/>
  <c r="CG29" i="18"/>
  <c r="CG42" i="18"/>
  <c r="CF42" i="18"/>
  <c r="M149" i="6"/>
  <c r="M13" i="20" s="1"/>
  <c r="M158" i="6"/>
  <c r="M22" i="20" s="1"/>
  <c r="BH135" i="9"/>
  <c r="BG135" i="9"/>
  <c r="BR209" i="9"/>
  <c r="BQ209" i="9"/>
  <c r="BW44" i="18"/>
  <c r="H10" i="5"/>
  <c r="B9" i="16" s="1"/>
  <c r="C9" i="16" s="1"/>
  <c r="BM13" i="18"/>
  <c r="BH13" i="9"/>
  <c r="AK156" i="6"/>
  <c r="AK20" i="20" s="1"/>
  <c r="AK155" i="6"/>
  <c r="AK19" i="20" s="1"/>
  <c r="AK154" i="6"/>
  <c r="AK18" i="20" s="1"/>
  <c r="AK153" i="6"/>
  <c r="AK17" i="20" s="1"/>
  <c r="AX74" i="9"/>
  <c r="AW74" i="9"/>
  <c r="DG24" i="9"/>
  <c r="DH24" i="9"/>
  <c r="DF19" i="11"/>
  <c r="DG19" i="11" s="1"/>
  <c r="AK150" i="6"/>
  <c r="Y157" i="6"/>
  <c r="Y21" i="20" s="1"/>
  <c r="M172" i="6"/>
  <c r="M36" i="20" s="1"/>
  <c r="M38" i="20" s="1"/>
  <c r="M41" i="20" s="1"/>
  <c r="CF44" i="18"/>
  <c r="CG44" i="18"/>
  <c r="BW82" i="18"/>
  <c r="BV82" i="18"/>
  <c r="CF85" i="18"/>
  <c r="CG85" i="18"/>
  <c r="BR24" i="9"/>
  <c r="BQ24" i="9"/>
  <c r="BR133" i="9"/>
  <c r="BQ133" i="9"/>
  <c r="BR145" i="9"/>
  <c r="BQ145" i="9"/>
  <c r="BR147" i="9"/>
  <c r="BQ147" i="9"/>
  <c r="AX196" i="9"/>
  <c r="AW196" i="9"/>
  <c r="B115" i="5"/>
  <c r="C115" i="5" s="1"/>
  <c r="B110" i="5"/>
  <c r="CG87" i="18"/>
  <c r="BM25" i="18"/>
  <c r="DG10" i="9"/>
  <c r="DH10" i="9"/>
  <c r="CG24" i="18"/>
  <c r="CF24" i="18"/>
  <c r="CG34" i="18"/>
  <c r="CF34" i="18"/>
  <c r="BM40" i="18"/>
  <c r="BL40" i="18"/>
  <c r="BW41" i="18"/>
  <c r="BV41" i="18"/>
  <c r="BV71" i="18"/>
  <c r="BW71" i="18"/>
  <c r="CG76" i="18"/>
  <c r="CF76" i="18"/>
  <c r="AX131" i="9"/>
  <c r="AW131" i="9"/>
  <c r="BQ78" i="9"/>
  <c r="BR78" i="9"/>
  <c r="BH136" i="9"/>
  <c r="BG136" i="9"/>
  <c r="BH200" i="9"/>
  <c r="BG200" i="9"/>
  <c r="BH207" i="9"/>
  <c r="BG207" i="9"/>
  <c r="DF11" i="11"/>
  <c r="DG11" i="11" s="1"/>
  <c r="AU10" i="6"/>
  <c r="C51" i="6"/>
  <c r="C96" i="6"/>
  <c r="H472" i="6"/>
  <c r="S63" i="5"/>
  <c r="AX41" i="9"/>
  <c r="AW41" i="9"/>
  <c r="DH15" i="9"/>
  <c r="DG15" i="9"/>
  <c r="DG8" i="9"/>
  <c r="DH8" i="9"/>
  <c r="BH73" i="9"/>
  <c r="BG73" i="9"/>
  <c r="BR106" i="18"/>
  <c r="BI106" i="18"/>
  <c r="BJ106" i="18" s="1"/>
  <c r="BK106" i="18" s="1"/>
  <c r="BL106" i="18" s="1"/>
  <c r="AM104" i="9"/>
  <c r="AN104" i="9"/>
  <c r="BG84" i="9"/>
  <c r="BH84" i="9"/>
  <c r="AN51" i="7"/>
  <c r="AN28" i="7"/>
  <c r="AW11" i="9"/>
  <c r="AX11" i="9"/>
  <c r="AW103" i="9"/>
  <c r="AX103" i="9"/>
  <c r="AX104" i="9"/>
  <c r="AW104" i="9"/>
  <c r="BM10" i="18"/>
  <c r="BL10" i="18"/>
  <c r="BL22" i="18"/>
  <c r="BM22" i="18"/>
  <c r="BR9" i="9"/>
  <c r="BQ9" i="9"/>
  <c r="BR77" i="9"/>
  <c r="BQ77" i="9"/>
  <c r="BQ104" i="9"/>
  <c r="BR104" i="9"/>
  <c r="BG195" i="9"/>
  <c r="BH195" i="9"/>
  <c r="AU16" i="6"/>
  <c r="AX15" i="9"/>
  <c r="BH12" i="9"/>
  <c r="CG77" i="18"/>
  <c r="CF77" i="18"/>
  <c r="BQ135" i="9"/>
  <c r="BR135" i="9"/>
  <c r="BH137" i="9"/>
  <c r="BG137" i="9"/>
  <c r="BR144" i="9"/>
  <c r="BQ144" i="9"/>
  <c r="BQ195" i="9"/>
  <c r="BR195" i="9"/>
  <c r="AX198" i="9"/>
  <c r="AW198" i="9"/>
  <c r="BR200" i="9"/>
  <c r="BQ200" i="9"/>
  <c r="CG16" i="18"/>
  <c r="CF16" i="18"/>
  <c r="BR131" i="9"/>
  <c r="BQ131" i="9"/>
  <c r="BV43" i="18"/>
  <c r="E36" i="8"/>
  <c r="G36" i="8" s="1"/>
  <c r="I94" i="8" s="1"/>
  <c r="BW11" i="18"/>
  <c r="BW34" i="18"/>
  <c r="BG8" i="9"/>
  <c r="BH45" i="18"/>
  <c r="BM39" i="18"/>
  <c r="BV14" i="18"/>
  <c r="AW71" i="9"/>
  <c r="AX71" i="9"/>
  <c r="BL23" i="18"/>
  <c r="BM23" i="18"/>
  <c r="BL33" i="18"/>
  <c r="BM33" i="18"/>
  <c r="BR27" i="9"/>
  <c r="BQ27" i="9"/>
  <c r="AW132" i="9"/>
  <c r="AX132" i="9"/>
  <c r="AX138" i="9"/>
  <c r="AW138" i="9"/>
  <c r="BR198" i="9"/>
  <c r="BQ198" i="9"/>
  <c r="BR204" i="9"/>
  <c r="BQ204" i="9"/>
  <c r="AX228" i="9"/>
  <c r="AW228" i="9"/>
  <c r="BG145" i="9"/>
  <c r="BH145" i="9"/>
  <c r="AW77" i="9"/>
  <c r="I14" i="8"/>
  <c r="P49" i="8" s="1"/>
  <c r="Q49" i="8" s="1"/>
  <c r="CF28" i="18"/>
  <c r="DG14" i="9"/>
  <c r="BI45" i="18"/>
  <c r="AX70" i="9"/>
  <c r="BL21" i="18"/>
  <c r="BM21" i="18"/>
  <c r="BS27" i="18"/>
  <c r="BR45" i="18"/>
  <c r="BR20" i="9"/>
  <c r="BQ20" i="9"/>
  <c r="BW20" i="18"/>
  <c r="BV20" i="18"/>
  <c r="BQ72" i="9"/>
  <c r="BR72" i="9"/>
  <c r="AX10" i="9"/>
  <c r="AW10" i="9"/>
  <c r="BW21" i="18"/>
  <c r="BV21" i="18"/>
  <c r="BW29" i="18"/>
  <c r="BV29" i="18"/>
  <c r="H149" i="6"/>
  <c r="H13" i="20" s="1"/>
  <c r="C452" i="6"/>
  <c r="F452" i="6" s="1"/>
  <c r="P167" i="6"/>
  <c r="P31" i="20" s="1"/>
  <c r="P149" i="6"/>
  <c r="P13" i="20" s="1"/>
  <c r="AF153" i="6"/>
  <c r="AF17" i="20" s="1"/>
  <c r="AF149" i="6"/>
  <c r="AF13" i="20" s="1"/>
  <c r="AF170" i="6"/>
  <c r="AF34" i="20" s="1"/>
  <c r="D150" i="6"/>
  <c r="D14" i="20" s="1"/>
  <c r="L163" i="6"/>
  <c r="L27" i="20" s="1"/>
  <c r="L170" i="6"/>
  <c r="L34" i="20" s="1"/>
  <c r="L172" i="6"/>
  <c r="L36" i="20" s="1"/>
  <c r="L38" i="20" s="1"/>
  <c r="L41" i="20" s="1"/>
  <c r="T167" i="6"/>
  <c r="T31" i="20" s="1"/>
  <c r="T164" i="6"/>
  <c r="T28" i="20" s="1"/>
  <c r="BM26" i="6"/>
  <c r="D37" i="10" s="1"/>
  <c r="AB160" i="6"/>
  <c r="AB24" i="20" s="1"/>
  <c r="AB155" i="6"/>
  <c r="AB19" i="20" s="1"/>
  <c r="BR70" i="9"/>
  <c r="BQ21" i="9"/>
  <c r="BR21" i="9"/>
  <c r="BQ74" i="9"/>
  <c r="BR74" i="9"/>
  <c r="BR80" i="9"/>
  <c r="BQ80" i="9"/>
  <c r="BQ86" i="9"/>
  <c r="BR86" i="9"/>
  <c r="BR132" i="9"/>
  <c r="BQ132" i="9"/>
  <c r="AX166" i="9"/>
  <c r="AW166" i="9"/>
  <c r="BV10" i="18"/>
  <c r="BW10" i="18"/>
  <c r="BK45" i="18"/>
  <c r="DH18" i="9"/>
  <c r="BH74" i="9"/>
  <c r="P43" i="8"/>
  <c r="Q43" i="8" s="1"/>
  <c r="BW36" i="18"/>
  <c r="BV72" i="18"/>
  <c r="BG69" i="9"/>
  <c r="BM28" i="18"/>
  <c r="BL28" i="18"/>
  <c r="BQ7" i="9"/>
  <c r="BR7" i="9"/>
  <c r="BQ81" i="9"/>
  <c r="BR81" i="9"/>
  <c r="AX133" i="9"/>
  <c r="AW133" i="9"/>
  <c r="BR151" i="9"/>
  <c r="BQ151" i="9"/>
  <c r="AW195" i="9"/>
  <c r="AX195" i="9"/>
  <c r="AM42" i="9"/>
  <c r="BJ45" i="18"/>
  <c r="BH48" i="18" s="1"/>
  <c r="CF71" i="18"/>
  <c r="CF82" i="18"/>
  <c r="BL20" i="18"/>
  <c r="BQ69" i="9"/>
  <c r="BR69" i="9"/>
  <c r="BR76" i="9"/>
  <c r="BQ76" i="9"/>
  <c r="BR143" i="9"/>
  <c r="BQ143" i="9"/>
  <c r="L171" i="6"/>
  <c r="L35" i="20" s="1"/>
  <c r="T166" i="6"/>
  <c r="T30" i="20" s="1"/>
  <c r="AB150" i="6"/>
  <c r="AB14" i="20" s="1"/>
  <c r="AJ151" i="6"/>
  <c r="AJ15" i="20" s="1"/>
  <c r="P157" i="6"/>
  <c r="P21" i="20" s="1"/>
  <c r="X172" i="6"/>
  <c r="X36" i="20" s="1"/>
  <c r="AF151" i="6"/>
  <c r="AF15" i="20" s="1"/>
  <c r="B432" i="6"/>
  <c r="B436" i="6"/>
  <c r="E436" i="6" s="1"/>
  <c r="B440" i="6"/>
  <c r="E440" i="6" s="1"/>
  <c r="B444" i="6"/>
  <c r="E444" i="6" s="1"/>
  <c r="B448" i="6"/>
  <c r="E448" i="6" s="1"/>
  <c r="AU35" i="6"/>
  <c r="AU27" i="6"/>
  <c r="AU19" i="6"/>
  <c r="AU37" i="6"/>
  <c r="BQ71" i="9"/>
  <c r="BQ10" i="9"/>
  <c r="BQ16" i="9"/>
  <c r="BQ26" i="9"/>
  <c r="BQ28" i="9"/>
  <c r="BH208" i="9"/>
  <c r="BG202" i="9"/>
  <c r="AW137" i="9"/>
  <c r="BR25" i="9"/>
  <c r="BR213" i="9"/>
  <c r="AU22" i="6"/>
  <c r="AU43" i="6"/>
  <c r="AU12" i="6"/>
  <c r="AU41" i="6"/>
  <c r="AU23" i="6"/>
  <c r="AU25" i="6"/>
  <c r="AU39" i="6"/>
  <c r="AU28" i="6"/>
  <c r="AU15" i="6"/>
  <c r="AU31" i="6"/>
  <c r="AT44" i="6"/>
  <c r="AU46" i="6" s="1"/>
  <c r="AU13" i="6"/>
  <c r="AU18" i="6"/>
  <c r="AU30" i="6"/>
  <c r="AU32" i="6"/>
  <c r="AU36" i="6"/>
  <c r="AU26" i="6"/>
  <c r="AU14" i="6"/>
  <c r="AU42" i="6"/>
  <c r="AU24" i="6"/>
  <c r="AU40" i="6"/>
  <c r="AU38" i="6"/>
  <c r="AU33" i="6"/>
  <c r="AU29" i="6"/>
  <c r="AU34" i="6"/>
  <c r="AU20" i="6"/>
  <c r="C456" i="6"/>
  <c r="F456" i="6" s="1"/>
  <c r="C432" i="6"/>
  <c r="F432" i="6" s="1"/>
  <c r="AF172" i="6"/>
  <c r="AF36" i="20" s="1"/>
  <c r="T170" i="6"/>
  <c r="T34" i="20" s="1"/>
  <c r="X169" i="6"/>
  <c r="X33" i="20" s="1"/>
  <c r="AB167" i="6"/>
  <c r="AB31" i="20" s="1"/>
  <c r="AB166" i="6"/>
  <c r="AB30" i="20" s="1"/>
  <c r="AB165" i="6"/>
  <c r="AB29" i="20" s="1"/>
  <c r="AB164" i="6"/>
  <c r="AB28" i="20" s="1"/>
  <c r="AJ163" i="6"/>
  <c r="AJ27" i="20" s="1"/>
  <c r="AF158" i="6"/>
  <c r="AF22" i="20" s="1"/>
  <c r="AJ153" i="6"/>
  <c r="AJ17" i="20" s="1"/>
  <c r="T149" i="6"/>
  <c r="T13" i="20" s="1"/>
  <c r="X150" i="6"/>
  <c r="X14" i="20" s="1"/>
  <c r="L152" i="6"/>
  <c r="T153" i="6"/>
  <c r="X152" i="6"/>
  <c r="X154" i="6"/>
  <c r="T159" i="6"/>
  <c r="P160" i="6"/>
  <c r="L164" i="6"/>
  <c r="AB154" i="6"/>
  <c r="AB18" i="20" s="1"/>
  <c r="T161" i="6"/>
  <c r="T25" i="20" s="1"/>
  <c r="AB158" i="6"/>
  <c r="C440" i="6"/>
  <c r="F440" i="6" s="1"/>
  <c r="T172" i="6"/>
  <c r="T36" i="20" s="1"/>
  <c r="T38" i="20" s="1"/>
  <c r="T41" i="20" s="1"/>
  <c r="AJ171" i="6"/>
  <c r="AJ35" i="20" s="1"/>
  <c r="AJ168" i="6"/>
  <c r="AJ32" i="20" s="1"/>
  <c r="AJ164" i="6"/>
  <c r="AJ28" i="20" s="1"/>
  <c r="AF162" i="6"/>
  <c r="AF26" i="20" s="1"/>
  <c r="AJ160" i="6"/>
  <c r="AJ24" i="20" s="1"/>
  <c r="AF157" i="6"/>
  <c r="AF21" i="20" s="1"/>
  <c r="AF156" i="6"/>
  <c r="AF20" i="20" s="1"/>
  <c r="L150" i="6"/>
  <c r="L151" i="6"/>
  <c r="P154" i="6"/>
  <c r="L157" i="6"/>
  <c r="L21" i="20" s="1"/>
  <c r="AB149" i="6"/>
  <c r="AB13" i="20" s="1"/>
  <c r="AB151" i="6"/>
  <c r="L168" i="6"/>
  <c r="L165" i="6"/>
  <c r="AJ149" i="6"/>
  <c r="AJ13" i="20" s="1"/>
  <c r="AF150" i="6"/>
  <c r="AF14" i="20" s="1"/>
  <c r="X157" i="6"/>
  <c r="X162" i="6"/>
  <c r="X160" i="6"/>
  <c r="X24" i="20" s="1"/>
  <c r="X158" i="6"/>
  <c r="C448" i="6"/>
  <c r="F448" i="6" s="1"/>
  <c r="X171" i="6"/>
  <c r="X35" i="20" s="1"/>
  <c r="AB170" i="6"/>
  <c r="AB34" i="20" s="1"/>
  <c r="AF169" i="6"/>
  <c r="AF33" i="20" s="1"/>
  <c r="X168" i="6"/>
  <c r="X32" i="20" s="1"/>
  <c r="AJ167" i="6"/>
  <c r="AJ31" i="20" s="1"/>
  <c r="AJ166" i="6"/>
  <c r="AJ30" i="20" s="1"/>
  <c r="AJ165" i="6"/>
  <c r="AJ29" i="20" s="1"/>
  <c r="AJ159" i="6"/>
  <c r="AJ23" i="20" s="1"/>
  <c r="AJ154" i="6"/>
  <c r="AJ18" i="20" s="1"/>
  <c r="T152" i="6"/>
  <c r="L155" i="6"/>
  <c r="P158" i="6"/>
  <c r="T156" i="6"/>
  <c r="T20" i="20" s="1"/>
  <c r="P162" i="6"/>
  <c r="AB153" i="6"/>
  <c r="AB157" i="6"/>
  <c r="X163" i="6"/>
  <c r="T163" i="6"/>
  <c r="T165" i="6"/>
  <c r="T29" i="20" s="1"/>
  <c r="P166" i="6"/>
  <c r="L169" i="6"/>
  <c r="AB159" i="6"/>
  <c r="AB172" i="6"/>
  <c r="AB36" i="20" s="1"/>
  <c r="T169" i="6"/>
  <c r="T33" i="20" s="1"/>
  <c r="X167" i="6"/>
  <c r="X31" i="20" s="1"/>
  <c r="X166" i="6"/>
  <c r="X30" i="20" s="1"/>
  <c r="X165" i="6"/>
  <c r="X29" i="20" s="1"/>
  <c r="X164" i="6"/>
  <c r="X28" i="20" s="1"/>
  <c r="AF163" i="6"/>
  <c r="AF27" i="20" s="1"/>
  <c r="AJ161" i="6"/>
  <c r="AJ25" i="20" s="1"/>
  <c r="AB161" i="6"/>
  <c r="AB25" i="20" s="1"/>
  <c r="T150" i="6"/>
  <c r="T151" i="6"/>
  <c r="P153" i="6"/>
  <c r="P156" i="6"/>
  <c r="L159" i="6"/>
  <c r="X155" i="6"/>
  <c r="T158" i="6"/>
  <c r="P159" i="6"/>
  <c r="L166" i="6"/>
  <c r="P163" i="6"/>
  <c r="AF152" i="6"/>
  <c r="AF154" i="6"/>
  <c r="P170" i="6"/>
  <c r="X159" i="6"/>
  <c r="P172" i="6"/>
  <c r="P36" i="20" s="1"/>
  <c r="P38" i="20" s="1"/>
  <c r="P41" i="20" s="1"/>
  <c r="AF171" i="6"/>
  <c r="AF35" i="20" s="1"/>
  <c r="AJ170" i="6"/>
  <c r="AJ34" i="20" s="1"/>
  <c r="AF168" i="6"/>
  <c r="AF32" i="20" s="1"/>
  <c r="AB162" i="6"/>
  <c r="AB26" i="20" s="1"/>
  <c r="AF160" i="6"/>
  <c r="AF24" i="20" s="1"/>
  <c r="AJ158" i="6"/>
  <c r="AJ22" i="20" s="1"/>
  <c r="AJ152" i="6"/>
  <c r="AJ16" i="20" s="1"/>
  <c r="H150" i="6"/>
  <c r="L154" i="6"/>
  <c r="X151" i="6"/>
  <c r="X15" i="20" s="1"/>
  <c r="X153" i="6"/>
  <c r="T160" i="6"/>
  <c r="T24" i="20" s="1"/>
  <c r="P161" i="6"/>
  <c r="P164" i="6"/>
  <c r="P28" i="20" s="1"/>
  <c r="AF155" i="6"/>
  <c r="AB156" i="6"/>
  <c r="P168" i="6"/>
  <c r="P171" i="6"/>
  <c r="C444" i="6"/>
  <c r="F444" i="6" s="1"/>
  <c r="C436" i="6"/>
  <c r="F436" i="6" s="1"/>
  <c r="AJ172" i="6"/>
  <c r="AJ36" i="20" s="1"/>
  <c r="T171" i="6"/>
  <c r="T35" i="20" s="1"/>
  <c r="X170" i="6"/>
  <c r="X34" i="20" s="1"/>
  <c r="AB169" i="6"/>
  <c r="AB33" i="20" s="1"/>
  <c r="T168" i="6"/>
  <c r="T32" i="20" s="1"/>
  <c r="AF167" i="6"/>
  <c r="AF31" i="20" s="1"/>
  <c r="AF166" i="6"/>
  <c r="AF30" i="20" s="1"/>
  <c r="AF165" i="6"/>
  <c r="AF29" i="20" s="1"/>
  <c r="AF164" i="6"/>
  <c r="AF28" i="20" s="1"/>
  <c r="AJ155" i="6"/>
  <c r="AJ19" i="20" s="1"/>
  <c r="P152" i="6"/>
  <c r="L160" i="6"/>
  <c r="L161" i="6"/>
  <c r="AB152" i="6"/>
  <c r="AJ150" i="6"/>
  <c r="X161" i="6"/>
  <c r="X25" i="20" s="1"/>
  <c r="T162" i="6"/>
  <c r="P165" i="6"/>
  <c r="P29" i="20" s="1"/>
  <c r="AJ162" i="6"/>
  <c r="AJ26" i="20" s="1"/>
  <c r="AF159" i="6"/>
  <c r="AF23" i="20" s="1"/>
  <c r="AJ157" i="6"/>
  <c r="AJ21" i="20" s="1"/>
  <c r="AJ156" i="6"/>
  <c r="AJ20" i="20" s="1"/>
  <c r="D149" i="6"/>
  <c r="D13" i="20" s="1"/>
  <c r="P150" i="6"/>
  <c r="P151" i="6"/>
  <c r="L153" i="6"/>
  <c r="T154" i="6"/>
  <c r="L156" i="6"/>
  <c r="L20" i="20" s="1"/>
  <c r="L158" i="6"/>
  <c r="L162" i="6"/>
  <c r="T155" i="6"/>
  <c r="T157" i="6"/>
  <c r="T21" i="20" s="1"/>
  <c r="L167" i="6"/>
  <c r="Y158" i="6"/>
  <c r="U169" i="6"/>
  <c r="U33" i="20" s="1"/>
  <c r="AC159" i="6"/>
  <c r="AC23" i="20" s="1"/>
  <c r="I150" i="6"/>
  <c r="M163" i="6"/>
  <c r="Y162" i="6"/>
  <c r="Y164" i="6"/>
  <c r="Y28" i="20" s="1"/>
  <c r="Q149" i="6"/>
  <c r="Q13" i="20" s="1"/>
  <c r="Y160" i="6"/>
  <c r="Y161" i="6"/>
  <c r="Y167" i="6"/>
  <c r="Y31" i="20" s="1"/>
  <c r="Y154" i="6"/>
  <c r="Y151" i="6"/>
  <c r="Y149" i="6"/>
  <c r="Y13" i="20" s="1"/>
  <c r="Y165" i="6"/>
  <c r="Y29" i="20" s="1"/>
  <c r="Y170" i="6"/>
  <c r="Y34" i="20" s="1"/>
  <c r="Y171" i="6"/>
  <c r="Y35" i="20" s="1"/>
  <c r="C443" i="6"/>
  <c r="F443" i="6" s="1"/>
  <c r="Y163" i="6"/>
  <c r="Y27" i="20" s="1"/>
  <c r="Y169" i="6"/>
  <c r="Y33" i="20" s="1"/>
  <c r="Y172" i="6"/>
  <c r="Y36" i="20" s="1"/>
  <c r="Y155" i="6"/>
  <c r="Y152" i="6"/>
  <c r="Y166" i="6"/>
  <c r="Y30" i="20" s="1"/>
  <c r="Y168" i="6"/>
  <c r="Y32" i="20" s="1"/>
  <c r="Y159" i="6"/>
  <c r="Y156" i="6"/>
  <c r="AG149" i="6"/>
  <c r="AG13" i="20" s="1"/>
  <c r="AG160" i="6"/>
  <c r="AG24" i="20" s="1"/>
  <c r="AG161" i="6"/>
  <c r="AG25" i="20" s="1"/>
  <c r="AG167" i="6"/>
  <c r="AG31" i="20" s="1"/>
  <c r="AG165" i="6"/>
  <c r="AG29" i="20" s="1"/>
  <c r="AG150" i="6"/>
  <c r="AG162" i="6"/>
  <c r="AG26" i="20" s="1"/>
  <c r="AG170" i="6"/>
  <c r="AG34" i="20" s="1"/>
  <c r="AG171" i="6"/>
  <c r="AG35" i="20" s="1"/>
  <c r="AG151" i="6"/>
  <c r="AG155" i="6"/>
  <c r="AG19" i="20" s="1"/>
  <c r="AG169" i="6"/>
  <c r="AG33" i="20" s="1"/>
  <c r="AG172" i="6"/>
  <c r="AG36" i="20" s="1"/>
  <c r="AG156" i="6"/>
  <c r="AG20" i="20" s="1"/>
  <c r="AG159" i="6"/>
  <c r="AG23" i="20" s="1"/>
  <c r="AG166" i="6"/>
  <c r="AG30" i="20" s="1"/>
  <c r="C435" i="6"/>
  <c r="AG154" i="6"/>
  <c r="AG152" i="6"/>
  <c r="AG157" i="6"/>
  <c r="AG21" i="20" s="1"/>
  <c r="AG163" i="6"/>
  <c r="AG27" i="20" s="1"/>
  <c r="AG168" i="6"/>
  <c r="AG32" i="20" s="1"/>
  <c r="AG153" i="6"/>
  <c r="E150" i="6"/>
  <c r="M171" i="6"/>
  <c r="M162" i="6"/>
  <c r="M161" i="6"/>
  <c r="M156" i="6"/>
  <c r="M153" i="6"/>
  <c r="M166" i="6"/>
  <c r="M167" i="6"/>
  <c r="M155" i="6"/>
  <c r="M168" i="6"/>
  <c r="M165" i="6"/>
  <c r="M160" i="6"/>
  <c r="M150" i="6"/>
  <c r="C455" i="6"/>
  <c r="F455" i="6" s="1"/>
  <c r="M164" i="6"/>
  <c r="M151" i="6"/>
  <c r="M169" i="6"/>
  <c r="M152" i="6"/>
  <c r="M154" i="6"/>
  <c r="U164" i="6"/>
  <c r="U166" i="6"/>
  <c r="U160" i="6"/>
  <c r="U156" i="6"/>
  <c r="U168" i="6"/>
  <c r="U32" i="20" s="1"/>
  <c r="U165" i="6"/>
  <c r="U153" i="6"/>
  <c r="U161" i="6"/>
  <c r="U157" i="6"/>
  <c r="U150" i="6"/>
  <c r="U167" i="6"/>
  <c r="U31" i="20" s="1"/>
  <c r="U162" i="6"/>
  <c r="U158" i="6"/>
  <c r="U154" i="6"/>
  <c r="U163" i="6"/>
  <c r="U159" i="6"/>
  <c r="U152" i="6"/>
  <c r="U151" i="6"/>
  <c r="U170" i="6"/>
  <c r="U34" i="20" s="1"/>
  <c r="U171" i="6"/>
  <c r="U35" i="20" s="1"/>
  <c r="AC153" i="6"/>
  <c r="AC152" i="6"/>
  <c r="AC163" i="6"/>
  <c r="AC27" i="20" s="1"/>
  <c r="AC166" i="6"/>
  <c r="AC30" i="20" s="1"/>
  <c r="AC155" i="6"/>
  <c r="AC154" i="6"/>
  <c r="AC168" i="6"/>
  <c r="AC32" i="20" s="1"/>
  <c r="AC156" i="6"/>
  <c r="AC161" i="6"/>
  <c r="AC25" i="20" s="1"/>
  <c r="AC158" i="6"/>
  <c r="AC164" i="6"/>
  <c r="AC28" i="20" s="1"/>
  <c r="AC157" i="6"/>
  <c r="AC150" i="6"/>
  <c r="AC160" i="6"/>
  <c r="AC24" i="20" s="1"/>
  <c r="AC167" i="6"/>
  <c r="AC31" i="20" s="1"/>
  <c r="C439" i="6"/>
  <c r="F439" i="6" s="1"/>
  <c r="AC151" i="6"/>
  <c r="AC162" i="6"/>
  <c r="AC26" i="20" s="1"/>
  <c r="AC165" i="6"/>
  <c r="AC29" i="20" s="1"/>
  <c r="AC170" i="6"/>
  <c r="AC34" i="20" s="1"/>
  <c r="AC171" i="6"/>
  <c r="AC35" i="20" s="1"/>
  <c r="C447" i="6"/>
  <c r="F447" i="6" s="1"/>
  <c r="U172" i="6"/>
  <c r="U36" i="20" s="1"/>
  <c r="I149" i="6"/>
  <c r="I13" i="20" s="1"/>
  <c r="M159" i="6"/>
  <c r="U155" i="6"/>
  <c r="M170" i="6"/>
  <c r="AC172" i="6"/>
  <c r="AC36" i="20" s="1"/>
  <c r="Y150" i="6"/>
  <c r="BR88" i="9"/>
  <c r="BQ88" i="9"/>
  <c r="BR90" i="9"/>
  <c r="BQ90" i="9"/>
  <c r="BG104" i="9"/>
  <c r="AM41" i="9"/>
  <c r="AX42" i="9"/>
  <c r="BG42" i="9"/>
  <c r="BH42" i="9"/>
  <c r="AN103" i="9"/>
  <c r="AM103" i="9"/>
  <c r="BQ89" i="9"/>
  <c r="BR89" i="9"/>
  <c r="I15" i="16"/>
  <c r="U61" i="16" s="1"/>
  <c r="H16" i="16"/>
  <c r="CG9" i="18"/>
  <c r="CF9" i="18"/>
  <c r="AW73" i="9"/>
  <c r="AX73" i="9"/>
  <c r="BG14" i="9"/>
  <c r="BH14" i="9"/>
  <c r="DG12" i="9"/>
  <c r="DH12" i="9"/>
  <c r="BL9" i="18"/>
  <c r="BM9" i="18"/>
  <c r="AW76" i="9"/>
  <c r="AX76" i="9"/>
  <c r="DG19" i="9"/>
  <c r="DH19" i="9"/>
  <c r="DG13" i="9"/>
  <c r="DH13" i="9"/>
  <c r="BG9" i="9"/>
  <c r="BH9" i="9"/>
  <c r="DG7" i="9"/>
  <c r="DH7" i="9"/>
  <c r="BV9" i="18"/>
  <c r="BG20" i="9"/>
  <c r="BH20" i="9"/>
  <c r="DH16" i="9"/>
  <c r="DG16" i="9"/>
  <c r="AW8" i="9"/>
  <c r="AX8" i="9"/>
  <c r="BG18" i="9"/>
  <c r="BH18" i="9"/>
  <c r="C102" i="4"/>
  <c r="C101" i="4" s="1"/>
  <c r="C100" i="4" s="1"/>
  <c r="C99" i="4" s="1"/>
  <c r="C98" i="4" s="1"/>
  <c r="C97" i="4" s="1"/>
  <c r="C96" i="4" s="1"/>
  <c r="C95" i="4" s="1"/>
  <c r="C94" i="4" s="1"/>
  <c r="C93" i="4" s="1"/>
  <c r="C92" i="4" s="1"/>
  <c r="C91" i="4" s="1"/>
  <c r="C90" i="4" s="1"/>
  <c r="C89" i="4" s="1"/>
  <c r="C88" i="4" s="1"/>
  <c r="C87" i="4" s="1"/>
  <c r="C86" i="4" s="1"/>
  <c r="C85" i="4" s="1"/>
  <c r="C84" i="4" s="1"/>
  <c r="C83" i="4" s="1"/>
  <c r="BQ73" i="9"/>
  <c r="BR73" i="9"/>
  <c r="BR12" i="9"/>
  <c r="BQ12" i="9"/>
  <c r="BR8" i="9"/>
  <c r="BQ8" i="9"/>
  <c r="BR13" i="9"/>
  <c r="BQ13" i="9"/>
  <c r="AX136" i="9"/>
  <c r="AW136" i="9"/>
  <c r="BR136" i="9"/>
  <c r="BQ136" i="9"/>
  <c r="BR139" i="9"/>
  <c r="BQ139" i="9"/>
  <c r="BR150" i="9"/>
  <c r="BQ150" i="9"/>
  <c r="BR165" i="9"/>
  <c r="BQ165" i="9"/>
  <c r="AX194" i="9"/>
  <c r="AW194" i="9"/>
  <c r="BH196" i="9"/>
  <c r="BG196" i="9"/>
  <c r="AX200" i="9"/>
  <c r="AW200" i="9"/>
  <c r="AW201" i="9"/>
  <c r="AX201" i="9"/>
  <c r="BH204" i="9"/>
  <c r="BG204" i="9"/>
  <c r="BQ214" i="9"/>
  <c r="BR214" i="9"/>
  <c r="AM165" i="9"/>
  <c r="BH197" i="9"/>
  <c r="BH140" i="9"/>
  <c r="BH133" i="9"/>
  <c r="BG133" i="9"/>
  <c r="AW134" i="9"/>
  <c r="AX134" i="9"/>
  <c r="BH139" i="9"/>
  <c r="BG139" i="9"/>
  <c r="BR146" i="9"/>
  <c r="BQ146" i="9"/>
  <c r="BR148" i="9"/>
  <c r="BQ148" i="9"/>
  <c r="BR208" i="9"/>
  <c r="BR211" i="9"/>
  <c r="BG132" i="9"/>
  <c r="BH134" i="9"/>
  <c r="BR142" i="9"/>
  <c r="BQ142" i="9"/>
  <c r="BR149" i="9"/>
  <c r="BQ149" i="9"/>
  <c r="BR11" i="9"/>
  <c r="BQ228" i="9"/>
  <c r="BQ205" i="9"/>
  <c r="BQ141" i="9"/>
  <c r="BQ138" i="9"/>
  <c r="AX135" i="9"/>
  <c r="BH138" i="9"/>
  <c r="BG138" i="9"/>
  <c r="BH141" i="9"/>
  <c r="BG141" i="9"/>
  <c r="BH142" i="9"/>
  <c r="BG142" i="9"/>
  <c r="BH143" i="9"/>
  <c r="BG143" i="9"/>
  <c r="BH144" i="9"/>
  <c r="BG144" i="9"/>
  <c r="AM166" i="9"/>
  <c r="BH203" i="9"/>
  <c r="BR134" i="9"/>
  <c r="BX12" i="9"/>
  <c r="A118" i="4"/>
  <c r="A119" i="4" s="1"/>
  <c r="A120" i="4" s="1"/>
  <c r="A121" i="4" s="1"/>
  <c r="A122" i="4" s="1"/>
  <c r="A123" i="4" s="1"/>
  <c r="V21" i="4" l="1"/>
  <c r="CC45" i="18"/>
  <c r="V143" i="6"/>
  <c r="AP228" i="7" s="1"/>
  <c r="AQ228" i="7" s="1"/>
  <c r="AW243" i="7" s="1"/>
  <c r="AV243" i="7" s="1"/>
  <c r="AE198" i="6"/>
  <c r="R196" i="6"/>
  <c r="AH195" i="6"/>
  <c r="AA195" i="6"/>
  <c r="V205" i="6"/>
  <c r="W206" i="6"/>
  <c r="H17" i="5"/>
  <c r="R197" i="6"/>
  <c r="H15" i="5"/>
  <c r="H34" i="5"/>
  <c r="H18" i="5"/>
  <c r="H31" i="5"/>
  <c r="G193" i="6"/>
  <c r="AE194" i="6"/>
  <c r="W203" i="6"/>
  <c r="V316" i="6"/>
  <c r="E316" i="6"/>
  <c r="AB316" i="6"/>
  <c r="N316" i="6"/>
  <c r="Y316" i="6"/>
  <c r="K316" i="6"/>
  <c r="AE316" i="6"/>
  <c r="H316" i="6"/>
  <c r="S316" i="6"/>
  <c r="R203" i="6"/>
  <c r="R204" i="6"/>
  <c r="C193" i="6"/>
  <c r="AE143" i="6"/>
  <c r="AP237" i="7" s="1"/>
  <c r="AQ237" i="7" s="1"/>
  <c r="AW234" i="7" s="1"/>
  <c r="AV234" i="7" s="1"/>
  <c r="AC27" i="5"/>
  <c r="AD199" i="6"/>
  <c r="R205" i="6"/>
  <c r="S203" i="6"/>
  <c r="L217" i="6"/>
  <c r="AA199" i="6"/>
  <c r="AL143" i="6"/>
  <c r="AP244" i="7" s="1"/>
  <c r="AQ244" i="7" s="1"/>
  <c r="AW227" i="7" s="1"/>
  <c r="AV227" i="7" s="1"/>
  <c r="S14" i="20"/>
  <c r="R209" i="6"/>
  <c r="AE199" i="6"/>
  <c r="V196" i="6"/>
  <c r="Z200" i="6"/>
  <c r="R193" i="6"/>
  <c r="AH196" i="6"/>
  <c r="V20" i="20"/>
  <c r="V201" i="6"/>
  <c r="BY19" i="6"/>
  <c r="CA19" i="6" s="1"/>
  <c r="D96" i="6"/>
  <c r="W26" i="20"/>
  <c r="V195" i="6"/>
  <c r="Z194" i="6"/>
  <c r="Z195" i="6"/>
  <c r="S197" i="6"/>
  <c r="R17" i="20"/>
  <c r="W193" i="6"/>
  <c r="S210" i="6"/>
  <c r="S194" i="6"/>
  <c r="D475" i="6"/>
  <c r="O199" i="6"/>
  <c r="AI193" i="6"/>
  <c r="N203" i="6"/>
  <c r="O213" i="6"/>
  <c r="N204" i="6"/>
  <c r="AA201" i="6"/>
  <c r="M217" i="6"/>
  <c r="AC22" i="5"/>
  <c r="AC13" i="5"/>
  <c r="E6" i="6"/>
  <c r="E147" i="6" s="1"/>
  <c r="E11" i="20" s="1"/>
  <c r="E40" i="20" s="1"/>
  <c r="D474" i="6"/>
  <c r="Y196" i="6"/>
  <c r="O194" i="6"/>
  <c r="Z32" i="4"/>
  <c r="K59" i="8" s="1"/>
  <c r="W199" i="6"/>
  <c r="W24" i="20"/>
  <c r="R195" i="6"/>
  <c r="Z193" i="6"/>
  <c r="D51" i="6"/>
  <c r="BM15" i="6"/>
  <c r="D48" i="10" s="1"/>
  <c r="AA202" i="6"/>
  <c r="AC19" i="5"/>
  <c r="AC12" i="5"/>
  <c r="AC23" i="5"/>
  <c r="AC11" i="5"/>
  <c r="AG143" i="6"/>
  <c r="AP239" i="7" s="1"/>
  <c r="AQ239" i="7" s="1"/>
  <c r="AW232" i="7" s="1"/>
  <c r="AV232" i="7" s="1"/>
  <c r="AC20" i="5"/>
  <c r="AH16" i="20"/>
  <c r="O193" i="6"/>
  <c r="X193" i="6"/>
  <c r="D190" i="6"/>
  <c r="AE195" i="6"/>
  <c r="S205" i="6"/>
  <c r="Z203" i="6"/>
  <c r="S206" i="6"/>
  <c r="BM12" i="6"/>
  <c r="D51" i="10" s="1"/>
  <c r="O195" i="6"/>
  <c r="AE18" i="20"/>
  <c r="AE197" i="6"/>
  <c r="AC18" i="5"/>
  <c r="AC14" i="5"/>
  <c r="AK143" i="6"/>
  <c r="AP243" i="7" s="1"/>
  <c r="AQ243" i="7" s="1"/>
  <c r="AW228" i="7" s="1"/>
  <c r="AV228" i="7" s="1"/>
  <c r="O143" i="6"/>
  <c r="AC24" i="5"/>
  <c r="AC16" i="5"/>
  <c r="AE17" i="20"/>
  <c r="AE196" i="6"/>
  <c r="AA203" i="6"/>
  <c r="AE19" i="20"/>
  <c r="AI195" i="6"/>
  <c r="S207" i="6"/>
  <c r="AC17" i="5"/>
  <c r="AC15" i="5"/>
  <c r="U143" i="6"/>
  <c r="AP227" i="7" s="1"/>
  <c r="AQ227" i="7" s="1"/>
  <c r="AW244" i="7" s="1"/>
  <c r="AV244" i="7" s="1"/>
  <c r="AC25" i="5"/>
  <c r="AC26" i="5"/>
  <c r="AC143" i="6"/>
  <c r="AP235" i="7" s="1"/>
  <c r="AQ235" i="7" s="1"/>
  <c r="AW236" i="7" s="1"/>
  <c r="AV236" i="7" s="1"/>
  <c r="AC21" i="5"/>
  <c r="AJ143" i="6"/>
  <c r="AP242" i="7" s="1"/>
  <c r="AQ242" i="7" s="1"/>
  <c r="AW229" i="7" s="1"/>
  <c r="AV229" i="7" s="1"/>
  <c r="AF143" i="6"/>
  <c r="AP238" i="7" s="1"/>
  <c r="AQ238" i="7" s="1"/>
  <c r="AW233" i="7" s="1"/>
  <c r="AV233" i="7" s="1"/>
  <c r="AA30" i="5"/>
  <c r="A117" i="5"/>
  <c r="A10" i="16" s="1"/>
  <c r="U10" i="16" s="1"/>
  <c r="AA28" i="5"/>
  <c r="F124" i="4"/>
  <c r="AA377" i="6"/>
  <c r="AA376" i="6" s="1"/>
  <c r="AA375" i="6" s="1"/>
  <c r="AA374" i="6" s="1"/>
  <c r="AA373" i="6" s="1"/>
  <c r="AA372" i="6" s="1"/>
  <c r="AA371" i="6" s="1"/>
  <c r="AA370" i="6" s="1"/>
  <c r="AA369" i="6" s="1"/>
  <c r="AA368" i="6" s="1"/>
  <c r="AA367" i="6" s="1"/>
  <c r="AA366" i="6" s="1"/>
  <c r="AA365" i="6" s="1"/>
  <c r="AA364" i="6" s="1"/>
  <c r="AA363" i="6" s="1"/>
  <c r="AA362" i="6" s="1"/>
  <c r="AA361" i="6" s="1"/>
  <c r="AA360" i="6" s="1"/>
  <c r="AA359" i="6" s="1"/>
  <c r="AA358" i="6" s="1"/>
  <c r="AA357" i="6" s="1"/>
  <c r="AA356" i="6" s="1"/>
  <c r="AA355" i="6" s="1"/>
  <c r="AA354" i="6" s="1"/>
  <c r="AA353" i="6" s="1"/>
  <c r="AA352" i="6" s="1"/>
  <c r="AA351" i="6" s="1"/>
  <c r="AA350" i="6" s="1"/>
  <c r="AA349" i="6" s="1"/>
  <c r="G377" i="6"/>
  <c r="G376" i="6" s="1"/>
  <c r="G375" i="6" s="1"/>
  <c r="G374" i="6" s="1"/>
  <c r="G373" i="6" s="1"/>
  <c r="G372" i="6" s="1"/>
  <c r="G371" i="6" s="1"/>
  <c r="G370" i="6" s="1"/>
  <c r="G369" i="6" s="1"/>
  <c r="G368" i="6" s="1"/>
  <c r="G367" i="6" s="1"/>
  <c r="G366" i="6" s="1"/>
  <c r="G365" i="6" s="1"/>
  <c r="G364" i="6" s="1"/>
  <c r="G363" i="6" s="1"/>
  <c r="G362" i="6" s="1"/>
  <c r="G361" i="6" s="1"/>
  <c r="G360" i="6" s="1"/>
  <c r="G359" i="6" s="1"/>
  <c r="G358" i="6" s="1"/>
  <c r="G357" i="6" s="1"/>
  <c r="G356" i="6" s="1"/>
  <c r="G355" i="6" s="1"/>
  <c r="G354" i="6" s="1"/>
  <c r="G353" i="6" s="1"/>
  <c r="G352" i="6" s="1"/>
  <c r="G351" i="6" s="1"/>
  <c r="G350" i="6" s="1"/>
  <c r="G349" i="6" s="1"/>
  <c r="J377" i="6"/>
  <c r="J376" i="6" s="1"/>
  <c r="J375" i="6" s="1"/>
  <c r="J374" i="6" s="1"/>
  <c r="J373" i="6" s="1"/>
  <c r="J372" i="6" s="1"/>
  <c r="J371" i="6" s="1"/>
  <c r="J370" i="6" s="1"/>
  <c r="J369" i="6" s="1"/>
  <c r="J368" i="6" s="1"/>
  <c r="J367" i="6" s="1"/>
  <c r="J366" i="6" s="1"/>
  <c r="J365" i="6" s="1"/>
  <c r="J364" i="6" s="1"/>
  <c r="J363" i="6" s="1"/>
  <c r="J362" i="6" s="1"/>
  <c r="J361" i="6" s="1"/>
  <c r="J360" i="6" s="1"/>
  <c r="J359" i="6" s="1"/>
  <c r="J358" i="6" s="1"/>
  <c r="J357" i="6" s="1"/>
  <c r="J356" i="6" s="1"/>
  <c r="J355" i="6" s="1"/>
  <c r="J354" i="6" s="1"/>
  <c r="J353" i="6" s="1"/>
  <c r="J352" i="6" s="1"/>
  <c r="J351" i="6" s="1"/>
  <c r="J350" i="6" s="1"/>
  <c r="J349" i="6" s="1"/>
  <c r="X377" i="6"/>
  <c r="X376" i="6" s="1"/>
  <c r="X375" i="6" s="1"/>
  <c r="X374" i="6" s="1"/>
  <c r="X373" i="6" s="1"/>
  <c r="X372" i="6" s="1"/>
  <c r="X371" i="6" s="1"/>
  <c r="X370" i="6" s="1"/>
  <c r="X369" i="6" s="1"/>
  <c r="X368" i="6" s="1"/>
  <c r="X367" i="6" s="1"/>
  <c r="X366" i="6" s="1"/>
  <c r="X365" i="6" s="1"/>
  <c r="X364" i="6" s="1"/>
  <c r="X363" i="6" s="1"/>
  <c r="X362" i="6" s="1"/>
  <c r="X361" i="6" s="1"/>
  <c r="X360" i="6" s="1"/>
  <c r="X359" i="6" s="1"/>
  <c r="X358" i="6" s="1"/>
  <c r="X357" i="6" s="1"/>
  <c r="X356" i="6" s="1"/>
  <c r="X355" i="6" s="1"/>
  <c r="X354" i="6" s="1"/>
  <c r="X353" i="6" s="1"/>
  <c r="X352" i="6" s="1"/>
  <c r="X351" i="6" s="1"/>
  <c r="X350" i="6" s="1"/>
  <c r="X349" i="6" s="1"/>
  <c r="D382" i="6"/>
  <c r="D381" i="6" s="1"/>
  <c r="D380" i="6" s="1"/>
  <c r="D379" i="6" s="1"/>
  <c r="D378" i="6" s="1"/>
  <c r="U377" i="6"/>
  <c r="U376" i="6" s="1"/>
  <c r="U375" i="6" s="1"/>
  <c r="U374" i="6" s="1"/>
  <c r="U373" i="6" s="1"/>
  <c r="U372" i="6" s="1"/>
  <c r="U371" i="6" s="1"/>
  <c r="U370" i="6" s="1"/>
  <c r="U369" i="6" s="1"/>
  <c r="U368" i="6" s="1"/>
  <c r="U367" i="6" s="1"/>
  <c r="U366" i="6" s="1"/>
  <c r="U365" i="6" s="1"/>
  <c r="U364" i="6" s="1"/>
  <c r="U363" i="6" s="1"/>
  <c r="U362" i="6" s="1"/>
  <c r="U361" i="6" s="1"/>
  <c r="U360" i="6" s="1"/>
  <c r="U359" i="6" s="1"/>
  <c r="U358" i="6" s="1"/>
  <c r="U357" i="6" s="1"/>
  <c r="U356" i="6" s="1"/>
  <c r="U355" i="6" s="1"/>
  <c r="U354" i="6" s="1"/>
  <c r="U353" i="6" s="1"/>
  <c r="U352" i="6" s="1"/>
  <c r="U351" i="6" s="1"/>
  <c r="U350" i="6" s="1"/>
  <c r="U349" i="6" s="1"/>
  <c r="R377" i="6"/>
  <c r="R376" i="6" s="1"/>
  <c r="R375" i="6" s="1"/>
  <c r="R374" i="6" s="1"/>
  <c r="R373" i="6" s="1"/>
  <c r="R372" i="6" s="1"/>
  <c r="R371" i="6" s="1"/>
  <c r="R370" i="6" s="1"/>
  <c r="R369" i="6" s="1"/>
  <c r="R368" i="6" s="1"/>
  <c r="R367" i="6" s="1"/>
  <c r="R366" i="6" s="1"/>
  <c r="R365" i="6" s="1"/>
  <c r="R364" i="6" s="1"/>
  <c r="R363" i="6" s="1"/>
  <c r="R362" i="6" s="1"/>
  <c r="R361" i="6" s="1"/>
  <c r="R360" i="6" s="1"/>
  <c r="R359" i="6" s="1"/>
  <c r="R358" i="6" s="1"/>
  <c r="R357" i="6" s="1"/>
  <c r="R356" i="6" s="1"/>
  <c r="R355" i="6" s="1"/>
  <c r="R354" i="6" s="1"/>
  <c r="R353" i="6" s="1"/>
  <c r="R352" i="6" s="1"/>
  <c r="R351" i="6" s="1"/>
  <c r="R350" i="6" s="1"/>
  <c r="R349" i="6" s="1"/>
  <c r="G389" i="6"/>
  <c r="L216" i="6"/>
  <c r="L218" i="6"/>
  <c r="M216" i="6"/>
  <c r="N216" i="6"/>
  <c r="S27" i="20"/>
  <c r="S198" i="6"/>
  <c r="R194" i="6"/>
  <c r="O203" i="6"/>
  <c r="O200" i="6"/>
  <c r="N196" i="6"/>
  <c r="O201" i="6"/>
  <c r="O18" i="20"/>
  <c r="O198" i="6"/>
  <c r="N195" i="6"/>
  <c r="O215" i="6"/>
  <c r="N200" i="6"/>
  <c r="N201" i="6"/>
  <c r="N210" i="6"/>
  <c r="O16" i="20"/>
  <c r="O196" i="6"/>
  <c r="K45" i="6"/>
  <c r="K100" i="6"/>
  <c r="N214" i="6"/>
  <c r="O212" i="6"/>
  <c r="AP199" i="7"/>
  <c r="AQ199" i="7" s="1"/>
  <c r="BM31" i="6"/>
  <c r="D32" i="10" s="1"/>
  <c r="BM14" i="6"/>
  <c r="D49" i="10" s="1"/>
  <c r="BY23" i="6"/>
  <c r="CA23" i="6" s="1"/>
  <c r="U8" i="8"/>
  <c r="V8" i="8" s="1"/>
  <c r="W5" i="8"/>
  <c r="R13" i="20"/>
  <c r="W198" i="6"/>
  <c r="AD198" i="6"/>
  <c r="BM28" i="6"/>
  <c r="D35" i="10" s="1"/>
  <c r="W197" i="6"/>
  <c r="S201" i="6"/>
  <c r="R199" i="6"/>
  <c r="O33" i="20"/>
  <c r="S208" i="6"/>
  <c r="T207" i="6"/>
  <c r="AA196" i="6"/>
  <c r="AE193" i="6"/>
  <c r="BM27" i="6"/>
  <c r="D36" i="10" s="1"/>
  <c r="BY27" i="6"/>
  <c r="CA27" i="6" s="1"/>
  <c r="W15" i="20"/>
  <c r="W194" i="6"/>
  <c r="S209" i="6"/>
  <c r="AA197" i="6"/>
  <c r="AA194" i="6"/>
  <c r="AI194" i="6"/>
  <c r="S200" i="6"/>
  <c r="K193" i="6"/>
  <c r="AD197" i="6"/>
  <c r="O204" i="6"/>
  <c r="S199" i="6"/>
  <c r="N212" i="6"/>
  <c r="O208" i="6"/>
  <c r="O209" i="6"/>
  <c r="W207" i="6"/>
  <c r="AP185" i="7"/>
  <c r="AQ185" i="7" s="1"/>
  <c r="R210" i="6"/>
  <c r="BY26" i="6"/>
  <c r="CA26" i="6" s="1"/>
  <c r="N18" i="20"/>
  <c r="N197" i="6"/>
  <c r="AB197" i="6"/>
  <c r="Z197" i="6"/>
  <c r="Z202" i="6"/>
  <c r="W6" i="8"/>
  <c r="R25" i="20"/>
  <c r="N211" i="6"/>
  <c r="W22" i="20"/>
  <c r="W201" i="6"/>
  <c r="W202" i="6"/>
  <c r="BM11" i="6"/>
  <c r="D52" i="10" s="1"/>
  <c r="BY11" i="6"/>
  <c r="CA11" i="6" s="1"/>
  <c r="S16" i="20"/>
  <c r="S196" i="6"/>
  <c r="S195" i="6"/>
  <c r="V207" i="6"/>
  <c r="W205" i="6"/>
  <c r="Z196" i="6"/>
  <c r="W16" i="20"/>
  <c r="W195" i="6"/>
  <c r="O17" i="20"/>
  <c r="O197" i="6"/>
  <c r="J14" i="20"/>
  <c r="J193" i="6"/>
  <c r="O205" i="6"/>
  <c r="O202" i="6"/>
  <c r="BY20" i="6"/>
  <c r="CA20" i="6" s="1"/>
  <c r="BM20" i="6"/>
  <c r="D43" i="10" s="1"/>
  <c r="AA193" i="6"/>
  <c r="Z201" i="6"/>
  <c r="AD200" i="6"/>
  <c r="W200" i="6"/>
  <c r="W204" i="6"/>
  <c r="V199" i="6"/>
  <c r="N206" i="6"/>
  <c r="R198" i="6"/>
  <c r="U56" i="16"/>
  <c r="D40" i="16"/>
  <c r="Z19" i="20"/>
  <c r="Z199" i="6"/>
  <c r="V24" i="20"/>
  <c r="V203" i="6"/>
  <c r="R21" i="20"/>
  <c r="R201" i="6"/>
  <c r="Z198" i="6"/>
  <c r="R200" i="6"/>
  <c r="S211" i="6"/>
  <c r="AD196" i="6"/>
  <c r="BY8" i="6"/>
  <c r="CA8" i="6" s="1"/>
  <c r="BM8" i="6"/>
  <c r="D55" i="10" s="1"/>
  <c r="AD14" i="20"/>
  <c r="AD193" i="6"/>
  <c r="R23" i="20"/>
  <c r="R202" i="6"/>
  <c r="N34" i="20"/>
  <c r="N213" i="6"/>
  <c r="N19" i="20"/>
  <c r="N198" i="6"/>
  <c r="BM24" i="6"/>
  <c r="D39" i="10" s="1"/>
  <c r="BY24" i="6"/>
  <c r="CA24" i="6" s="1"/>
  <c r="N14" i="20"/>
  <c r="N193" i="6"/>
  <c r="N194" i="6"/>
  <c r="BM106" i="18"/>
  <c r="BL45" i="18"/>
  <c r="BL46" i="18" s="1"/>
  <c r="BH54" i="18" s="1"/>
  <c r="M201" i="6"/>
  <c r="T208" i="6"/>
  <c r="S204" i="6"/>
  <c r="N207" i="6"/>
  <c r="B63" i="5"/>
  <c r="S31" i="20"/>
  <c r="R212" i="6"/>
  <c r="BM16" i="6"/>
  <c r="D47" i="10" s="1"/>
  <c r="BY16" i="6"/>
  <c r="CA16" i="6" s="1"/>
  <c r="Z25" i="20"/>
  <c r="Z204" i="6"/>
  <c r="V202" i="6"/>
  <c r="V23" i="20"/>
  <c r="R27" i="20"/>
  <c r="R207" i="6"/>
  <c r="R206" i="6"/>
  <c r="N199" i="6"/>
  <c r="N20" i="20"/>
  <c r="F14" i="20"/>
  <c r="F193" i="6"/>
  <c r="BY32" i="6"/>
  <c r="CA32" i="6" s="1"/>
  <c r="BM32" i="6"/>
  <c r="T204" i="6"/>
  <c r="R211" i="6"/>
  <c r="AA198" i="6"/>
  <c r="V204" i="6"/>
  <c r="P198" i="6"/>
  <c r="AD15" i="20"/>
  <c r="AD194" i="6"/>
  <c r="AD195" i="6"/>
  <c r="V18" i="20"/>
  <c r="V198" i="6"/>
  <c r="V197" i="6"/>
  <c r="V14" i="20"/>
  <c r="V194" i="6"/>
  <c r="V193" i="6"/>
  <c r="R29" i="20"/>
  <c r="R208" i="6"/>
  <c r="N23" i="20"/>
  <c r="N202" i="6"/>
  <c r="N36" i="20"/>
  <c r="N38" i="20" s="1"/>
  <c r="N41" i="20" s="1"/>
  <c r="N215" i="6"/>
  <c r="CE27" i="18"/>
  <c r="CD45" i="18"/>
  <c r="CB48" i="18" s="1"/>
  <c r="F334" i="6"/>
  <c r="CP9" i="6"/>
  <c r="G333" i="6" s="1"/>
  <c r="N26" i="20"/>
  <c r="N205" i="6"/>
  <c r="O30" i="20"/>
  <c r="O210" i="6"/>
  <c r="N29" i="20"/>
  <c r="N208" i="6"/>
  <c r="N209" i="6"/>
  <c r="S22" i="20"/>
  <c r="S202" i="6"/>
  <c r="W17" i="20"/>
  <c r="W196" i="6"/>
  <c r="V208" i="6"/>
  <c r="V26" i="20"/>
  <c r="V206" i="6"/>
  <c r="O27" i="20"/>
  <c r="O206" i="6"/>
  <c r="O207" i="6"/>
  <c r="AA200" i="6"/>
  <c r="AA20" i="20"/>
  <c r="O35" i="20"/>
  <c r="O214" i="6"/>
  <c r="AH14" i="20"/>
  <c r="AH194" i="6"/>
  <c r="AH193" i="6"/>
  <c r="O32" i="20"/>
  <c r="O211" i="6"/>
  <c r="AU44" i="6"/>
  <c r="AU47" i="6" s="1"/>
  <c r="AU48" i="6" s="1"/>
  <c r="P207" i="6"/>
  <c r="T199" i="6"/>
  <c r="AJ194" i="6"/>
  <c r="AB17" i="20"/>
  <c r="B4" i="19"/>
  <c r="B8" i="19" s="1"/>
  <c r="C8" i="19" s="1"/>
  <c r="B114" i="19"/>
  <c r="B118" i="19" s="1"/>
  <c r="C118" i="19" s="1"/>
  <c r="AB198" i="6"/>
  <c r="AB196" i="6"/>
  <c r="T203" i="6"/>
  <c r="AK193" i="6"/>
  <c r="AK14" i="20"/>
  <c r="BY9" i="6"/>
  <c r="CA9" i="6" s="1"/>
  <c r="BM9" i="6"/>
  <c r="D54" i="10" s="1"/>
  <c r="BM45" i="18"/>
  <c r="BM46" i="18" s="1"/>
  <c r="BH51" i="18" s="1"/>
  <c r="B467" i="6"/>
  <c r="E467" i="6" s="1"/>
  <c r="BK46" i="18"/>
  <c r="BH52" i="18" s="1"/>
  <c r="BH55" i="18" s="1"/>
  <c r="H77" i="5"/>
  <c r="I75" i="5" s="1"/>
  <c r="B57" i="5"/>
  <c r="E432" i="6"/>
  <c r="T210" i="6"/>
  <c r="X194" i="6"/>
  <c r="L215" i="6"/>
  <c r="AB193" i="6"/>
  <c r="L214" i="6"/>
  <c r="AN29" i="7"/>
  <c r="AN52" i="7"/>
  <c r="P42" i="8"/>
  <c r="I23" i="8"/>
  <c r="CC46" i="18"/>
  <c r="CB49" i="18"/>
  <c r="P200" i="6"/>
  <c r="BT27" i="18"/>
  <c r="BS45" i="18"/>
  <c r="AF194" i="6"/>
  <c r="AF193" i="6"/>
  <c r="X204" i="6"/>
  <c r="W7" i="8"/>
  <c r="V7" i="8"/>
  <c r="AF196" i="6"/>
  <c r="BH49" i="18"/>
  <c r="BH53" i="18" s="1"/>
  <c r="BI46" i="18"/>
  <c r="BS106" i="18"/>
  <c r="BT106" i="18" s="1"/>
  <c r="BU106" i="18" s="1"/>
  <c r="CB106" i="18"/>
  <c r="CC106" i="18" s="1"/>
  <c r="CD106" i="18" s="1"/>
  <c r="CE106" i="18" s="1"/>
  <c r="P34" i="20"/>
  <c r="P213" i="6"/>
  <c r="AB202" i="6"/>
  <c r="AB23" i="20"/>
  <c r="L22" i="20"/>
  <c r="L201" i="6"/>
  <c r="AB195" i="6"/>
  <c r="AB16" i="20"/>
  <c r="P16" i="20"/>
  <c r="P195" i="6"/>
  <c r="AB20" i="20"/>
  <c r="AB199" i="6"/>
  <c r="AF18" i="20"/>
  <c r="AF197" i="6"/>
  <c r="X19" i="20"/>
  <c r="X198" i="6"/>
  <c r="T15" i="20"/>
  <c r="T194" i="6"/>
  <c r="L33" i="20"/>
  <c r="L212" i="6"/>
  <c r="L29" i="20"/>
  <c r="L208" i="6"/>
  <c r="T23" i="20"/>
  <c r="T202" i="6"/>
  <c r="P24" i="20"/>
  <c r="P203" i="6"/>
  <c r="L199" i="6"/>
  <c r="AF19" i="20"/>
  <c r="AF198" i="6"/>
  <c r="BY22" i="6"/>
  <c r="CA22" i="6" s="1"/>
  <c r="BM22" i="6"/>
  <c r="D41" i="10" s="1"/>
  <c r="H14" i="20"/>
  <c r="H193" i="6"/>
  <c r="AF16" i="20"/>
  <c r="AF195" i="6"/>
  <c r="T14" i="20"/>
  <c r="T193" i="6"/>
  <c r="P30" i="20"/>
  <c r="P210" i="6"/>
  <c r="P209" i="6"/>
  <c r="T16" i="20"/>
  <c r="T195" i="6"/>
  <c r="L32" i="20"/>
  <c r="L211" i="6"/>
  <c r="P18" i="20"/>
  <c r="P197" i="6"/>
  <c r="X18" i="20"/>
  <c r="X197" i="6"/>
  <c r="T17" i="20"/>
  <c r="T196" i="6"/>
  <c r="T209" i="6"/>
  <c r="P32" i="20"/>
  <c r="P212" i="6"/>
  <c r="P211" i="6"/>
  <c r="T200" i="6"/>
  <c r="L200" i="6"/>
  <c r="T197" i="6"/>
  <c r="T18" i="20"/>
  <c r="BM10" i="6"/>
  <c r="D53" i="10" s="1"/>
  <c r="BY10" i="6"/>
  <c r="CA10" i="6" s="1"/>
  <c r="BM18" i="6"/>
  <c r="D45" i="10" s="1"/>
  <c r="BY18" i="6"/>
  <c r="CA18" i="6" s="1"/>
  <c r="BM30" i="6"/>
  <c r="D33" i="10" s="1"/>
  <c r="BY30" i="6"/>
  <c r="CA30" i="6" s="1"/>
  <c r="X22" i="20"/>
  <c r="X201" i="6"/>
  <c r="AB15" i="20"/>
  <c r="AB194" i="6"/>
  <c r="AB22" i="20"/>
  <c r="AB201" i="6"/>
  <c r="X16" i="20"/>
  <c r="X195" i="6"/>
  <c r="L16" i="20"/>
  <c r="L195" i="6"/>
  <c r="L31" i="20"/>
  <c r="L210" i="6"/>
  <c r="L17" i="20"/>
  <c r="L196" i="6"/>
  <c r="P27" i="20"/>
  <c r="P206" i="6"/>
  <c r="T27" i="20"/>
  <c r="T206" i="6"/>
  <c r="X199" i="6"/>
  <c r="X203" i="6"/>
  <c r="L15" i="20"/>
  <c r="L194" i="6"/>
  <c r="P26" i="20"/>
  <c r="P205" i="6"/>
  <c r="T26" i="20"/>
  <c r="T205" i="6"/>
  <c r="L25" i="20"/>
  <c r="L204" i="6"/>
  <c r="L30" i="20"/>
  <c r="L209" i="6"/>
  <c r="L202" i="6"/>
  <c r="L23" i="20"/>
  <c r="X27" i="20"/>
  <c r="X206" i="6"/>
  <c r="X26" i="20"/>
  <c r="X205" i="6"/>
  <c r="L14" i="20"/>
  <c r="L193" i="6"/>
  <c r="Z38" i="4"/>
  <c r="K65" i="8" s="1"/>
  <c r="T19" i="20"/>
  <c r="T198" i="6"/>
  <c r="P194" i="6"/>
  <c r="P15" i="20"/>
  <c r="L203" i="6"/>
  <c r="L24" i="20"/>
  <c r="BM34" i="6"/>
  <c r="BY34" i="6"/>
  <c r="CA34" i="6" s="1"/>
  <c r="P25" i="20"/>
  <c r="P204" i="6"/>
  <c r="P199" i="6"/>
  <c r="P20" i="20"/>
  <c r="AB21" i="20"/>
  <c r="AB200" i="6"/>
  <c r="X200" i="6"/>
  <c r="X21" i="20"/>
  <c r="L28" i="20"/>
  <c r="L207" i="6"/>
  <c r="D193" i="6"/>
  <c r="X17" i="20"/>
  <c r="X196" i="6"/>
  <c r="T22" i="20"/>
  <c r="T201" i="6"/>
  <c r="L198" i="6"/>
  <c r="L19" i="20"/>
  <c r="P208" i="6"/>
  <c r="L26" i="20"/>
  <c r="L206" i="6"/>
  <c r="L205" i="6"/>
  <c r="P14" i="20"/>
  <c r="P193" i="6"/>
  <c r="AJ14" i="20"/>
  <c r="AJ193" i="6"/>
  <c r="P214" i="6"/>
  <c r="P35" i="20"/>
  <c r="L18" i="20"/>
  <c r="L197" i="6"/>
  <c r="X23" i="20"/>
  <c r="X202" i="6"/>
  <c r="P23" i="20"/>
  <c r="P202" i="6"/>
  <c r="P17" i="20"/>
  <c r="P196" i="6"/>
  <c r="P22" i="20"/>
  <c r="P201" i="6"/>
  <c r="L213" i="6"/>
  <c r="BM25" i="6"/>
  <c r="D38" i="10" s="1"/>
  <c r="BY25" i="6"/>
  <c r="CA25" i="6" s="1"/>
  <c r="F435" i="6"/>
  <c r="Y19" i="20"/>
  <c r="Y198" i="6"/>
  <c r="M23" i="20"/>
  <c r="M202" i="6"/>
  <c r="Z33" i="4"/>
  <c r="K60" i="8" s="1"/>
  <c r="AP198" i="7"/>
  <c r="AQ198" i="7" s="1"/>
  <c r="AP196" i="7"/>
  <c r="AQ196" i="7" s="1"/>
  <c r="Z35" i="4"/>
  <c r="K62" i="8" s="1"/>
  <c r="AC16" i="20"/>
  <c r="AC195" i="6"/>
  <c r="U196" i="6"/>
  <c r="U17" i="20"/>
  <c r="M197" i="6"/>
  <c r="M18" i="20"/>
  <c r="M24" i="20"/>
  <c r="M203" i="6"/>
  <c r="M199" i="6"/>
  <c r="M20" i="20"/>
  <c r="AP240" i="7"/>
  <c r="AQ240" i="7" s="1"/>
  <c r="AW231" i="7" s="1"/>
  <c r="AV231" i="7" s="1"/>
  <c r="AP189" i="7"/>
  <c r="AQ189" i="7" s="1"/>
  <c r="Z42" i="4"/>
  <c r="K69" i="8" s="1"/>
  <c r="AC20" i="20"/>
  <c r="AC199" i="6"/>
  <c r="AC17" i="20"/>
  <c r="AC196" i="6"/>
  <c r="U18" i="20"/>
  <c r="U197" i="6"/>
  <c r="U29" i="20"/>
  <c r="U208" i="6"/>
  <c r="M208" i="6"/>
  <c r="M29" i="20"/>
  <c r="M25" i="20"/>
  <c r="M204" i="6"/>
  <c r="BM13" i="6"/>
  <c r="D50" i="10" s="1"/>
  <c r="BY13" i="6"/>
  <c r="CA13" i="6" s="1"/>
  <c r="U22" i="20"/>
  <c r="U201" i="6"/>
  <c r="M26" i="20"/>
  <c r="M205" i="6"/>
  <c r="AP188" i="7"/>
  <c r="AQ188" i="7" s="1"/>
  <c r="BM17" i="6"/>
  <c r="D46" i="10" s="1"/>
  <c r="BY17" i="6"/>
  <c r="CA17" i="6" s="1"/>
  <c r="U205" i="6"/>
  <c r="U26" i="20"/>
  <c r="U20" i="20"/>
  <c r="U199" i="6"/>
  <c r="M212" i="6"/>
  <c r="M33" i="20"/>
  <c r="M19" i="20"/>
  <c r="M198" i="6"/>
  <c r="M35" i="20"/>
  <c r="M215" i="6"/>
  <c r="M214" i="6"/>
  <c r="AP195" i="7"/>
  <c r="AQ195" i="7" s="1"/>
  <c r="Z36" i="4"/>
  <c r="K63" i="8" s="1"/>
  <c r="Y199" i="6"/>
  <c r="Y20" i="20"/>
  <c r="Y15" i="20"/>
  <c r="Y194" i="6"/>
  <c r="I193" i="6"/>
  <c r="I14" i="20"/>
  <c r="AP190" i="7"/>
  <c r="AQ190" i="7" s="1"/>
  <c r="Z41" i="4"/>
  <c r="K68" i="8" s="1"/>
  <c r="AP194" i="7"/>
  <c r="AQ194" i="7" s="1"/>
  <c r="Z37" i="4"/>
  <c r="K64" i="8" s="1"/>
  <c r="M32" i="20"/>
  <c r="M211" i="6"/>
  <c r="AP186" i="7"/>
  <c r="AQ186" i="7" s="1"/>
  <c r="AC193" i="6"/>
  <c r="AC14" i="20"/>
  <c r="AC18" i="20"/>
  <c r="AC197" i="6"/>
  <c r="U15" i="20"/>
  <c r="U194" i="6"/>
  <c r="U24" i="20"/>
  <c r="U203" i="6"/>
  <c r="M15" i="20"/>
  <c r="M194" i="6"/>
  <c r="M31" i="20"/>
  <c r="M210" i="6"/>
  <c r="AG14" i="20"/>
  <c r="AG193" i="6"/>
  <c r="Y202" i="6"/>
  <c r="Y23" i="20"/>
  <c r="Y18" i="20"/>
  <c r="Y197" i="6"/>
  <c r="AP192" i="7"/>
  <c r="AQ192" i="7" s="1"/>
  <c r="Z39" i="4"/>
  <c r="K66" i="8" s="1"/>
  <c r="M16" i="20"/>
  <c r="M195" i="6"/>
  <c r="AG196" i="6"/>
  <c r="AG17" i="20"/>
  <c r="BM21" i="6"/>
  <c r="D42" i="10" s="1"/>
  <c r="BY21" i="6"/>
  <c r="CA21" i="6" s="1"/>
  <c r="M34" i="20"/>
  <c r="M213" i="6"/>
  <c r="U19" i="20"/>
  <c r="U198" i="6"/>
  <c r="AC21" i="20"/>
  <c r="AC200" i="6"/>
  <c r="AC19" i="20"/>
  <c r="AC198" i="6"/>
  <c r="U16" i="20"/>
  <c r="U195" i="6"/>
  <c r="U193" i="6"/>
  <c r="U14" i="20"/>
  <c r="U209" i="6"/>
  <c r="U30" i="20"/>
  <c r="M28" i="20"/>
  <c r="M207" i="6"/>
  <c r="M209" i="6"/>
  <c r="M30" i="20"/>
  <c r="E193" i="6"/>
  <c r="E14" i="20"/>
  <c r="Y26" i="20"/>
  <c r="Y205" i="6"/>
  <c r="Y22" i="20"/>
  <c r="Y201" i="6"/>
  <c r="AP200" i="7"/>
  <c r="AQ200" i="7" s="1"/>
  <c r="Z31" i="4"/>
  <c r="K58" i="8" s="1"/>
  <c r="G56" i="5"/>
  <c r="U23" i="20"/>
  <c r="U202" i="6"/>
  <c r="U21" i="20"/>
  <c r="U200" i="6"/>
  <c r="U28" i="20"/>
  <c r="U207" i="6"/>
  <c r="BY33" i="6"/>
  <c r="CA33" i="6" s="1"/>
  <c r="BM33" i="6"/>
  <c r="AG16" i="20"/>
  <c r="AG195" i="6"/>
  <c r="Y25" i="20"/>
  <c r="Y204" i="6"/>
  <c r="Y200" i="6"/>
  <c r="M206" i="6"/>
  <c r="M27" i="20"/>
  <c r="Y14" i="20"/>
  <c r="Y193" i="6"/>
  <c r="AP191" i="7"/>
  <c r="AQ191" i="7" s="1"/>
  <c r="Z40" i="4"/>
  <c r="K67" i="8" s="1"/>
  <c r="Z34" i="4"/>
  <c r="K61" i="8" s="1"/>
  <c r="AP197" i="7"/>
  <c r="AQ197" i="7" s="1"/>
  <c r="AC194" i="6"/>
  <c r="AC15" i="20"/>
  <c r="AC22" i="20"/>
  <c r="AC201" i="6"/>
  <c r="U27" i="20"/>
  <c r="U206" i="6"/>
  <c r="U25" i="20"/>
  <c r="U204" i="6"/>
  <c r="M193" i="6"/>
  <c r="M14" i="20"/>
  <c r="M17" i="20"/>
  <c r="M196" i="6"/>
  <c r="AG18" i="20"/>
  <c r="AG197" i="6"/>
  <c r="AG15" i="20"/>
  <c r="AG194" i="6"/>
  <c r="Y16" i="20"/>
  <c r="Y195" i="6"/>
  <c r="AP187" i="7"/>
  <c r="AQ187" i="7" s="1"/>
  <c r="Y24" i="20"/>
  <c r="Y203" i="6"/>
  <c r="M200" i="6"/>
  <c r="B35" i="9"/>
  <c r="I16" i="16"/>
  <c r="U62" i="16" s="1"/>
  <c r="H17" i="16"/>
  <c r="C82" i="4"/>
  <c r="C81" i="4" s="1"/>
  <c r="V22" i="4" l="1"/>
  <c r="H37" i="5"/>
  <c r="H35" i="5"/>
  <c r="H36" i="5"/>
  <c r="C238" i="6"/>
  <c r="C242" i="6"/>
  <c r="H33" i="5"/>
  <c r="H12" i="5"/>
  <c r="H14" i="5"/>
  <c r="H20" i="5"/>
  <c r="H29" i="5"/>
  <c r="H26" i="5"/>
  <c r="H21" i="5"/>
  <c r="H13" i="5"/>
  <c r="H19" i="5"/>
  <c r="H11" i="5"/>
  <c r="H23" i="5"/>
  <c r="H22" i="5"/>
  <c r="H27" i="5"/>
  <c r="H25" i="5"/>
  <c r="H28" i="5"/>
  <c r="H30" i="5"/>
  <c r="H16" i="5"/>
  <c r="H24" i="5"/>
  <c r="T56" i="16"/>
  <c r="E474" i="6"/>
  <c r="F6" i="6"/>
  <c r="F474" i="6" s="1"/>
  <c r="Y37" i="10"/>
  <c r="H243" i="6"/>
  <c r="C237" i="6"/>
  <c r="E190" i="6"/>
  <c r="E96" i="6"/>
  <c r="A10" i="19"/>
  <c r="A120" i="19" s="1"/>
  <c r="C40" i="16"/>
  <c r="E51" i="6"/>
  <c r="H244" i="6"/>
  <c r="C246" i="6"/>
  <c r="G250" i="6"/>
  <c r="C245" i="6"/>
  <c r="M230" i="6"/>
  <c r="Q268" i="6"/>
  <c r="Q264" i="6"/>
  <c r="R264" i="6" s="1"/>
  <c r="Q260" i="6"/>
  <c r="R260" i="6" s="1"/>
  <c r="K269" i="6"/>
  <c r="K265" i="6"/>
  <c r="L265" i="6" s="1"/>
  <c r="K261" i="6"/>
  <c r="L261" i="6" s="1"/>
  <c r="Q267" i="6"/>
  <c r="Q263" i="6"/>
  <c r="R263" i="6" s="1"/>
  <c r="Q259" i="6"/>
  <c r="R259" i="6" s="1"/>
  <c r="K268" i="6"/>
  <c r="K264" i="6"/>
  <c r="L264" i="6" s="1"/>
  <c r="K260" i="6"/>
  <c r="L260" i="6" s="1"/>
  <c r="Q266" i="6"/>
  <c r="R266" i="6" s="1"/>
  <c r="K263" i="6"/>
  <c r="L263" i="6" s="1"/>
  <c r="Q265" i="6"/>
  <c r="R265" i="6" s="1"/>
  <c r="K270" i="6"/>
  <c r="K262" i="6"/>
  <c r="L262" i="6" s="1"/>
  <c r="Q270" i="6"/>
  <c r="Q262" i="6"/>
  <c r="R262" i="6" s="1"/>
  <c r="K267" i="6"/>
  <c r="K259" i="6"/>
  <c r="L259" i="6" s="1"/>
  <c r="K266" i="6"/>
  <c r="L266" i="6" s="1"/>
  <c r="Q269" i="6"/>
  <c r="Q261" i="6"/>
  <c r="R261" i="6" s="1"/>
  <c r="K176" i="6"/>
  <c r="K184" i="6"/>
  <c r="K180" i="6"/>
  <c r="K178" i="6"/>
  <c r="K174" i="6"/>
  <c r="K182" i="6"/>
  <c r="K175" i="6"/>
  <c r="K179" i="6"/>
  <c r="M142" i="6"/>
  <c r="M143" i="6" s="1"/>
  <c r="K177" i="6"/>
  <c r="K173" i="6"/>
  <c r="K181" i="6"/>
  <c r="K183" i="6"/>
  <c r="AA27" i="5"/>
  <c r="A118" i="5"/>
  <c r="A11" i="16" s="1"/>
  <c r="D377" i="6"/>
  <c r="D376" i="6" s="1"/>
  <c r="D375" i="6" s="1"/>
  <c r="D374" i="6" s="1"/>
  <c r="D373" i="6" s="1"/>
  <c r="D372" i="6" s="1"/>
  <c r="D371" i="6" s="1"/>
  <c r="D370" i="6" s="1"/>
  <c r="D369" i="6" s="1"/>
  <c r="D368" i="6" s="1"/>
  <c r="D367" i="6" s="1"/>
  <c r="D366" i="6" s="1"/>
  <c r="D365" i="6" s="1"/>
  <c r="D364" i="6" s="1"/>
  <c r="D363" i="6" s="1"/>
  <c r="D362" i="6" s="1"/>
  <c r="D361" i="6" s="1"/>
  <c r="D360" i="6" s="1"/>
  <c r="D359" i="6" s="1"/>
  <c r="D358" i="6" s="1"/>
  <c r="D357" i="6" s="1"/>
  <c r="D356" i="6" s="1"/>
  <c r="D355" i="6" s="1"/>
  <c r="D354" i="6" s="1"/>
  <c r="D353" i="6" s="1"/>
  <c r="D352" i="6" s="1"/>
  <c r="D351" i="6" s="1"/>
  <c r="D350" i="6" s="1"/>
  <c r="D349" i="6" s="1"/>
  <c r="G256" i="6"/>
  <c r="C257" i="6"/>
  <c r="C258" i="6"/>
  <c r="C259" i="6"/>
  <c r="J45" i="6"/>
  <c r="J100" i="6"/>
  <c r="K135" i="6"/>
  <c r="K166" i="6"/>
  <c r="K158" i="6"/>
  <c r="K153" i="6"/>
  <c r="K154" i="6"/>
  <c r="K159" i="6"/>
  <c r="K170" i="6"/>
  <c r="K156" i="6"/>
  <c r="K20" i="20" s="1"/>
  <c r="C457" i="6"/>
  <c r="F457" i="6" s="1"/>
  <c r="K157" i="6"/>
  <c r="K160" i="6"/>
  <c r="K164" i="6"/>
  <c r="K172" i="6"/>
  <c r="K36" i="20" s="1"/>
  <c r="K38" i="20" s="1"/>
  <c r="K41" i="20" s="1"/>
  <c r="K155" i="6"/>
  <c r="K161" i="6"/>
  <c r="K169" i="6"/>
  <c r="K168" i="6"/>
  <c r="K151" i="6"/>
  <c r="K162" i="6"/>
  <c r="K167" i="6"/>
  <c r="K165" i="6"/>
  <c r="K163" i="6"/>
  <c r="K171" i="6"/>
  <c r="K152" i="6"/>
  <c r="K16" i="20" s="1"/>
  <c r="W8" i="8"/>
  <c r="C241" i="6"/>
  <c r="H239" i="6"/>
  <c r="H252" i="6"/>
  <c r="C251" i="6"/>
  <c r="C250" i="6"/>
  <c r="C253" i="6"/>
  <c r="H247" i="6"/>
  <c r="C249" i="6"/>
  <c r="H236" i="6"/>
  <c r="H251" i="6"/>
  <c r="G241" i="6"/>
  <c r="D31" i="10"/>
  <c r="G393" i="6"/>
  <c r="BH56" i="18"/>
  <c r="BH57" i="18" s="1"/>
  <c r="BN44" i="18" s="1"/>
  <c r="BO44" i="18" s="1"/>
  <c r="F335" i="6"/>
  <c r="CP10" i="6"/>
  <c r="G334" i="6" s="1"/>
  <c r="CG27" i="18"/>
  <c r="CG45" i="18" s="1"/>
  <c r="CG46" i="18" s="1"/>
  <c r="CB51" i="18" s="1"/>
  <c r="CF27" i="18"/>
  <c r="CF45" i="18" s="1"/>
  <c r="CF46" i="18" s="1"/>
  <c r="CB54" i="18" s="1"/>
  <c r="CE45" i="18"/>
  <c r="CE46" i="18" s="1"/>
  <c r="CB52" i="18" s="1"/>
  <c r="CB55" i="18" s="1"/>
  <c r="D240" i="6"/>
  <c r="CB53" i="18"/>
  <c r="D238" i="6"/>
  <c r="E240" i="6"/>
  <c r="G237" i="6"/>
  <c r="Q258" i="6"/>
  <c r="R258" i="6" s="1"/>
  <c r="Q255" i="6"/>
  <c r="R255" i="6" s="1"/>
  <c r="K250" i="6"/>
  <c r="L250" i="6" s="1"/>
  <c r="Q247" i="6"/>
  <c r="R247" i="6" s="1"/>
  <c r="K242" i="6"/>
  <c r="L242" i="6" s="1"/>
  <c r="Q239" i="6"/>
  <c r="R239" i="6" s="1"/>
  <c r="K258" i="6"/>
  <c r="L258" i="6" s="1"/>
  <c r="K255" i="6"/>
  <c r="L255" i="6" s="1"/>
  <c r="Q252" i="6"/>
  <c r="R252" i="6" s="1"/>
  <c r="K247" i="6"/>
  <c r="L247" i="6" s="1"/>
  <c r="Q244" i="6"/>
  <c r="R244" i="6" s="1"/>
  <c r="K239" i="6"/>
  <c r="L239" i="6" s="1"/>
  <c r="Q236" i="6"/>
  <c r="R236" i="6" s="1"/>
  <c r="Q257" i="6"/>
  <c r="R257" i="6" s="1"/>
  <c r="K252" i="6"/>
  <c r="L252" i="6" s="1"/>
  <c r="Q249" i="6"/>
  <c r="R249" i="6" s="1"/>
  <c r="K244" i="6"/>
  <c r="L244" i="6" s="1"/>
  <c r="Q241" i="6"/>
  <c r="R241" i="6" s="1"/>
  <c r="K236" i="6"/>
  <c r="L236" i="6" s="1"/>
  <c r="K257" i="6"/>
  <c r="L257" i="6" s="1"/>
  <c r="Q254" i="6"/>
  <c r="R254" i="6" s="1"/>
  <c r="K249" i="6"/>
  <c r="L249" i="6" s="1"/>
  <c r="Q246" i="6"/>
  <c r="R246" i="6" s="1"/>
  <c r="K241" i="6"/>
  <c r="L241" i="6" s="1"/>
  <c r="Q238" i="6"/>
  <c r="R238" i="6" s="1"/>
  <c r="K254" i="6"/>
  <c r="L254" i="6" s="1"/>
  <c r="Q251" i="6"/>
  <c r="R251" i="6" s="1"/>
  <c r="K246" i="6"/>
  <c r="L246" i="6" s="1"/>
  <c r="Q243" i="6"/>
  <c r="R243" i="6" s="1"/>
  <c r="K238" i="6"/>
  <c r="L238" i="6" s="1"/>
  <c r="Q256" i="6"/>
  <c r="R256" i="6" s="1"/>
  <c r="K251" i="6"/>
  <c r="L251" i="6" s="1"/>
  <c r="Q248" i="6"/>
  <c r="R248" i="6" s="1"/>
  <c r="K243" i="6"/>
  <c r="L243" i="6" s="1"/>
  <c r="Q240" i="6"/>
  <c r="R240" i="6" s="1"/>
  <c r="K256" i="6"/>
  <c r="L256" i="6" s="1"/>
  <c r="Q253" i="6"/>
  <c r="R253" i="6" s="1"/>
  <c r="K248" i="6"/>
  <c r="L248" i="6" s="1"/>
  <c r="Q245" i="6"/>
  <c r="R245" i="6" s="1"/>
  <c r="K240" i="6"/>
  <c r="L240" i="6" s="1"/>
  <c r="Q237" i="6"/>
  <c r="R237" i="6" s="1"/>
  <c r="K237" i="6"/>
  <c r="L237" i="6" s="1"/>
  <c r="K253" i="6"/>
  <c r="L253" i="6" s="1"/>
  <c r="Q250" i="6"/>
  <c r="R250" i="6" s="1"/>
  <c r="K245" i="6"/>
  <c r="L245" i="6" s="1"/>
  <c r="Q242" i="6"/>
  <c r="R242" i="6" s="1"/>
  <c r="T244" i="6"/>
  <c r="T243" i="6"/>
  <c r="D242" i="6"/>
  <c r="N241" i="6"/>
  <c r="C248" i="6"/>
  <c r="C236" i="6"/>
  <c r="C252" i="6"/>
  <c r="T242" i="6"/>
  <c r="E236" i="6"/>
  <c r="G243" i="6"/>
  <c r="N243" i="6"/>
  <c r="D243" i="6"/>
  <c r="M243" i="6"/>
  <c r="I241" i="6"/>
  <c r="T241" i="6"/>
  <c r="S241" i="6"/>
  <c r="E241" i="6"/>
  <c r="H240" i="6"/>
  <c r="G255" i="6"/>
  <c r="G245" i="6"/>
  <c r="N245" i="6"/>
  <c r="D245" i="6"/>
  <c r="M245" i="6"/>
  <c r="I250" i="6"/>
  <c r="C243" i="6"/>
  <c r="C244" i="6"/>
  <c r="G236" i="6"/>
  <c r="N236" i="6"/>
  <c r="D236" i="6"/>
  <c r="M236" i="6"/>
  <c r="E244" i="6"/>
  <c r="T236" i="6"/>
  <c r="N240" i="6"/>
  <c r="I242" i="6"/>
  <c r="M237" i="6"/>
  <c r="S240" i="6"/>
  <c r="H245" i="6"/>
  <c r="C240" i="6"/>
  <c r="G240" i="6"/>
  <c r="E242" i="6"/>
  <c r="D237" i="6"/>
  <c r="I243" i="6"/>
  <c r="I236" i="6"/>
  <c r="I248" i="6"/>
  <c r="N246" i="6"/>
  <c r="D246" i="6"/>
  <c r="Y245" i="6" s="1"/>
  <c r="F291" i="6" s="1"/>
  <c r="M246" i="6"/>
  <c r="G246" i="6"/>
  <c r="H253" i="6"/>
  <c r="H238" i="6"/>
  <c r="N250" i="6"/>
  <c r="I240" i="6"/>
  <c r="N237" i="6"/>
  <c r="E243" i="6"/>
  <c r="S244" i="6"/>
  <c r="H242" i="6"/>
  <c r="H246" i="6"/>
  <c r="AE246" i="6" s="1"/>
  <c r="Z292" i="6" s="1"/>
  <c r="M242" i="6"/>
  <c r="G242" i="6"/>
  <c r="D250" i="6"/>
  <c r="S243" i="6"/>
  <c r="N249" i="6"/>
  <c r="D249" i="6"/>
  <c r="M249" i="6"/>
  <c r="G249" i="6"/>
  <c r="C239" i="6"/>
  <c r="M241" i="6"/>
  <c r="S236" i="6"/>
  <c r="I244" i="6"/>
  <c r="T240" i="6"/>
  <c r="G247" i="6"/>
  <c r="N247" i="6"/>
  <c r="D247" i="6"/>
  <c r="M247" i="6"/>
  <c r="G239" i="6"/>
  <c r="N239" i="6"/>
  <c r="D239" i="6"/>
  <c r="M239" i="6"/>
  <c r="H237" i="6"/>
  <c r="G254" i="6"/>
  <c r="D241" i="6"/>
  <c r="N238" i="6"/>
  <c r="N242" i="6"/>
  <c r="I237" i="6"/>
  <c r="T237" i="6"/>
  <c r="S237" i="6"/>
  <c r="E237" i="6"/>
  <c r="T239" i="6"/>
  <c r="S239" i="6"/>
  <c r="E239" i="6"/>
  <c r="I239" i="6"/>
  <c r="G248" i="6"/>
  <c r="N248" i="6"/>
  <c r="D248" i="6"/>
  <c r="M248" i="6"/>
  <c r="E238" i="6"/>
  <c r="I238" i="6"/>
  <c r="T238" i="6"/>
  <c r="S238" i="6"/>
  <c r="M240" i="6"/>
  <c r="S242" i="6"/>
  <c r="M250" i="6"/>
  <c r="I249" i="6"/>
  <c r="G244" i="6"/>
  <c r="N244" i="6"/>
  <c r="D244" i="6"/>
  <c r="M244" i="6"/>
  <c r="H241" i="6"/>
  <c r="C247" i="6"/>
  <c r="M238" i="6"/>
  <c r="G238" i="6"/>
  <c r="E423" i="6"/>
  <c r="Q42" i="8"/>
  <c r="Q50" i="8" s="1"/>
  <c r="P50" i="8"/>
  <c r="CF106" i="18"/>
  <c r="CG106" i="18"/>
  <c r="BW106" i="18"/>
  <c r="BV106" i="18"/>
  <c r="BR49" i="18"/>
  <c r="AN53" i="7"/>
  <c r="AN30" i="7"/>
  <c r="BU27" i="18"/>
  <c r="BT45" i="18"/>
  <c r="BR48" i="18" s="1"/>
  <c r="D29" i="10"/>
  <c r="D30" i="10"/>
  <c r="I17" i="16"/>
  <c r="U63" i="16" s="1"/>
  <c r="H18" i="16"/>
  <c r="AE238" i="6" l="1"/>
  <c r="Z284" i="6" s="1"/>
  <c r="X247" i="6"/>
  <c r="C293" i="6" s="1"/>
  <c r="G6" i="6"/>
  <c r="G51" i="6" s="1"/>
  <c r="F96" i="6"/>
  <c r="X244" i="6"/>
  <c r="C290" i="6" s="1"/>
  <c r="F190" i="6"/>
  <c r="F51" i="6"/>
  <c r="F147" i="6"/>
  <c r="F11" i="20" s="1"/>
  <c r="F40" i="20" s="1"/>
  <c r="AE239" i="6"/>
  <c r="Z285" i="6" s="1"/>
  <c r="X236" i="6"/>
  <c r="C282" i="6" s="1"/>
  <c r="AF242" i="6"/>
  <c r="AC288" i="6" s="1"/>
  <c r="AD241" i="6"/>
  <c r="W287" i="6" s="1"/>
  <c r="X240" i="6"/>
  <c r="C286" i="6" s="1"/>
  <c r="AE241" i="6"/>
  <c r="Z287" i="6" s="1"/>
  <c r="X239" i="6"/>
  <c r="C285" i="6" s="1"/>
  <c r="AE242" i="6"/>
  <c r="Z288" i="6" s="1"/>
  <c r="Y238" i="6"/>
  <c r="F284" i="6" s="1"/>
  <c r="AD249" i="6"/>
  <c r="W295" i="6" s="1"/>
  <c r="K218" i="6"/>
  <c r="K216" i="6"/>
  <c r="R268" i="6"/>
  <c r="L267" i="6"/>
  <c r="L270" i="6"/>
  <c r="L269" i="6"/>
  <c r="J181" i="6"/>
  <c r="J175" i="6"/>
  <c r="J177" i="6"/>
  <c r="J183" i="6"/>
  <c r="J179" i="6"/>
  <c r="J173" i="6"/>
  <c r="J184" i="6"/>
  <c r="J180" i="6"/>
  <c r="J174" i="6"/>
  <c r="J182" i="6"/>
  <c r="J176" i="6"/>
  <c r="J178" i="6"/>
  <c r="K217" i="6"/>
  <c r="C260" i="6" s="1"/>
  <c r="X259" i="6" s="1"/>
  <c r="C305" i="6" s="1"/>
  <c r="R269" i="6"/>
  <c r="R267" i="6"/>
  <c r="K219" i="6"/>
  <c r="R270" i="6"/>
  <c r="L268" i="6"/>
  <c r="AA26" i="5"/>
  <c r="A119" i="5"/>
  <c r="Y35" i="10" s="1"/>
  <c r="Y36" i="10"/>
  <c r="X258" i="6"/>
  <c r="C304" i="6" s="1"/>
  <c r="X252" i="6"/>
  <c r="C298" i="6" s="1"/>
  <c r="K203" i="6"/>
  <c r="K24" i="20"/>
  <c r="K27" i="20"/>
  <c r="K206" i="6"/>
  <c r="K199" i="6"/>
  <c r="K19" i="20"/>
  <c r="K198" i="6"/>
  <c r="K34" i="20"/>
  <c r="K213" i="6"/>
  <c r="K22" i="20"/>
  <c r="K201" i="6"/>
  <c r="K29" i="20"/>
  <c r="K208" i="6"/>
  <c r="I251" i="6" s="1"/>
  <c r="AF250" i="6" s="1"/>
  <c r="AC296" i="6" s="1"/>
  <c r="K32" i="20"/>
  <c r="K211" i="6"/>
  <c r="H254" i="6" s="1"/>
  <c r="AE253" i="6" s="1"/>
  <c r="Z299" i="6" s="1"/>
  <c r="K21" i="20"/>
  <c r="K200" i="6"/>
  <c r="K23" i="20"/>
  <c r="K202" i="6"/>
  <c r="K30" i="20"/>
  <c r="K209" i="6"/>
  <c r="J135" i="6"/>
  <c r="J171" i="6"/>
  <c r="J161" i="6"/>
  <c r="J156" i="6"/>
  <c r="J152" i="6"/>
  <c r="J164" i="6"/>
  <c r="J165" i="6"/>
  <c r="J151" i="6"/>
  <c r="J166" i="6"/>
  <c r="J30" i="20" s="1"/>
  <c r="J167" i="6"/>
  <c r="J172" i="6"/>
  <c r="J163" i="6"/>
  <c r="J160" i="6"/>
  <c r="J170" i="6"/>
  <c r="J168" i="6"/>
  <c r="J158" i="6"/>
  <c r="J157" i="6"/>
  <c r="C458" i="6"/>
  <c r="F458" i="6" s="1"/>
  <c r="J153" i="6"/>
  <c r="J159" i="6"/>
  <c r="J154" i="6"/>
  <c r="J155" i="6"/>
  <c r="J162" i="6"/>
  <c r="J169" i="6"/>
  <c r="K31" i="20"/>
  <c r="K210" i="6"/>
  <c r="K212" i="6"/>
  <c r="K33" i="20"/>
  <c r="K28" i="20"/>
  <c r="K207" i="6"/>
  <c r="K18" i="20"/>
  <c r="K197" i="6"/>
  <c r="BM35" i="6"/>
  <c r="BY35" i="6"/>
  <c r="CA35" i="6" s="1"/>
  <c r="I45" i="6"/>
  <c r="I100" i="6"/>
  <c r="K195" i="6"/>
  <c r="K15" i="20"/>
  <c r="K194" i="6"/>
  <c r="K215" i="6"/>
  <c r="K214" i="6"/>
  <c r="K35" i="20"/>
  <c r="K26" i="20"/>
  <c r="K205" i="6"/>
  <c r="K25" i="20"/>
  <c r="K204" i="6"/>
  <c r="K17" i="20"/>
  <c r="K196" i="6"/>
  <c r="A11" i="19"/>
  <c r="A121" i="19" s="1"/>
  <c r="Y241" i="6"/>
  <c r="F287" i="6" s="1"/>
  <c r="X248" i="6"/>
  <c r="C294" i="6" s="1"/>
  <c r="Z237" i="6"/>
  <c r="I283" i="6" s="1"/>
  <c r="AE251" i="6"/>
  <c r="Z297" i="6" s="1"/>
  <c r="AE252" i="6"/>
  <c r="Z298" i="6" s="1"/>
  <c r="AE245" i="6"/>
  <c r="Z291" i="6" s="1"/>
  <c r="AF239" i="6"/>
  <c r="AC285" i="6" s="1"/>
  <c r="AF243" i="6"/>
  <c r="AC289" i="6" s="1"/>
  <c r="O238" i="6"/>
  <c r="O236" i="6"/>
  <c r="BN37" i="18"/>
  <c r="BO37" i="18" s="1"/>
  <c r="BN35" i="18"/>
  <c r="BO35" i="18" s="1"/>
  <c r="BN15" i="18"/>
  <c r="BO15" i="18" s="1"/>
  <c r="BN24" i="18"/>
  <c r="BO24" i="18" s="1"/>
  <c r="O240" i="6"/>
  <c r="BN38" i="18"/>
  <c r="BO38" i="18" s="1"/>
  <c r="BN13" i="18"/>
  <c r="BO13" i="18" s="1"/>
  <c r="BN40" i="18"/>
  <c r="BO40" i="18" s="1"/>
  <c r="BN14" i="18"/>
  <c r="BO14" i="18" s="1"/>
  <c r="BN17" i="18"/>
  <c r="BO17" i="18" s="1"/>
  <c r="Y240" i="6"/>
  <c r="F286" i="6" s="1"/>
  <c r="AE240" i="6"/>
  <c r="Z286" i="6" s="1"/>
  <c r="CB56" i="18"/>
  <c r="CB57" i="18" s="1"/>
  <c r="CH30" i="18" s="1"/>
  <c r="CI30" i="18" s="1"/>
  <c r="F336" i="6"/>
  <c r="CP11" i="6"/>
  <c r="G335" i="6" s="1"/>
  <c r="G394" i="6"/>
  <c r="AF238" i="6"/>
  <c r="AC284" i="6" s="1"/>
  <c r="X243" i="6"/>
  <c r="C289" i="6" s="1"/>
  <c r="AD245" i="6"/>
  <c r="W291" i="6" s="1"/>
  <c r="X251" i="6"/>
  <c r="C297" i="6" s="1"/>
  <c r="O242" i="6"/>
  <c r="O237" i="6"/>
  <c r="O244" i="6"/>
  <c r="O241" i="6"/>
  <c r="O247" i="6"/>
  <c r="O246" i="6"/>
  <c r="O243" i="6"/>
  <c r="O249" i="6"/>
  <c r="O239" i="6"/>
  <c r="AB239" i="6" s="1"/>
  <c r="Q285" i="6" s="1"/>
  <c r="O250" i="6"/>
  <c r="O248" i="6"/>
  <c r="O245" i="6"/>
  <c r="U11" i="16"/>
  <c r="T57" i="16"/>
  <c r="BN34" i="18"/>
  <c r="BO34" i="18" s="1"/>
  <c r="BN33" i="18"/>
  <c r="BO33" i="18" s="1"/>
  <c r="BN21" i="18"/>
  <c r="BO21" i="18" s="1"/>
  <c r="BN28" i="18"/>
  <c r="BO28" i="18" s="1"/>
  <c r="BN39" i="18"/>
  <c r="BO39" i="18" s="1"/>
  <c r="AD236" i="6"/>
  <c r="W282" i="6" s="1"/>
  <c r="AN54" i="7"/>
  <c r="AN31" i="7"/>
  <c r="BN9" i="18"/>
  <c r="BO9" i="18" s="1"/>
  <c r="BN22" i="18"/>
  <c r="BO22" i="18" s="1"/>
  <c r="Z241" i="6"/>
  <c r="I287" i="6" s="1"/>
  <c r="Y237" i="6"/>
  <c r="F283" i="6" s="1"/>
  <c r="BS46" i="18"/>
  <c r="BW27" i="18"/>
  <c r="BW45" i="18" s="1"/>
  <c r="BW46" i="18" s="1"/>
  <c r="BR51" i="18" s="1"/>
  <c r="BV27" i="18"/>
  <c r="BV45" i="18" s="1"/>
  <c r="BV46" i="18" s="1"/>
  <c r="BR54" i="18" s="1"/>
  <c r="BU45" i="18"/>
  <c r="BU46" i="18" s="1"/>
  <c r="BR52" i="18" s="1"/>
  <c r="BR55" i="18" s="1"/>
  <c r="BN43" i="18"/>
  <c r="BO43" i="18" s="1"/>
  <c r="BN25" i="18"/>
  <c r="BO25" i="18" s="1"/>
  <c r="BN27" i="18"/>
  <c r="BO27" i="18" s="1"/>
  <c r="BN29" i="18"/>
  <c r="BO29" i="18" s="1"/>
  <c r="Y242" i="6"/>
  <c r="F288" i="6" s="1"/>
  <c r="BR53" i="18"/>
  <c r="U244" i="6"/>
  <c r="U236" i="6"/>
  <c r="U237" i="6"/>
  <c r="Z239" i="6"/>
  <c r="I285" i="6" s="1"/>
  <c r="AD239" i="6"/>
  <c r="W285" i="6" s="1"/>
  <c r="Y244" i="6"/>
  <c r="F290" i="6" s="1"/>
  <c r="AD238" i="6"/>
  <c r="W284" i="6" s="1"/>
  <c r="Z236" i="6"/>
  <c r="I282" i="6" s="1"/>
  <c r="U239" i="6"/>
  <c r="U240" i="6"/>
  <c r="Y239" i="6"/>
  <c r="F285" i="6" s="1"/>
  <c r="U243" i="6"/>
  <c r="AD248" i="6"/>
  <c r="W294" i="6" s="1"/>
  <c r="Z238" i="6"/>
  <c r="I284" i="6" s="1"/>
  <c r="AF241" i="6"/>
  <c r="AC287" i="6" s="1"/>
  <c r="AF240" i="6"/>
  <c r="AC286" i="6" s="1"/>
  <c r="AD243" i="6"/>
  <c r="W289" i="6" s="1"/>
  <c r="AD242" i="6"/>
  <c r="W288" i="6" s="1"/>
  <c r="Z243" i="6"/>
  <c r="I289" i="6" s="1"/>
  <c r="Z242" i="6"/>
  <c r="I288" i="6" s="1"/>
  <c r="AF236" i="6"/>
  <c r="AC282" i="6" s="1"/>
  <c r="AF237" i="6"/>
  <c r="AC283" i="6" s="1"/>
  <c r="Y249" i="6"/>
  <c r="F295" i="6" s="1"/>
  <c r="Y243" i="6"/>
  <c r="F289" i="6" s="1"/>
  <c r="AD237" i="6"/>
  <c r="W283" i="6" s="1"/>
  <c r="AD255" i="6"/>
  <c r="W301" i="6" s="1"/>
  <c r="AD254" i="6"/>
  <c r="W300" i="6" s="1"/>
  <c r="Y246" i="6"/>
  <c r="F292" i="6" s="1"/>
  <c r="U241" i="6"/>
  <c r="X250" i="6"/>
  <c r="C296" i="6" s="1"/>
  <c r="X249" i="6"/>
  <c r="C295" i="6" s="1"/>
  <c r="Y247" i="6"/>
  <c r="F293" i="6" s="1"/>
  <c r="AE237" i="6"/>
  <c r="Z283" i="6" s="1"/>
  <c r="AE243" i="6"/>
  <c r="Z289" i="6" s="1"/>
  <c r="AE244" i="6"/>
  <c r="Z290" i="6" s="1"/>
  <c r="U242" i="6"/>
  <c r="Z240" i="6"/>
  <c r="I286" i="6" s="1"/>
  <c r="Y236" i="6"/>
  <c r="F282" i="6" s="1"/>
  <c r="AD247" i="6"/>
  <c r="W293" i="6" s="1"/>
  <c r="AD246" i="6"/>
  <c r="W292" i="6" s="1"/>
  <c r="X257" i="6"/>
  <c r="C303" i="6" s="1"/>
  <c r="X246" i="6"/>
  <c r="C292" i="6" s="1"/>
  <c r="X245" i="6"/>
  <c r="C291" i="6" s="1"/>
  <c r="Y248" i="6"/>
  <c r="F294" i="6" s="1"/>
  <c r="X242" i="6"/>
  <c r="C288" i="6" s="1"/>
  <c r="X241" i="6"/>
  <c r="C287" i="6" s="1"/>
  <c r="AD240" i="6"/>
  <c r="W286" i="6" s="1"/>
  <c r="AE236" i="6"/>
  <c r="Z282" i="6" s="1"/>
  <c r="U238" i="6"/>
  <c r="X238" i="6"/>
  <c r="C284" i="6" s="1"/>
  <c r="X237" i="6"/>
  <c r="C283" i="6" s="1"/>
  <c r="AF248" i="6"/>
  <c r="AC294" i="6" s="1"/>
  <c r="AF249" i="6"/>
  <c r="AC295" i="6" s="1"/>
  <c r="AD244" i="6"/>
  <c r="W290" i="6" s="1"/>
  <c r="CH21" i="18"/>
  <c r="CI21" i="18" s="1"/>
  <c r="CH27" i="18"/>
  <c r="CI27" i="18" s="1"/>
  <c r="CH18" i="18"/>
  <c r="CI18" i="18" s="1"/>
  <c r="CH28" i="18"/>
  <c r="CI28" i="18" s="1"/>
  <c r="I18" i="16"/>
  <c r="U64" i="16" s="1"/>
  <c r="H19" i="16"/>
  <c r="CH43" i="18"/>
  <c r="CI43" i="18" s="1"/>
  <c r="CH34" i="18"/>
  <c r="CI34" i="18" s="1"/>
  <c r="CH44" i="18"/>
  <c r="CI44" i="18" s="1"/>
  <c r="CH23" i="18"/>
  <c r="CI23" i="18" s="1"/>
  <c r="BN11" i="18"/>
  <c r="BO11" i="18" s="1"/>
  <c r="BN32" i="18"/>
  <c r="BO32" i="18" s="1"/>
  <c r="BN42" i="18"/>
  <c r="BO42" i="18" s="1"/>
  <c r="BN20" i="18"/>
  <c r="BO20" i="18" s="1"/>
  <c r="H6" i="6"/>
  <c r="G474" i="6"/>
  <c r="G190" i="6"/>
  <c r="CH39" i="18"/>
  <c r="CI39" i="18" s="1"/>
  <c r="CH20" i="18"/>
  <c r="CI20" i="18" s="1"/>
  <c r="CH13" i="18"/>
  <c r="CI13" i="18" s="1"/>
  <c r="CH11" i="18"/>
  <c r="CI11" i="18" s="1"/>
  <c r="BN26" i="18"/>
  <c r="BO26" i="18" s="1"/>
  <c r="BN41" i="18"/>
  <c r="BO41" i="18" s="1"/>
  <c r="BN10" i="18"/>
  <c r="BO10" i="18" s="1"/>
  <c r="BN19" i="18"/>
  <c r="BO19" i="18" s="1"/>
  <c r="CH33" i="18"/>
  <c r="CI33" i="18" s="1"/>
  <c r="CH10" i="18"/>
  <c r="CI10" i="18" s="1"/>
  <c r="CH26" i="18"/>
  <c r="CI26" i="18" s="1"/>
  <c r="BN36" i="18"/>
  <c r="BO36" i="18" s="1"/>
  <c r="BN16" i="18"/>
  <c r="BO16" i="18" s="1"/>
  <c r="BN30" i="18"/>
  <c r="BO30" i="18" s="1"/>
  <c r="BN18" i="18"/>
  <c r="BO18" i="18" s="1"/>
  <c r="BN12" i="18"/>
  <c r="BO12" i="18" s="1"/>
  <c r="BN31" i="18"/>
  <c r="BO31" i="18" s="1"/>
  <c r="BN23" i="18"/>
  <c r="BO23" i="18" s="1"/>
  <c r="BH58" i="18"/>
  <c r="BH59" i="18" s="1"/>
  <c r="H38" i="5" l="1"/>
  <c r="G96" i="6"/>
  <c r="G147" i="6"/>
  <c r="G11" i="20" s="1"/>
  <c r="G40" i="20" s="1"/>
  <c r="CB58" i="18"/>
  <c r="CB59" i="18" s="1"/>
  <c r="CH19" i="18"/>
  <c r="CI19" i="18" s="1"/>
  <c r="CH40" i="18"/>
  <c r="CI40" i="18" s="1"/>
  <c r="CH14" i="18"/>
  <c r="CI14" i="18" s="1"/>
  <c r="CH15" i="18"/>
  <c r="CI15" i="18" s="1"/>
  <c r="CH41" i="18"/>
  <c r="CI41" i="18" s="1"/>
  <c r="CH37" i="18"/>
  <c r="CI37" i="18" s="1"/>
  <c r="CH32" i="18"/>
  <c r="CI32" i="18" s="1"/>
  <c r="CH35" i="18"/>
  <c r="CI35" i="18" s="1"/>
  <c r="CH16" i="18"/>
  <c r="CI16" i="18" s="1"/>
  <c r="CH29" i="18"/>
  <c r="CI29" i="18" s="1"/>
  <c r="CH17" i="18"/>
  <c r="CI17" i="18" s="1"/>
  <c r="CH24" i="18"/>
  <c r="CI24" i="18" s="1"/>
  <c r="CH9" i="18"/>
  <c r="CI9" i="18" s="1"/>
  <c r="CH36" i="18"/>
  <c r="CI36" i="18" s="1"/>
  <c r="CH22" i="18"/>
  <c r="CI22" i="18" s="1"/>
  <c r="CH31" i="18"/>
  <c r="CI31" i="18" s="1"/>
  <c r="CH42" i="18"/>
  <c r="CI42" i="18" s="1"/>
  <c r="CH38" i="18"/>
  <c r="CI38" i="18" s="1"/>
  <c r="CH25" i="18"/>
  <c r="CI25" i="18" s="1"/>
  <c r="CH12" i="18"/>
  <c r="CI12" i="18" s="1"/>
  <c r="A12" i="16"/>
  <c r="T58" i="16" s="1"/>
  <c r="A12" i="19"/>
  <c r="A122" i="19" s="1"/>
  <c r="J218" i="6"/>
  <c r="C261" i="6" s="1"/>
  <c r="X260" i="6" s="1"/>
  <c r="C306" i="6" s="1"/>
  <c r="J216" i="6"/>
  <c r="M257" i="6"/>
  <c r="D257" i="6"/>
  <c r="G257" i="6"/>
  <c r="N257" i="6"/>
  <c r="J217" i="6"/>
  <c r="I181" i="6"/>
  <c r="I175" i="6"/>
  <c r="I173" i="6"/>
  <c r="I184" i="6"/>
  <c r="I178" i="6"/>
  <c r="I183" i="6"/>
  <c r="I179" i="6"/>
  <c r="I177" i="6"/>
  <c r="I180" i="6"/>
  <c r="I182" i="6"/>
  <c r="I176" i="6"/>
  <c r="I174" i="6"/>
  <c r="J219" i="6"/>
  <c r="J220" i="6"/>
  <c r="AA25" i="5"/>
  <c r="A120" i="5"/>
  <c r="D28" i="10"/>
  <c r="J32" i="20"/>
  <c r="J211" i="6"/>
  <c r="J209" i="6"/>
  <c r="I252" i="6" s="1"/>
  <c r="AF251" i="6" s="1"/>
  <c r="AC297" i="6" s="1"/>
  <c r="J208" i="6"/>
  <c r="J29" i="20"/>
  <c r="J19" i="20"/>
  <c r="J198" i="6"/>
  <c r="J34" i="20"/>
  <c r="J213" i="6"/>
  <c r="J31" i="20"/>
  <c r="J210" i="6"/>
  <c r="J28" i="20"/>
  <c r="J207" i="6"/>
  <c r="J35" i="20"/>
  <c r="J214" i="6"/>
  <c r="I135" i="6"/>
  <c r="I151" i="6"/>
  <c r="I172" i="6"/>
  <c r="I158" i="6"/>
  <c r="I157" i="6"/>
  <c r="I156" i="6"/>
  <c r="I168" i="6"/>
  <c r="I163" i="6"/>
  <c r="I154" i="6"/>
  <c r="I167" i="6"/>
  <c r="I153" i="6"/>
  <c r="I160" i="6"/>
  <c r="I162" i="6"/>
  <c r="I155" i="6"/>
  <c r="I171" i="6"/>
  <c r="I161" i="6"/>
  <c r="I164" i="6"/>
  <c r="C459" i="6"/>
  <c r="F459" i="6" s="1"/>
  <c r="I169" i="6"/>
  <c r="I170" i="6"/>
  <c r="I159" i="6"/>
  <c r="I166" i="6"/>
  <c r="I152" i="6"/>
  <c r="I165" i="6"/>
  <c r="J26" i="20"/>
  <c r="J205" i="6"/>
  <c r="J215" i="6"/>
  <c r="J36" i="20"/>
  <c r="J38" i="20" s="1"/>
  <c r="J41" i="20" s="1"/>
  <c r="J25" i="20"/>
  <c r="J204" i="6"/>
  <c r="H45" i="6"/>
  <c r="H100" i="6"/>
  <c r="J197" i="6"/>
  <c r="J18" i="20"/>
  <c r="J200" i="6"/>
  <c r="J21" i="20"/>
  <c r="J24" i="20"/>
  <c r="J203" i="6"/>
  <c r="J16" i="20"/>
  <c r="J195" i="6"/>
  <c r="BM36" i="6"/>
  <c r="BY36" i="6"/>
  <c r="CA36" i="6" s="1"/>
  <c r="J196" i="6"/>
  <c r="J17" i="20"/>
  <c r="J212" i="6"/>
  <c r="H255" i="6" s="1"/>
  <c r="J33" i="20"/>
  <c r="J23" i="20"/>
  <c r="J202" i="6"/>
  <c r="J22" i="20"/>
  <c r="J201" i="6"/>
  <c r="J27" i="20"/>
  <c r="J206" i="6"/>
  <c r="J15" i="20"/>
  <c r="J194" i="6"/>
  <c r="J20" i="20"/>
  <c r="J199" i="6"/>
  <c r="AC240" i="6"/>
  <c r="T286" i="6" s="1"/>
  <c r="AB247" i="6"/>
  <c r="Q293" i="6" s="1"/>
  <c r="AB238" i="6"/>
  <c r="Q284" i="6" s="1"/>
  <c r="AC238" i="6"/>
  <c r="T284" i="6" s="1"/>
  <c r="AB246" i="6"/>
  <c r="Q292" i="6" s="1"/>
  <c r="AB248" i="6"/>
  <c r="Q294" i="6" s="1"/>
  <c r="AB245" i="6"/>
  <c r="Q291" i="6" s="1"/>
  <c r="G395" i="6"/>
  <c r="F337" i="6"/>
  <c r="CP12" i="6"/>
  <c r="G336" i="6" s="1"/>
  <c r="AC239" i="6"/>
  <c r="T285" i="6" s="1"/>
  <c r="AB242" i="6"/>
  <c r="Q288" i="6" s="1"/>
  <c r="AC243" i="6"/>
  <c r="T289" i="6" s="1"/>
  <c r="AB243" i="6"/>
  <c r="Q289" i="6" s="1"/>
  <c r="AC236" i="6"/>
  <c r="T282" i="6" s="1"/>
  <c r="AC241" i="6"/>
  <c r="T287" i="6" s="1"/>
  <c r="BR56" i="18"/>
  <c r="BR57" i="18" s="1"/>
  <c r="BX11" i="18" s="1"/>
  <c r="BY11" i="18" s="1"/>
  <c r="AN32" i="7"/>
  <c r="AN55" i="7"/>
  <c r="AB244" i="6"/>
  <c r="Q290" i="6" s="1"/>
  <c r="AC242" i="6"/>
  <c r="T288" i="6" s="1"/>
  <c r="AB241" i="6"/>
  <c r="Q287" i="6" s="1"/>
  <c r="AB249" i="6"/>
  <c r="Q295" i="6" s="1"/>
  <c r="AB237" i="6"/>
  <c r="Q283" i="6" s="1"/>
  <c r="AB236" i="6"/>
  <c r="Q282" i="6" s="1"/>
  <c r="AB240" i="6"/>
  <c r="Q286" i="6" s="1"/>
  <c r="AC237" i="6"/>
  <c r="T283" i="6" s="1"/>
  <c r="H96" i="6"/>
  <c r="H190" i="6"/>
  <c r="H51" i="6"/>
  <c r="H474" i="6"/>
  <c r="I6" i="6"/>
  <c r="H147" i="6"/>
  <c r="H11" i="20" s="1"/>
  <c r="H40" i="20" s="1"/>
  <c r="H20" i="16"/>
  <c r="I19" i="16"/>
  <c r="U65" i="16" s="1"/>
  <c r="H39" i="5" l="1"/>
  <c r="U12" i="16"/>
  <c r="I217" i="6"/>
  <c r="I220" i="6"/>
  <c r="I219" i="6"/>
  <c r="C262" i="6" s="1"/>
  <c r="X261" i="6" s="1"/>
  <c r="C307" i="6" s="1"/>
  <c r="H184" i="6"/>
  <c r="H180" i="6"/>
  <c r="H176" i="6"/>
  <c r="H179" i="6"/>
  <c r="H182" i="6"/>
  <c r="H178" i="6"/>
  <c r="H174" i="6"/>
  <c r="H175" i="6"/>
  <c r="H181" i="6"/>
  <c r="H177" i="6"/>
  <c r="H173" i="6"/>
  <c r="H183" i="6"/>
  <c r="M258" i="6"/>
  <c r="G258" i="6"/>
  <c r="D258" i="6"/>
  <c r="Y257" i="6" s="1"/>
  <c r="F303" i="6" s="1"/>
  <c r="N258" i="6"/>
  <c r="I216" i="6"/>
  <c r="I218" i="6"/>
  <c r="I221" i="6"/>
  <c r="A13" i="19"/>
  <c r="A123" i="19" s="1"/>
  <c r="A13" i="16"/>
  <c r="Y34" i="10"/>
  <c r="AA24" i="5"/>
  <c r="A121" i="5"/>
  <c r="AE254" i="6"/>
  <c r="Z300" i="6" s="1"/>
  <c r="D27" i="10"/>
  <c r="O257" i="6"/>
  <c r="I30" i="20"/>
  <c r="I209" i="6"/>
  <c r="I19" i="20"/>
  <c r="I198" i="6"/>
  <c r="I210" i="6"/>
  <c r="I253" i="6" s="1"/>
  <c r="AF252" i="6" s="1"/>
  <c r="AC298" i="6" s="1"/>
  <c r="I31" i="20"/>
  <c r="I20" i="20"/>
  <c r="I199" i="6"/>
  <c r="I15" i="20"/>
  <c r="I194" i="6"/>
  <c r="H135" i="6"/>
  <c r="H154" i="6"/>
  <c r="H169" i="6"/>
  <c r="H160" i="6"/>
  <c r="H170" i="6"/>
  <c r="H156" i="6"/>
  <c r="H158" i="6"/>
  <c r="H166" i="6"/>
  <c r="H171" i="6"/>
  <c r="H155" i="6"/>
  <c r="H168" i="6"/>
  <c r="H167" i="6"/>
  <c r="H157" i="6"/>
  <c r="H159" i="6"/>
  <c r="H161" i="6"/>
  <c r="H165" i="6"/>
  <c r="H172" i="6"/>
  <c r="H164" i="6"/>
  <c r="H151" i="6"/>
  <c r="H162" i="6"/>
  <c r="C460" i="6"/>
  <c r="F460" i="6" s="1"/>
  <c r="H153" i="6"/>
  <c r="H163" i="6"/>
  <c r="H152" i="6"/>
  <c r="I23" i="20"/>
  <c r="I202" i="6"/>
  <c r="I28" i="20"/>
  <c r="I207" i="6"/>
  <c r="I26" i="20"/>
  <c r="I205" i="6"/>
  <c r="I18" i="20"/>
  <c r="I197" i="6"/>
  <c r="I21" i="20"/>
  <c r="I200" i="6"/>
  <c r="BM37" i="6"/>
  <c r="BY37" i="6"/>
  <c r="CA37" i="6" s="1"/>
  <c r="AD256" i="6"/>
  <c r="W302" i="6" s="1"/>
  <c r="I29" i="20"/>
  <c r="I208" i="6"/>
  <c r="I34" i="20"/>
  <c r="I213" i="6"/>
  <c r="H256" i="6" s="1"/>
  <c r="I25" i="20"/>
  <c r="I204" i="6"/>
  <c r="I24" i="20"/>
  <c r="I203" i="6"/>
  <c r="I27" i="20"/>
  <c r="I206" i="6"/>
  <c r="I201" i="6"/>
  <c r="I22" i="20"/>
  <c r="G45" i="6"/>
  <c r="G100" i="6"/>
  <c r="I195" i="6"/>
  <c r="I16" i="20"/>
  <c r="I33" i="20"/>
  <c r="I212" i="6"/>
  <c r="I214" i="6"/>
  <c r="I35" i="20"/>
  <c r="I17" i="20"/>
  <c r="I196" i="6"/>
  <c r="I211" i="6"/>
  <c r="I32" i="20"/>
  <c r="I215" i="6"/>
  <c r="I36" i="20"/>
  <c r="I38" i="20" s="1"/>
  <c r="I41" i="20" s="1"/>
  <c r="G396" i="6"/>
  <c r="F338" i="6"/>
  <c r="CP13" i="6"/>
  <c r="G337" i="6" s="1"/>
  <c r="AN56" i="7"/>
  <c r="AN33" i="7"/>
  <c r="BX39" i="18"/>
  <c r="BY39" i="18" s="1"/>
  <c r="BX12" i="18"/>
  <c r="BY12" i="18" s="1"/>
  <c r="BX10" i="18"/>
  <c r="BY10" i="18" s="1"/>
  <c r="BX31" i="18"/>
  <c r="BY31" i="18" s="1"/>
  <c r="BX35" i="18"/>
  <c r="BY35" i="18" s="1"/>
  <c r="BX32" i="18"/>
  <c r="BY32" i="18" s="1"/>
  <c r="BX21" i="18"/>
  <c r="BY21" i="18" s="1"/>
  <c r="BX17" i="18"/>
  <c r="BY17" i="18" s="1"/>
  <c r="BX33" i="18"/>
  <c r="BY33" i="18" s="1"/>
  <c r="BX30" i="18"/>
  <c r="BY30" i="18" s="1"/>
  <c r="BX27" i="18"/>
  <c r="BY27" i="18" s="1"/>
  <c r="BX28" i="18"/>
  <c r="BY28" i="18" s="1"/>
  <c r="BX43" i="18"/>
  <c r="BY43" i="18" s="1"/>
  <c r="BX25" i="18"/>
  <c r="BY25" i="18" s="1"/>
  <c r="BX26" i="18"/>
  <c r="BY26" i="18" s="1"/>
  <c r="BX24" i="18"/>
  <c r="BY24" i="18" s="1"/>
  <c r="BX20" i="18"/>
  <c r="BY20" i="18" s="1"/>
  <c r="BX23" i="18"/>
  <c r="BY23" i="18" s="1"/>
  <c r="BX41" i="18"/>
  <c r="BY41" i="18" s="1"/>
  <c r="BX9" i="18"/>
  <c r="BY9" i="18" s="1"/>
  <c r="BX14" i="18"/>
  <c r="BY14" i="18" s="1"/>
  <c r="BR58" i="18"/>
  <c r="BR59" i="18" s="1"/>
  <c r="BX40" i="18"/>
  <c r="BY40" i="18" s="1"/>
  <c r="BX29" i="18"/>
  <c r="BY29" i="18" s="1"/>
  <c r="BX44" i="18"/>
  <c r="BY44" i="18" s="1"/>
  <c r="BX37" i="18"/>
  <c r="BY37" i="18" s="1"/>
  <c r="BX34" i="18"/>
  <c r="BY34" i="18" s="1"/>
  <c r="BX38" i="18"/>
  <c r="BY38" i="18" s="1"/>
  <c r="BX15" i="18"/>
  <c r="BY15" i="18" s="1"/>
  <c r="BX36" i="18"/>
  <c r="BY36" i="18" s="1"/>
  <c r="BX16" i="18"/>
  <c r="BY16" i="18" s="1"/>
  <c r="BX19" i="18"/>
  <c r="BY19" i="18" s="1"/>
  <c r="BX18" i="18"/>
  <c r="BY18" i="18" s="1"/>
  <c r="BX42" i="18"/>
  <c r="BY42" i="18" s="1"/>
  <c r="BX13" i="18"/>
  <c r="BY13" i="18" s="1"/>
  <c r="BX22" i="18"/>
  <c r="BY22" i="18" s="1"/>
  <c r="I474" i="6"/>
  <c r="I51" i="6"/>
  <c r="I147" i="6"/>
  <c r="I11" i="20" s="1"/>
  <c r="I40" i="20" s="1"/>
  <c r="J6" i="6"/>
  <c r="I190" i="6"/>
  <c r="I96" i="6"/>
  <c r="I20" i="16"/>
  <c r="U66" i="16" s="1"/>
  <c r="H21" i="16"/>
  <c r="H40" i="5" l="1"/>
  <c r="H222" i="6"/>
  <c r="H218" i="6"/>
  <c r="H220" i="6"/>
  <c r="C263" i="6" s="1"/>
  <c r="X262" i="6" s="1"/>
  <c r="C308" i="6" s="1"/>
  <c r="H216" i="6"/>
  <c r="H217" i="6"/>
  <c r="H219" i="6"/>
  <c r="G259" i="6"/>
  <c r="AD258" i="6" s="1"/>
  <c r="W304" i="6" s="1"/>
  <c r="N259" i="6"/>
  <c r="M259" i="6"/>
  <c r="D259" i="6"/>
  <c r="H221" i="6"/>
  <c r="G184" i="6"/>
  <c r="G181" i="6"/>
  <c r="G174" i="6"/>
  <c r="G177" i="6"/>
  <c r="G176" i="6"/>
  <c r="G179" i="6"/>
  <c r="G182" i="6"/>
  <c r="G175" i="6"/>
  <c r="G178" i="6"/>
  <c r="G180" i="6"/>
  <c r="G223" i="6" s="1"/>
  <c r="G183" i="6"/>
  <c r="G173" i="6"/>
  <c r="AA23" i="5"/>
  <c r="A122" i="5"/>
  <c r="T59" i="16"/>
  <c r="U13" i="16"/>
  <c r="Y33" i="10"/>
  <c r="A14" i="16"/>
  <c r="A14" i="19"/>
  <c r="A124" i="19" s="1"/>
  <c r="H15" i="20"/>
  <c r="H194" i="6"/>
  <c r="H196" i="6"/>
  <c r="H17" i="20"/>
  <c r="F45" i="6"/>
  <c r="F100" i="6"/>
  <c r="AD257" i="6"/>
  <c r="H36" i="20"/>
  <c r="H38" i="20" s="1"/>
  <c r="H41" i="20" s="1"/>
  <c r="H215" i="6"/>
  <c r="H21" i="20"/>
  <c r="H200" i="6"/>
  <c r="H214" i="6"/>
  <c r="H257" i="6" s="1"/>
  <c r="H35" i="20"/>
  <c r="H213" i="6"/>
  <c r="H34" i="20"/>
  <c r="BY38" i="6"/>
  <c r="CA38" i="6" s="1"/>
  <c r="BM38" i="6"/>
  <c r="AE255" i="6"/>
  <c r="Z301" i="6" s="1"/>
  <c r="D26" i="10"/>
  <c r="H27" i="20"/>
  <c r="H206" i="6"/>
  <c r="H204" i="6"/>
  <c r="H25" i="20"/>
  <c r="H32" i="20"/>
  <c r="H211" i="6"/>
  <c r="I254" i="6" s="1"/>
  <c r="H22" i="20"/>
  <c r="H201" i="6"/>
  <c r="H33" i="20"/>
  <c r="H212" i="6"/>
  <c r="G135" i="6"/>
  <c r="G165" i="6"/>
  <c r="G160" i="6"/>
  <c r="G161" i="6"/>
  <c r="G168" i="6"/>
  <c r="G170" i="6"/>
  <c r="G167" i="6"/>
  <c r="G31" i="20" s="1"/>
  <c r="G163" i="6"/>
  <c r="G157" i="6"/>
  <c r="G21" i="20" s="1"/>
  <c r="G153" i="6"/>
  <c r="G152" i="6"/>
  <c r="G164" i="6"/>
  <c r="G169" i="6"/>
  <c r="G162" i="6"/>
  <c r="C461" i="6"/>
  <c r="F461" i="6" s="1"/>
  <c r="G158" i="6"/>
  <c r="G166" i="6"/>
  <c r="G171" i="6"/>
  <c r="G154" i="6"/>
  <c r="G159" i="6"/>
  <c r="G151" i="6"/>
  <c r="G155" i="6"/>
  <c r="G172" i="6"/>
  <c r="G156" i="6"/>
  <c r="H207" i="6"/>
  <c r="H28" i="20"/>
  <c r="H23" i="20"/>
  <c r="H202" i="6"/>
  <c r="H19" i="20"/>
  <c r="H198" i="6"/>
  <c r="H20" i="20"/>
  <c r="H199" i="6"/>
  <c r="H18" i="20"/>
  <c r="H197" i="6"/>
  <c r="O258" i="6"/>
  <c r="H16" i="20"/>
  <c r="H195" i="6"/>
  <c r="H26" i="20"/>
  <c r="H205" i="6"/>
  <c r="H208" i="6"/>
  <c r="H29" i="20"/>
  <c r="H31" i="20"/>
  <c r="H210" i="6"/>
  <c r="H30" i="20"/>
  <c r="H209" i="6"/>
  <c r="H24" i="20"/>
  <c r="H203" i="6"/>
  <c r="G397" i="6"/>
  <c r="F339" i="6"/>
  <c r="CP15" i="6" s="1"/>
  <c r="G339" i="6" s="1"/>
  <c r="CP14" i="6"/>
  <c r="G338" i="6" s="1"/>
  <c r="AN34" i="7"/>
  <c r="AN57" i="7"/>
  <c r="I21" i="16"/>
  <c r="U67" i="16" s="1"/>
  <c r="H22" i="16"/>
  <c r="J96" i="6"/>
  <c r="J147" i="6"/>
  <c r="J11" i="20" s="1"/>
  <c r="J40" i="20" s="1"/>
  <c r="J474" i="6"/>
  <c r="K6" i="6"/>
  <c r="J190" i="6"/>
  <c r="J51" i="6"/>
  <c r="H41" i="5" l="1"/>
  <c r="G216" i="6"/>
  <c r="G221" i="6"/>
  <c r="C264" i="6" s="1"/>
  <c r="X263" i="6" s="1"/>
  <c r="C309" i="6" s="1"/>
  <c r="G219" i="6"/>
  <c r="G218" i="6"/>
  <c r="D261" i="6" s="1"/>
  <c r="O259" i="6"/>
  <c r="AB258" i="6" s="1"/>
  <c r="Q304" i="6" s="1"/>
  <c r="F178" i="6"/>
  <c r="F174" i="6"/>
  <c r="F182" i="6"/>
  <c r="F176" i="6"/>
  <c r="F184" i="6"/>
  <c r="F180" i="6"/>
  <c r="F177" i="6"/>
  <c r="F173" i="6"/>
  <c r="F175" i="6"/>
  <c r="F183" i="6"/>
  <c r="F179" i="6"/>
  <c r="F181" i="6"/>
  <c r="G220" i="6"/>
  <c r="G260" i="6"/>
  <c r="N260" i="6"/>
  <c r="M260" i="6"/>
  <c r="D260" i="6"/>
  <c r="G217" i="6"/>
  <c r="G222" i="6"/>
  <c r="Y258" i="6"/>
  <c r="F304" i="6" s="1"/>
  <c r="U14" i="16"/>
  <c r="T60" i="16"/>
  <c r="A15" i="16"/>
  <c r="Y32" i="10"/>
  <c r="A15" i="19"/>
  <c r="A125" i="19" s="1"/>
  <c r="AA22" i="5"/>
  <c r="A123" i="5"/>
  <c r="N355" i="6"/>
  <c r="S357" i="6"/>
  <c r="H373" i="6"/>
  <c r="S375" i="6"/>
  <c r="Y355" i="6"/>
  <c r="H364" i="6"/>
  <c r="N365" i="6"/>
  <c r="AE378" i="6"/>
  <c r="N376" i="6"/>
  <c r="AB354" i="6"/>
  <c r="S354" i="6"/>
  <c r="AE379" i="6"/>
  <c r="V353" i="6"/>
  <c r="V374" i="6"/>
  <c r="E366" i="6"/>
  <c r="AB359" i="6"/>
  <c r="S364" i="6"/>
  <c r="AE354" i="6"/>
  <c r="N379" i="6"/>
  <c r="BH38" i="6" s="1"/>
  <c r="Y358" i="6"/>
  <c r="E374" i="6"/>
  <c r="V380" i="6"/>
  <c r="BJ39" i="6" s="1"/>
  <c r="K377" i="6"/>
  <c r="N357" i="6"/>
  <c r="H358" i="6"/>
  <c r="S363" i="6"/>
  <c r="E362" i="6"/>
  <c r="K359" i="6"/>
  <c r="AE365" i="6"/>
  <c r="E359" i="6"/>
  <c r="V370" i="6"/>
  <c r="N368" i="6"/>
  <c r="S367" i="6"/>
  <c r="S365" i="6"/>
  <c r="E369" i="6"/>
  <c r="Y371" i="6"/>
  <c r="AE370" i="6"/>
  <c r="S359" i="6"/>
  <c r="V369" i="6"/>
  <c r="AB375" i="6"/>
  <c r="E378" i="6"/>
  <c r="BE37" i="6" s="1"/>
  <c r="AE373" i="6"/>
  <c r="S352" i="6"/>
  <c r="V381" i="6"/>
  <c r="BJ40" i="6" s="1"/>
  <c r="AE368" i="6"/>
  <c r="N375" i="6"/>
  <c r="Y367" i="6"/>
  <c r="V366" i="6"/>
  <c r="N353" i="6"/>
  <c r="K358" i="6"/>
  <c r="S360" i="6"/>
  <c r="K368" i="6"/>
  <c r="E382" i="6"/>
  <c r="BE41" i="6" s="1"/>
  <c r="Y368" i="6"/>
  <c r="Y354" i="6"/>
  <c r="AB368" i="6"/>
  <c r="H371" i="6"/>
  <c r="AE375" i="6"/>
  <c r="V373" i="6"/>
  <c r="K356" i="6"/>
  <c r="E370" i="6"/>
  <c r="AB355" i="6"/>
  <c r="Y363" i="6"/>
  <c r="AB350" i="6"/>
  <c r="K376" i="6"/>
  <c r="AE353" i="6"/>
  <c r="Y378" i="6"/>
  <c r="AB379" i="6"/>
  <c r="K367" i="6"/>
  <c r="Y376" i="6"/>
  <c r="N361" i="6"/>
  <c r="AB382" i="6"/>
  <c r="Y382" i="6"/>
  <c r="E360" i="6"/>
  <c r="N356" i="6"/>
  <c r="H376" i="6"/>
  <c r="S373" i="6"/>
  <c r="H353" i="6"/>
  <c r="E363" i="6"/>
  <c r="S368" i="6"/>
  <c r="AE367" i="6"/>
  <c r="S370" i="6"/>
  <c r="K352" i="6"/>
  <c r="AE360" i="6"/>
  <c r="H377" i="6"/>
  <c r="S355" i="6"/>
  <c r="V376" i="6"/>
  <c r="H356" i="6"/>
  <c r="AE366" i="6"/>
  <c r="S372" i="6"/>
  <c r="Y350" i="6"/>
  <c r="S353" i="6"/>
  <c r="AE380" i="6"/>
  <c r="Y356" i="6"/>
  <c r="H379" i="6"/>
  <c r="BF38" i="6" s="1"/>
  <c r="K365" i="6"/>
  <c r="Y353" i="6"/>
  <c r="E350" i="6"/>
  <c r="AB351" i="6"/>
  <c r="S361" i="6"/>
  <c r="K373" i="6"/>
  <c r="AB370" i="6"/>
  <c r="N372" i="6"/>
  <c r="S374" i="6"/>
  <c r="AB378" i="6"/>
  <c r="E376" i="6"/>
  <c r="K362" i="6"/>
  <c r="E372" i="6"/>
  <c r="S382" i="6"/>
  <c r="BI41" i="6" s="1"/>
  <c r="AB363" i="6"/>
  <c r="V378" i="6"/>
  <c r="BJ37" i="6" s="1"/>
  <c r="H367" i="6"/>
  <c r="Y359" i="6"/>
  <c r="S349" i="6"/>
  <c r="S351" i="6"/>
  <c r="N366" i="6"/>
  <c r="K355" i="6"/>
  <c r="S381" i="6"/>
  <c r="BI40" i="6" s="1"/>
  <c r="Y357" i="6"/>
  <c r="AE355" i="6"/>
  <c r="E371" i="6"/>
  <c r="N369" i="6"/>
  <c r="E368" i="6"/>
  <c r="N350" i="6"/>
  <c r="N374" i="6"/>
  <c r="K360" i="6"/>
  <c r="AE363" i="6"/>
  <c r="E373" i="6"/>
  <c r="K366" i="6"/>
  <c r="H361" i="6"/>
  <c r="H375" i="6"/>
  <c r="N378" i="6"/>
  <c r="BH37" i="6" s="1"/>
  <c r="AE357" i="6"/>
  <c r="E377" i="6"/>
  <c r="S371" i="6"/>
  <c r="E353" i="6"/>
  <c r="K379" i="6"/>
  <c r="BG38" i="6" s="1"/>
  <c r="E356" i="6"/>
  <c r="Y381" i="6"/>
  <c r="H382" i="6"/>
  <c r="BF41" i="6" s="1"/>
  <c r="AE372" i="6"/>
  <c r="V349" i="6"/>
  <c r="K357" i="6"/>
  <c r="AB360" i="6"/>
  <c r="H365" i="6"/>
  <c r="AB366" i="6"/>
  <c r="K369" i="6"/>
  <c r="E367" i="6"/>
  <c r="V371" i="6"/>
  <c r="Y377" i="6"/>
  <c r="AB380" i="6"/>
  <c r="V355" i="6"/>
  <c r="AB376" i="6"/>
  <c r="H378" i="6"/>
  <c r="BF37" i="6" s="1"/>
  <c r="N362" i="6"/>
  <c r="K363" i="6"/>
  <c r="V362" i="6"/>
  <c r="Y370" i="6"/>
  <c r="H381" i="6"/>
  <c r="BF40" i="6" s="1"/>
  <c r="S369" i="6"/>
  <c r="H372" i="6"/>
  <c r="N359" i="6"/>
  <c r="AE382" i="6"/>
  <c r="S377" i="6"/>
  <c r="BI36" i="6" s="1"/>
  <c r="H369" i="6"/>
  <c r="S378" i="6"/>
  <c r="BI37" i="6" s="1"/>
  <c r="S380" i="6"/>
  <c r="BI39" i="6" s="1"/>
  <c r="Y365" i="6"/>
  <c r="V363" i="6"/>
  <c r="H355" i="6"/>
  <c r="K349" i="6"/>
  <c r="Y380" i="6"/>
  <c r="V377" i="6"/>
  <c r="K372" i="6"/>
  <c r="AB374" i="6"/>
  <c r="E355" i="6"/>
  <c r="K361" i="6"/>
  <c r="Y369" i="6"/>
  <c r="H368" i="6"/>
  <c r="K378" i="6"/>
  <c r="BG37" i="6" s="1"/>
  <c r="AE369" i="6"/>
  <c r="H351" i="6"/>
  <c r="V352" i="6"/>
  <c r="K374" i="6"/>
  <c r="E349" i="6"/>
  <c r="K354" i="6"/>
  <c r="AE349" i="6"/>
  <c r="H359" i="6"/>
  <c r="N367" i="6"/>
  <c r="N354" i="6"/>
  <c r="Y360" i="6"/>
  <c r="Y373" i="6"/>
  <c r="V354" i="6"/>
  <c r="AE377" i="6"/>
  <c r="H370" i="6"/>
  <c r="N352" i="6"/>
  <c r="Y366" i="6"/>
  <c r="K364" i="6"/>
  <c r="N358" i="6"/>
  <c r="V375" i="6"/>
  <c r="AE381" i="6"/>
  <c r="V359" i="6"/>
  <c r="E379" i="6"/>
  <c r="BE38" i="6" s="1"/>
  <c r="AE356" i="6"/>
  <c r="N373" i="6"/>
  <c r="V382" i="6"/>
  <c r="BJ41" i="6" s="1"/>
  <c r="Y375" i="6"/>
  <c r="N380" i="6"/>
  <c r="BH39" i="6" s="1"/>
  <c r="S376" i="6"/>
  <c r="H362" i="6"/>
  <c r="Y372" i="6"/>
  <c r="N382" i="6"/>
  <c r="BH41" i="6" s="1"/>
  <c r="V364" i="6"/>
  <c r="H352" i="6"/>
  <c r="E354" i="6"/>
  <c r="V368" i="6"/>
  <c r="Y361" i="6"/>
  <c r="AB352" i="6"/>
  <c r="K370" i="6"/>
  <c r="AE351" i="6"/>
  <c r="Y352" i="6"/>
  <c r="Y379" i="6"/>
  <c r="H350" i="6"/>
  <c r="AE350" i="6"/>
  <c r="K382" i="6"/>
  <c r="BG41" i="6" s="1"/>
  <c r="V351" i="6"/>
  <c r="V365" i="6"/>
  <c r="E364" i="6"/>
  <c r="AB349" i="6"/>
  <c r="V350" i="6"/>
  <c r="AB369" i="6"/>
  <c r="AE374" i="6"/>
  <c r="V372" i="6"/>
  <c r="Y374" i="6"/>
  <c r="AE361" i="6"/>
  <c r="AE364" i="6"/>
  <c r="V367" i="6"/>
  <c r="K350" i="6"/>
  <c r="AB373" i="6"/>
  <c r="E361" i="6"/>
  <c r="AB367" i="6"/>
  <c r="H349" i="6"/>
  <c r="N360" i="6"/>
  <c r="AE376" i="6"/>
  <c r="N351" i="6"/>
  <c r="AB361" i="6"/>
  <c r="S362" i="6"/>
  <c r="N364" i="6"/>
  <c r="AB362" i="6"/>
  <c r="AE359" i="6"/>
  <c r="N371" i="6"/>
  <c r="K353" i="6"/>
  <c r="K371" i="6"/>
  <c r="K381" i="6"/>
  <c r="BG40" i="6" s="1"/>
  <c r="K351" i="6"/>
  <c r="N349" i="6"/>
  <c r="H374" i="6"/>
  <c r="N381" i="6"/>
  <c r="BH40" i="6" s="1"/>
  <c r="S379" i="6"/>
  <c r="BI38" i="6" s="1"/>
  <c r="E381" i="6"/>
  <c r="BE40" i="6" s="1"/>
  <c r="H354" i="6"/>
  <c r="E358" i="6"/>
  <c r="AE362" i="6"/>
  <c r="E365" i="6"/>
  <c r="AE358" i="6"/>
  <c r="S356" i="6"/>
  <c r="Y351" i="6"/>
  <c r="K375" i="6"/>
  <c r="V356" i="6"/>
  <c r="N363" i="6"/>
  <c r="V358" i="6"/>
  <c r="AE371" i="6"/>
  <c r="Y362" i="6"/>
  <c r="V361" i="6"/>
  <c r="AB357" i="6"/>
  <c r="AB371" i="6"/>
  <c r="Y364" i="6"/>
  <c r="E380" i="6"/>
  <c r="BE39" i="6" s="1"/>
  <c r="H363" i="6"/>
  <c r="H366" i="6"/>
  <c r="H360" i="6"/>
  <c r="K380" i="6"/>
  <c r="BG39" i="6" s="1"/>
  <c r="AB358" i="6"/>
  <c r="H357" i="6"/>
  <c r="AB381" i="6"/>
  <c r="N377" i="6"/>
  <c r="S366" i="6"/>
  <c r="E351" i="6"/>
  <c r="H380" i="6"/>
  <c r="BF39" i="6" s="1"/>
  <c r="AB364" i="6"/>
  <c r="AB356" i="6"/>
  <c r="S358" i="6"/>
  <c r="N370" i="6"/>
  <c r="AB377" i="6"/>
  <c r="S350" i="6"/>
  <c r="E357" i="6"/>
  <c r="AE352" i="6"/>
  <c r="AB372" i="6"/>
  <c r="E352" i="6"/>
  <c r="V360" i="6"/>
  <c r="E375" i="6"/>
  <c r="Y349" i="6"/>
  <c r="V357" i="6"/>
  <c r="V379" i="6"/>
  <c r="BJ38" i="6" s="1"/>
  <c r="AB353" i="6"/>
  <c r="AB365" i="6"/>
  <c r="AW43" i="6"/>
  <c r="G399" i="6"/>
  <c r="W303" i="6"/>
  <c r="G23" i="20"/>
  <c r="G202" i="6"/>
  <c r="G22" i="20"/>
  <c r="G201" i="6"/>
  <c r="G207" i="6"/>
  <c r="G28" i="20"/>
  <c r="G27" i="20"/>
  <c r="G206" i="6"/>
  <c r="G25" i="20"/>
  <c r="G204" i="6"/>
  <c r="G215" i="6"/>
  <c r="G36" i="20"/>
  <c r="G38" i="20" s="1"/>
  <c r="G41" i="20" s="1"/>
  <c r="G197" i="6"/>
  <c r="G18" i="20"/>
  <c r="G198" i="6"/>
  <c r="G19" i="20"/>
  <c r="G35" i="20"/>
  <c r="G214" i="6"/>
  <c r="G26" i="20"/>
  <c r="G205" i="6"/>
  <c r="G17" i="20"/>
  <c r="G196" i="6"/>
  <c r="G34" i="20"/>
  <c r="G213" i="6"/>
  <c r="G29" i="20"/>
  <c r="G208" i="6"/>
  <c r="AB257" i="6"/>
  <c r="Q303" i="6" s="1"/>
  <c r="F135" i="6"/>
  <c r="F164" i="6"/>
  <c r="F157" i="6"/>
  <c r="F160" i="6"/>
  <c r="F24" i="20" s="1"/>
  <c r="F171" i="6"/>
  <c r="F170" i="6"/>
  <c r="F166" i="6"/>
  <c r="F165" i="6"/>
  <c r="F151" i="6"/>
  <c r="F163" i="6"/>
  <c r="F167" i="6"/>
  <c r="F161" i="6"/>
  <c r="C462" i="6"/>
  <c r="F462" i="6" s="1"/>
  <c r="F162" i="6"/>
  <c r="F154" i="6"/>
  <c r="F153" i="6"/>
  <c r="F158" i="6"/>
  <c r="F156" i="6"/>
  <c r="F169" i="6"/>
  <c r="F159" i="6"/>
  <c r="F168" i="6"/>
  <c r="F172" i="6"/>
  <c r="F152" i="6"/>
  <c r="F155" i="6"/>
  <c r="G200" i="6"/>
  <c r="G199" i="6"/>
  <c r="G20" i="20"/>
  <c r="G16" i="20"/>
  <c r="G195" i="6"/>
  <c r="G24" i="20"/>
  <c r="G203" i="6"/>
  <c r="AE256" i="6"/>
  <c r="Z302" i="6" s="1"/>
  <c r="G15" i="20"/>
  <c r="G194" i="6"/>
  <c r="G210" i="6"/>
  <c r="G209" i="6"/>
  <c r="G30" i="20"/>
  <c r="G33" i="20"/>
  <c r="G212" i="6"/>
  <c r="I255" i="6" s="1"/>
  <c r="G32" i="20"/>
  <c r="G211" i="6"/>
  <c r="BM39" i="6"/>
  <c r="BY39" i="6"/>
  <c r="CA39" i="6" s="1"/>
  <c r="D25" i="10"/>
  <c r="E45" i="6"/>
  <c r="E100" i="6"/>
  <c r="AF253" i="6"/>
  <c r="AC299" i="6" s="1"/>
  <c r="G398" i="6"/>
  <c r="AN35" i="7"/>
  <c r="AN58" i="7"/>
  <c r="H23" i="16"/>
  <c r="I22" i="16"/>
  <c r="U68" i="16" s="1"/>
  <c r="K474" i="6"/>
  <c r="K147" i="6"/>
  <c r="K11" i="20" s="1"/>
  <c r="K40" i="20" s="1"/>
  <c r="L6" i="6"/>
  <c r="K96" i="6"/>
  <c r="K51" i="6"/>
  <c r="K190" i="6"/>
  <c r="H42" i="5" l="1"/>
  <c r="N261" i="6"/>
  <c r="M261" i="6"/>
  <c r="G261" i="6"/>
  <c r="AD260" i="6" s="1"/>
  <c r="W306" i="6" s="1"/>
  <c r="F217" i="6"/>
  <c r="F221" i="6"/>
  <c r="F223" i="6"/>
  <c r="O260" i="6"/>
  <c r="AB259" i="6" s="1"/>
  <c r="Q305" i="6" s="1"/>
  <c r="F220" i="6"/>
  <c r="F218" i="6"/>
  <c r="Y260" i="6"/>
  <c r="F306" i="6" s="1"/>
  <c r="F224" i="6"/>
  <c r="F216" i="6"/>
  <c r="H259" i="6" s="1"/>
  <c r="F219" i="6"/>
  <c r="Y259" i="6"/>
  <c r="F305" i="6" s="1"/>
  <c r="E181" i="6"/>
  <c r="E175" i="6"/>
  <c r="E177" i="6"/>
  <c r="E184" i="6"/>
  <c r="E183" i="6"/>
  <c r="E179" i="6"/>
  <c r="E173" i="6"/>
  <c r="E180" i="6"/>
  <c r="E174" i="6"/>
  <c r="E182" i="6"/>
  <c r="E176" i="6"/>
  <c r="E178" i="6"/>
  <c r="AD259" i="6"/>
  <c r="W305" i="6" s="1"/>
  <c r="F222" i="6"/>
  <c r="C265" i="6" s="1"/>
  <c r="A16" i="16"/>
  <c r="Y31" i="10"/>
  <c r="A16" i="19"/>
  <c r="A126" i="19" s="1"/>
  <c r="T61" i="16"/>
  <c r="U15" i="16"/>
  <c r="AA21" i="5"/>
  <c r="A124" i="5"/>
  <c r="H258" i="6"/>
  <c r="BG36" i="6"/>
  <c r="BI35" i="6"/>
  <c r="BF36" i="6"/>
  <c r="BH36" i="6"/>
  <c r="BE36" i="6"/>
  <c r="BJ36" i="6"/>
  <c r="F203" i="6"/>
  <c r="F23" i="20"/>
  <c r="F202" i="6"/>
  <c r="F17" i="20"/>
  <c r="F196" i="6"/>
  <c r="F25" i="20"/>
  <c r="F204" i="6"/>
  <c r="F208" i="6"/>
  <c r="F29" i="20"/>
  <c r="F195" i="6"/>
  <c r="F16" i="20"/>
  <c r="F36" i="20"/>
  <c r="F38" i="20" s="1"/>
  <c r="F41" i="20" s="1"/>
  <c r="F215" i="6"/>
  <c r="F20" i="20"/>
  <c r="F199" i="6"/>
  <c r="F205" i="6"/>
  <c r="F26" i="20"/>
  <c r="F27" i="20"/>
  <c r="F206" i="6"/>
  <c r="F34" i="20"/>
  <c r="F213" i="6"/>
  <c r="F28" i="20"/>
  <c r="F207" i="6"/>
  <c r="D24" i="10"/>
  <c r="F19" i="20"/>
  <c r="F198" i="6"/>
  <c r="E135" i="6"/>
  <c r="E168" i="6"/>
  <c r="E156" i="6"/>
  <c r="E153" i="6"/>
  <c r="E160" i="6"/>
  <c r="E171" i="6"/>
  <c r="E152" i="6"/>
  <c r="E155" i="6"/>
  <c r="E151" i="6"/>
  <c r="E172" i="6"/>
  <c r="E163" i="6"/>
  <c r="C463" i="6"/>
  <c r="F463" i="6" s="1"/>
  <c r="E165" i="6"/>
  <c r="E170" i="6"/>
  <c r="E166" i="6"/>
  <c r="E154" i="6"/>
  <c r="E164" i="6"/>
  <c r="E162" i="6"/>
  <c r="E157" i="6"/>
  <c r="E161" i="6"/>
  <c r="E169" i="6"/>
  <c r="E158" i="6"/>
  <c r="E159" i="6"/>
  <c r="E167" i="6"/>
  <c r="F212" i="6"/>
  <c r="F33" i="20"/>
  <c r="F18" i="20"/>
  <c r="F197" i="6"/>
  <c r="F31" i="20"/>
  <c r="F210" i="6"/>
  <c r="F30" i="20"/>
  <c r="F209" i="6"/>
  <c r="F21" i="20"/>
  <c r="F200" i="6"/>
  <c r="D45" i="6"/>
  <c r="D100" i="6"/>
  <c r="AF254" i="6"/>
  <c r="AC300" i="6" s="1"/>
  <c r="F32" i="20"/>
  <c r="F211" i="6"/>
  <c r="F22" i="20"/>
  <c r="F201" i="6"/>
  <c r="F15" i="20"/>
  <c r="F194" i="6"/>
  <c r="F35" i="20"/>
  <c r="F214" i="6"/>
  <c r="BM40" i="6"/>
  <c r="BY40" i="6"/>
  <c r="CA40" i="6" s="1"/>
  <c r="AN59" i="7"/>
  <c r="AN36" i="7"/>
  <c r="H24" i="16"/>
  <c r="I23" i="16"/>
  <c r="U69" i="16" s="1"/>
  <c r="L190" i="6"/>
  <c r="M6" i="6"/>
  <c r="L96" i="6"/>
  <c r="L51" i="6"/>
  <c r="L147" i="6"/>
  <c r="L11" i="20" s="1"/>
  <c r="L40" i="20" s="1"/>
  <c r="L474" i="6"/>
  <c r="H43" i="5" l="1"/>
  <c r="O261" i="6"/>
  <c r="AB260" i="6" s="1"/>
  <c r="Q306" i="6" s="1"/>
  <c r="E221" i="6"/>
  <c r="E217" i="6"/>
  <c r="H260" i="6" s="1"/>
  <c r="AE259" i="6" s="1"/>
  <c r="Z305" i="6" s="1"/>
  <c r="E224" i="6"/>
  <c r="E223" i="6"/>
  <c r="C266" i="6" s="1"/>
  <c r="X265" i="6" s="1"/>
  <c r="C311" i="6" s="1"/>
  <c r="AE258" i="6"/>
  <c r="Z304" i="6" s="1"/>
  <c r="D184" i="6"/>
  <c r="D180" i="6"/>
  <c r="D178" i="6"/>
  <c r="D175" i="6"/>
  <c r="D182" i="6"/>
  <c r="D174" i="6"/>
  <c r="D176" i="6"/>
  <c r="D183" i="6"/>
  <c r="D177" i="6"/>
  <c r="D181" i="6"/>
  <c r="D173" i="6"/>
  <c r="D179" i="6"/>
  <c r="I256" i="6"/>
  <c r="AF255" i="6" s="1"/>
  <c r="AC301" i="6" s="1"/>
  <c r="E219" i="6"/>
  <c r="E216" i="6"/>
  <c r="E220" i="6"/>
  <c r="G262" i="6"/>
  <c r="M262" i="6"/>
  <c r="D262" i="6"/>
  <c r="N262" i="6"/>
  <c r="AE257" i="6"/>
  <c r="Z303" i="6" s="1"/>
  <c r="X264" i="6"/>
  <c r="C310" i="6" s="1"/>
  <c r="E225" i="6"/>
  <c r="E222" i="6"/>
  <c r="E218" i="6"/>
  <c r="A17" i="16"/>
  <c r="Y30" i="10"/>
  <c r="A17" i="19"/>
  <c r="A127" i="19" s="1"/>
  <c r="AA20" i="5"/>
  <c r="A125" i="5"/>
  <c r="T62" i="16"/>
  <c r="U16" i="16"/>
  <c r="BF35" i="6"/>
  <c r="BJ35" i="6"/>
  <c r="BE35" i="6"/>
  <c r="BI34" i="6"/>
  <c r="BH35" i="6"/>
  <c r="BG35" i="6"/>
  <c r="E33" i="20"/>
  <c r="E212" i="6"/>
  <c r="E24" i="20"/>
  <c r="E203" i="6"/>
  <c r="E31" i="20"/>
  <c r="E210" i="6"/>
  <c r="E25" i="20"/>
  <c r="E204" i="6"/>
  <c r="E197" i="6"/>
  <c r="E18" i="20"/>
  <c r="E23" i="20"/>
  <c r="E202" i="6"/>
  <c r="E21" i="20"/>
  <c r="E200" i="6"/>
  <c r="E30" i="20"/>
  <c r="E209" i="6"/>
  <c r="E27" i="20"/>
  <c r="E206" i="6"/>
  <c r="E16" i="20"/>
  <c r="E195" i="6"/>
  <c r="E199" i="6"/>
  <c r="E20" i="20"/>
  <c r="E207" i="6"/>
  <c r="E28" i="20"/>
  <c r="E29" i="20"/>
  <c r="E208" i="6"/>
  <c r="E15" i="20"/>
  <c r="E194" i="6"/>
  <c r="BM41" i="6"/>
  <c r="BY41" i="6"/>
  <c r="CA41" i="6" s="1"/>
  <c r="D23" i="10"/>
  <c r="C45" i="6"/>
  <c r="C100" i="6"/>
  <c r="E198" i="6"/>
  <c r="E19" i="20"/>
  <c r="E17" i="20"/>
  <c r="E196" i="6"/>
  <c r="D135" i="6"/>
  <c r="D158" i="6"/>
  <c r="D170" i="6"/>
  <c r="D171" i="6"/>
  <c r="D172" i="6"/>
  <c r="D162" i="6"/>
  <c r="D152" i="6"/>
  <c r="D154" i="6"/>
  <c r="D159" i="6"/>
  <c r="D156" i="6"/>
  <c r="D151" i="6"/>
  <c r="C464" i="6"/>
  <c r="F464" i="6" s="1"/>
  <c r="D167" i="6"/>
  <c r="D164" i="6"/>
  <c r="D163" i="6"/>
  <c r="D157" i="6"/>
  <c r="D160" i="6"/>
  <c r="D168" i="6"/>
  <c r="D169" i="6"/>
  <c r="D165" i="6"/>
  <c r="D153" i="6"/>
  <c r="D166" i="6"/>
  <c r="D155" i="6"/>
  <c r="D161" i="6"/>
  <c r="E22" i="20"/>
  <c r="E201" i="6"/>
  <c r="E26" i="20"/>
  <c r="E205" i="6"/>
  <c r="E213" i="6"/>
  <c r="E34" i="20"/>
  <c r="E36" i="20"/>
  <c r="E38" i="20" s="1"/>
  <c r="E41" i="20" s="1"/>
  <c r="E215" i="6"/>
  <c r="E35" i="20"/>
  <c r="E214" i="6"/>
  <c r="E32" i="20"/>
  <c r="E211" i="6"/>
  <c r="AN60" i="7"/>
  <c r="AN37" i="7"/>
  <c r="M147" i="6"/>
  <c r="M11" i="20" s="1"/>
  <c r="M40" i="20" s="1"/>
  <c r="M140" i="6"/>
  <c r="M96" i="6"/>
  <c r="M190" i="6"/>
  <c r="N6" i="6"/>
  <c r="M51" i="6"/>
  <c r="M474" i="6"/>
  <c r="I24" i="16"/>
  <c r="U70" i="16" s="1"/>
  <c r="H25" i="16"/>
  <c r="H44" i="5" l="1"/>
  <c r="D224" i="6"/>
  <c r="C267" i="6" s="1"/>
  <c r="X266" i="6" s="1"/>
  <c r="C312" i="6" s="1"/>
  <c r="D219" i="6"/>
  <c r="D226" i="6"/>
  <c r="D217" i="6"/>
  <c r="D223" i="6"/>
  <c r="D220" i="6"/>
  <c r="D222" i="6"/>
  <c r="AD261" i="6"/>
  <c r="W307" i="6" s="1"/>
  <c r="D225" i="6"/>
  <c r="S383" i="6"/>
  <c r="BI42" i="6" s="1"/>
  <c r="AB383" i="6"/>
  <c r="N383" i="6"/>
  <c r="BH42" i="6" s="1"/>
  <c r="E383" i="6"/>
  <c r="BE42" i="6" s="1"/>
  <c r="H383" i="6"/>
  <c r="BF42" i="6" s="1"/>
  <c r="AE383" i="6"/>
  <c r="K383" i="6"/>
  <c r="BG42" i="6" s="1"/>
  <c r="Y383" i="6"/>
  <c r="V383" i="6"/>
  <c r="BJ42" i="6" s="1"/>
  <c r="T257" i="6"/>
  <c r="I257" i="6"/>
  <c r="S257" i="6"/>
  <c r="E257" i="6"/>
  <c r="M263" i="6"/>
  <c r="D263" i="6"/>
  <c r="N263" i="6"/>
  <c r="G263" i="6"/>
  <c r="D218" i="6"/>
  <c r="H261" i="6" s="1"/>
  <c r="C182" i="6"/>
  <c r="C177" i="6"/>
  <c r="C173" i="6"/>
  <c r="C184" i="6"/>
  <c r="C180" i="6"/>
  <c r="C175" i="6"/>
  <c r="C179" i="6"/>
  <c r="C176" i="6"/>
  <c r="C183" i="6"/>
  <c r="C226" i="6" s="1"/>
  <c r="C178" i="6"/>
  <c r="C174" i="6"/>
  <c r="C181" i="6"/>
  <c r="O262" i="6"/>
  <c r="Y261" i="6"/>
  <c r="F307" i="6" s="1"/>
  <c r="D216" i="6"/>
  <c r="D221" i="6"/>
  <c r="A18" i="19"/>
  <c r="A128" i="19" s="1"/>
  <c r="A18" i="16"/>
  <c r="Y29" i="10"/>
  <c r="T63" i="16"/>
  <c r="U17" i="16"/>
  <c r="AA19" i="5"/>
  <c r="A126" i="5"/>
  <c r="BH34" i="6"/>
  <c r="BE34" i="6"/>
  <c r="BJ34" i="6"/>
  <c r="BF34" i="6"/>
  <c r="BG34" i="6"/>
  <c r="BI33" i="6"/>
  <c r="D17" i="20"/>
  <c r="D196" i="6"/>
  <c r="D31" i="20"/>
  <c r="D210" i="6"/>
  <c r="D36" i="20"/>
  <c r="D38" i="20" s="1"/>
  <c r="D41" i="20" s="1"/>
  <c r="D215" i="6"/>
  <c r="C135" i="6"/>
  <c r="C172" i="6"/>
  <c r="C162" i="6"/>
  <c r="C151" i="6"/>
  <c r="C171" i="6"/>
  <c r="C164" i="6"/>
  <c r="C167" i="6"/>
  <c r="C152" i="6"/>
  <c r="C465" i="6"/>
  <c r="F465" i="6" s="1"/>
  <c r="C156" i="6"/>
  <c r="C163" i="6"/>
  <c r="C157" i="6"/>
  <c r="C154" i="6"/>
  <c r="C165" i="6"/>
  <c r="C153" i="6"/>
  <c r="C158" i="6"/>
  <c r="C166" i="6"/>
  <c r="C168" i="6"/>
  <c r="C155" i="6"/>
  <c r="C159" i="6"/>
  <c r="C169" i="6"/>
  <c r="C161" i="6"/>
  <c r="C170" i="6"/>
  <c r="C160" i="6"/>
  <c r="C24" i="20" s="1"/>
  <c r="D22" i="10"/>
  <c r="D204" i="6"/>
  <c r="D25" i="20"/>
  <c r="D29" i="20"/>
  <c r="D208" i="6"/>
  <c r="D21" i="20"/>
  <c r="D200" i="6"/>
  <c r="D197" i="6"/>
  <c r="D18" i="20"/>
  <c r="D35" i="20"/>
  <c r="D214" i="6"/>
  <c r="D203" i="6"/>
  <c r="D24" i="20"/>
  <c r="D202" i="6"/>
  <c r="D23" i="20"/>
  <c r="D19" i="20"/>
  <c r="D198" i="6"/>
  <c r="D33" i="20"/>
  <c r="D212" i="6"/>
  <c r="D27" i="20"/>
  <c r="D206" i="6"/>
  <c r="D15" i="20"/>
  <c r="D194" i="6"/>
  <c r="D195" i="6"/>
  <c r="D16" i="20"/>
  <c r="D34" i="20"/>
  <c r="D213" i="6"/>
  <c r="BM42" i="6"/>
  <c r="BY42" i="6"/>
  <c r="CA42" i="6" s="1"/>
  <c r="D30" i="20"/>
  <c r="D209" i="6"/>
  <c r="D32" i="20"/>
  <c r="D211" i="6"/>
  <c r="D28" i="20"/>
  <c r="D207" i="6"/>
  <c r="D20" i="20"/>
  <c r="D199" i="6"/>
  <c r="D26" i="20"/>
  <c r="D205" i="6"/>
  <c r="D22" i="20"/>
  <c r="D201" i="6"/>
  <c r="AN38" i="7"/>
  <c r="AN61" i="7"/>
  <c r="N474" i="6"/>
  <c r="N51" i="6"/>
  <c r="N147" i="6"/>
  <c r="N11" i="20" s="1"/>
  <c r="N40" i="20" s="1"/>
  <c r="N96" i="6"/>
  <c r="N140" i="6"/>
  <c r="O6" i="6"/>
  <c r="N190" i="6"/>
  <c r="H26" i="16"/>
  <c r="I25" i="16"/>
  <c r="U71" i="16" s="1"/>
  <c r="H45" i="5" l="1"/>
  <c r="C221" i="6"/>
  <c r="H264" i="6" s="1"/>
  <c r="C217" i="6"/>
  <c r="I260" i="6" s="1"/>
  <c r="C223" i="6"/>
  <c r="H266" i="6" s="1"/>
  <c r="C225" i="6"/>
  <c r="T268" i="6" s="1"/>
  <c r="C219" i="6"/>
  <c r="H262" i="6" s="1"/>
  <c r="AE261" i="6" s="1"/>
  <c r="Z307" i="6" s="1"/>
  <c r="C222" i="6"/>
  <c r="G265" i="6" s="1"/>
  <c r="T269" i="6"/>
  <c r="S269" i="6"/>
  <c r="D269" i="6"/>
  <c r="C269" i="6"/>
  <c r="I269" i="6"/>
  <c r="F269" i="6"/>
  <c r="M269" i="6"/>
  <c r="E269" i="6"/>
  <c r="H269" i="6"/>
  <c r="N269" i="6"/>
  <c r="G269" i="6"/>
  <c r="I258" i="6"/>
  <c r="E258" i="6"/>
  <c r="Z257" i="6" s="1"/>
  <c r="I303" i="6" s="1"/>
  <c r="T258" i="6"/>
  <c r="S258" i="6"/>
  <c r="G264" i="6"/>
  <c r="AD263" i="6" s="1"/>
  <c r="W309" i="6" s="1"/>
  <c r="M264" i="6"/>
  <c r="N264" i="6"/>
  <c r="D264" i="6"/>
  <c r="Y263" i="6" s="1"/>
  <c r="F309" i="6" s="1"/>
  <c r="AB261" i="6"/>
  <c r="Q307" i="6" s="1"/>
  <c r="I266" i="6"/>
  <c r="F266" i="6"/>
  <c r="E266" i="6"/>
  <c r="T266" i="6"/>
  <c r="O263" i="6"/>
  <c r="Y262" i="6"/>
  <c r="F308" i="6" s="1"/>
  <c r="C224" i="6"/>
  <c r="C227" i="6"/>
  <c r="E260" i="6"/>
  <c r="C216" i="6"/>
  <c r="AD262" i="6"/>
  <c r="W308" i="6" s="1"/>
  <c r="S268" i="6"/>
  <c r="M268" i="6"/>
  <c r="E268" i="6"/>
  <c r="C268" i="6"/>
  <c r="F268" i="6"/>
  <c r="AE260" i="6"/>
  <c r="Z306" i="6" s="1"/>
  <c r="I264" i="6"/>
  <c r="T264" i="6"/>
  <c r="S264" i="6"/>
  <c r="C218" i="6"/>
  <c r="C220" i="6"/>
  <c r="T64" i="16"/>
  <c r="U18" i="16"/>
  <c r="A19" i="19"/>
  <c r="A129" i="19" s="1"/>
  <c r="A19" i="16"/>
  <c r="Y28" i="10"/>
  <c r="AA18" i="5"/>
  <c r="A127" i="5"/>
  <c r="BH33" i="6"/>
  <c r="BG33" i="6"/>
  <c r="BJ33" i="6"/>
  <c r="BI32" i="6"/>
  <c r="BF33" i="6"/>
  <c r="BE33" i="6"/>
  <c r="C32" i="20"/>
  <c r="C211" i="6"/>
  <c r="C20" i="20"/>
  <c r="C199" i="6"/>
  <c r="C36" i="20"/>
  <c r="C38" i="20" s="1"/>
  <c r="C41" i="20" s="1"/>
  <c r="C215" i="6"/>
  <c r="D21" i="10"/>
  <c r="C212" i="6"/>
  <c r="C33" i="20"/>
  <c r="C30" i="20"/>
  <c r="C209" i="6"/>
  <c r="C197" i="6"/>
  <c r="C18" i="20"/>
  <c r="C35" i="20"/>
  <c r="C214" i="6"/>
  <c r="F257" i="6" s="1"/>
  <c r="BM43" i="6"/>
  <c r="BY43" i="6"/>
  <c r="CA43" i="6" s="1"/>
  <c r="C204" i="6"/>
  <c r="C25" i="20"/>
  <c r="C29" i="20"/>
  <c r="C208" i="6"/>
  <c r="C207" i="6"/>
  <c r="C28" i="20"/>
  <c r="AF256" i="6"/>
  <c r="AC302" i="6" s="1"/>
  <c r="C203" i="6"/>
  <c r="C23" i="20"/>
  <c r="C202" i="6"/>
  <c r="C22" i="20"/>
  <c r="C201" i="6"/>
  <c r="C21" i="20"/>
  <c r="C200" i="6"/>
  <c r="C16" i="20"/>
  <c r="C195" i="6"/>
  <c r="C15" i="20"/>
  <c r="C194" i="6"/>
  <c r="U257" i="6"/>
  <c r="C34" i="20"/>
  <c r="C213" i="6"/>
  <c r="C19" i="20"/>
  <c r="C198" i="6"/>
  <c r="C196" i="6"/>
  <c r="C17" i="20"/>
  <c r="C27" i="20"/>
  <c r="C206" i="6"/>
  <c r="C31" i="20"/>
  <c r="C210" i="6"/>
  <c r="C26" i="20"/>
  <c r="C205" i="6"/>
  <c r="AN62" i="7"/>
  <c r="AN39" i="7"/>
  <c r="O474" i="6"/>
  <c r="O96" i="6"/>
  <c r="P6" i="6"/>
  <c r="O140" i="6"/>
  <c r="O147" i="6"/>
  <c r="O11" i="20" s="1"/>
  <c r="O40" i="20" s="1"/>
  <c r="O51" i="6"/>
  <c r="O190" i="6"/>
  <c r="I26" i="16"/>
  <c r="U72" i="16" s="1"/>
  <c r="H27" i="16"/>
  <c r="I27" i="16" s="1"/>
  <c r="U73" i="16" s="1"/>
  <c r="G266" i="6" l="1"/>
  <c r="F264" i="6"/>
  <c r="E264" i="6"/>
  <c r="U264" i="6" s="1"/>
  <c r="N266" i="6"/>
  <c r="S266" i="6"/>
  <c r="D266" i="6"/>
  <c r="M266" i="6"/>
  <c r="H46" i="5"/>
  <c r="H268" i="6"/>
  <c r="AE268" i="6" s="1"/>
  <c r="Z314" i="6" s="1"/>
  <c r="I268" i="6"/>
  <c r="D268" i="6"/>
  <c r="G268" i="6"/>
  <c r="N268" i="6"/>
  <c r="S260" i="6"/>
  <c r="F260" i="6"/>
  <c r="T260" i="6"/>
  <c r="I262" i="6"/>
  <c r="AF268" i="6"/>
  <c r="AC314" i="6" s="1"/>
  <c r="T262" i="6"/>
  <c r="AD268" i="6"/>
  <c r="W314" i="6" s="1"/>
  <c r="F262" i="6"/>
  <c r="S265" i="6"/>
  <c r="H265" i="6"/>
  <c r="AE265" i="6" s="1"/>
  <c r="Z311" i="6" s="1"/>
  <c r="S262" i="6"/>
  <c r="F265" i="6"/>
  <c r="AA265" i="6" s="1"/>
  <c r="L311" i="6" s="1"/>
  <c r="E262" i="6"/>
  <c r="AD265" i="6"/>
  <c r="W311" i="6" s="1"/>
  <c r="E265" i="6"/>
  <c r="M265" i="6"/>
  <c r="I265" i="6"/>
  <c r="AF265" i="6" s="1"/>
  <c r="AC311" i="6" s="1"/>
  <c r="N265" i="6"/>
  <c r="T265" i="6"/>
  <c r="D265" i="6"/>
  <c r="Y264" i="6" s="1"/>
  <c r="F310" i="6" s="1"/>
  <c r="AA268" i="6"/>
  <c r="L314" i="6" s="1"/>
  <c r="AD264" i="6"/>
  <c r="W310" i="6" s="1"/>
  <c r="O264" i="6"/>
  <c r="AB263" i="6" s="1"/>
  <c r="Q309" i="6" s="1"/>
  <c r="Z268" i="6"/>
  <c r="I314" i="6" s="1"/>
  <c r="U268" i="6"/>
  <c r="I261" i="6"/>
  <c r="S261" i="6"/>
  <c r="F261" i="6"/>
  <c r="AA260" i="6" s="1"/>
  <c r="L306" i="6" s="1"/>
  <c r="T261" i="6"/>
  <c r="E261" i="6"/>
  <c r="Z260" i="6" s="1"/>
  <c r="I306" i="6" s="1"/>
  <c r="I259" i="6"/>
  <c r="AF259" i="6" s="1"/>
  <c r="AC305" i="6" s="1"/>
  <c r="S259" i="6"/>
  <c r="F259" i="6"/>
  <c r="AA259" i="6" s="1"/>
  <c r="L305" i="6" s="1"/>
  <c r="E259" i="6"/>
  <c r="Z258" i="6" s="1"/>
  <c r="I304" i="6" s="1"/>
  <c r="T259" i="6"/>
  <c r="O269" i="6"/>
  <c r="H263" i="6"/>
  <c r="AE263" i="6" s="1"/>
  <c r="Z309" i="6" s="1"/>
  <c r="I263" i="6"/>
  <c r="AF263" i="6" s="1"/>
  <c r="AC309" i="6" s="1"/>
  <c r="S263" i="6"/>
  <c r="E263" i="6"/>
  <c r="T263" i="6"/>
  <c r="F263" i="6"/>
  <c r="AA263" i="6" s="1"/>
  <c r="L309" i="6" s="1"/>
  <c r="X268" i="6"/>
  <c r="C314" i="6" s="1"/>
  <c r="X267" i="6"/>
  <c r="C313" i="6" s="1"/>
  <c r="T270" i="6"/>
  <c r="S270" i="6"/>
  <c r="I270" i="6"/>
  <c r="AF270" i="6" s="1"/>
  <c r="AC316" i="6" s="1"/>
  <c r="AD315" i="6" s="1"/>
  <c r="F270" i="6"/>
  <c r="AA270" i="6" s="1"/>
  <c r="L316" i="6" s="1"/>
  <c r="M315" i="6" s="1"/>
  <c r="H270" i="6"/>
  <c r="AE270" i="6" s="1"/>
  <c r="Z316" i="6" s="1"/>
  <c r="AA315" i="6" s="1"/>
  <c r="M270" i="6"/>
  <c r="E270" i="6"/>
  <c r="Z269" i="6" s="1"/>
  <c r="I315" i="6" s="1"/>
  <c r="C270" i="6"/>
  <c r="X270" i="6" s="1"/>
  <c r="C316" i="6" s="1"/>
  <c r="D315" i="6" s="1"/>
  <c r="N270" i="6"/>
  <c r="G270" i="6"/>
  <c r="AD270" i="6" s="1"/>
  <c r="W316" i="6" s="1"/>
  <c r="X315" i="6" s="1"/>
  <c r="D270" i="6"/>
  <c r="U266" i="6"/>
  <c r="AB262" i="6"/>
  <c r="Q308" i="6" s="1"/>
  <c r="U269" i="6"/>
  <c r="F258" i="6"/>
  <c r="Y268" i="6"/>
  <c r="F314" i="6" s="1"/>
  <c r="T267" i="6"/>
  <c r="S267" i="6"/>
  <c r="H267" i="6"/>
  <c r="AE267" i="6" s="1"/>
  <c r="Z313" i="6" s="1"/>
  <c r="N267" i="6"/>
  <c r="M267" i="6"/>
  <c r="G267" i="6"/>
  <c r="AD267" i="6" s="1"/>
  <c r="W313" i="6" s="1"/>
  <c r="E267" i="6"/>
  <c r="Z266" i="6" s="1"/>
  <c r="I312" i="6" s="1"/>
  <c r="D267" i="6"/>
  <c r="I267" i="6"/>
  <c r="F267" i="6"/>
  <c r="AA267" i="6" s="1"/>
  <c r="L313" i="6" s="1"/>
  <c r="O266" i="6"/>
  <c r="AA17" i="5"/>
  <c r="A128" i="5"/>
  <c r="A20" i="16"/>
  <c r="A20" i="19"/>
  <c r="A130" i="19" s="1"/>
  <c r="Y27" i="10"/>
  <c r="T65" i="16"/>
  <c r="U19" i="16"/>
  <c r="BF32" i="6"/>
  <c r="BG32" i="6"/>
  <c r="BI31" i="6"/>
  <c r="O70" i="20" s="1"/>
  <c r="BJ32" i="6"/>
  <c r="BH32" i="6"/>
  <c r="BE32" i="6"/>
  <c r="AF257" i="6"/>
  <c r="D20" i="10"/>
  <c r="BS43" i="6"/>
  <c r="U258" i="6"/>
  <c r="AN63" i="7"/>
  <c r="AN40" i="7"/>
  <c r="P96" i="6"/>
  <c r="P190" i="6"/>
  <c r="P140" i="6"/>
  <c r="P51" i="6"/>
  <c r="P147" i="6"/>
  <c r="P11" i="20" s="1"/>
  <c r="P40" i="20" s="1"/>
  <c r="Q6" i="6"/>
  <c r="P474" i="6"/>
  <c r="U260" i="6" l="1"/>
  <c r="O268" i="6"/>
  <c r="Z264" i="6"/>
  <c r="I310" i="6" s="1"/>
  <c r="AF267" i="6"/>
  <c r="AC313" i="6" s="1"/>
  <c r="AF261" i="6"/>
  <c r="AC307" i="6" s="1"/>
  <c r="Z265" i="6"/>
  <c r="I311" i="6" s="1"/>
  <c r="AA264" i="6"/>
  <c r="L310" i="6" s="1"/>
  <c r="AE262" i="6"/>
  <c r="Z308" i="6" s="1"/>
  <c r="AE264" i="6"/>
  <c r="Z310" i="6" s="1"/>
  <c r="Y265" i="6"/>
  <c r="F311" i="6" s="1"/>
  <c r="AA261" i="6"/>
  <c r="L307" i="6" s="1"/>
  <c r="O265" i="6"/>
  <c r="AB264" i="6" s="1"/>
  <c r="Q310" i="6" s="1"/>
  <c r="AA258" i="6"/>
  <c r="L304" i="6" s="1"/>
  <c r="U265" i="6"/>
  <c r="AC265" i="6" s="1"/>
  <c r="T311" i="6" s="1"/>
  <c r="U262" i="6"/>
  <c r="Z262" i="6"/>
  <c r="I308" i="6" s="1"/>
  <c r="AF264" i="6"/>
  <c r="AC310" i="6" s="1"/>
  <c r="X269" i="6"/>
  <c r="C315" i="6" s="1"/>
  <c r="D314" i="6" s="1"/>
  <c r="D313" i="6" s="1"/>
  <c r="AA257" i="6"/>
  <c r="L303" i="6" s="1"/>
  <c r="AB268" i="6"/>
  <c r="Q314" i="6" s="1"/>
  <c r="AF260" i="6"/>
  <c r="AC306" i="6" s="1"/>
  <c r="AA269" i="6"/>
  <c r="L315" i="6" s="1"/>
  <c r="M314" i="6" s="1"/>
  <c r="M313" i="6" s="1"/>
  <c r="M312" i="6" s="1"/>
  <c r="AF269" i="6"/>
  <c r="AC315" i="6" s="1"/>
  <c r="AD314" i="6" s="1"/>
  <c r="AD313" i="6" s="1"/>
  <c r="AE266" i="6"/>
  <c r="Z312" i="6" s="1"/>
  <c r="AD269" i="6"/>
  <c r="W315" i="6" s="1"/>
  <c r="X314" i="6" s="1"/>
  <c r="X313" i="6" s="1"/>
  <c r="X312" i="6" s="1"/>
  <c r="AF262" i="6"/>
  <c r="AC308" i="6" s="1"/>
  <c r="U259" i="6"/>
  <c r="AC259" i="6" s="1"/>
  <c r="T305" i="6" s="1"/>
  <c r="Z259" i="6"/>
  <c r="I305" i="6" s="1"/>
  <c r="AF266" i="6"/>
  <c r="AC312" i="6" s="1"/>
  <c r="AF258" i="6"/>
  <c r="AC304" i="6" s="1"/>
  <c r="Y267" i="6"/>
  <c r="F313" i="6" s="1"/>
  <c r="O267" i="6"/>
  <c r="AB267" i="6" s="1"/>
  <c r="Q313" i="6" s="1"/>
  <c r="Y266" i="6"/>
  <c r="F312" i="6" s="1"/>
  <c r="Z267" i="6"/>
  <c r="I313" i="6" s="1"/>
  <c r="U267" i="6"/>
  <c r="AC267" i="6" s="1"/>
  <c r="T313" i="6" s="1"/>
  <c r="Y270" i="6"/>
  <c r="F316" i="6" s="1"/>
  <c r="G315" i="6" s="1"/>
  <c r="O270" i="6"/>
  <c r="AB270" i="6" s="1"/>
  <c r="Q316" i="6" s="1"/>
  <c r="R315" i="6" s="1"/>
  <c r="Z270" i="6"/>
  <c r="I316" i="6" s="1"/>
  <c r="J315" i="6" s="1"/>
  <c r="J314" i="6" s="1"/>
  <c r="J313" i="6" s="1"/>
  <c r="J312" i="6" s="1"/>
  <c r="U270" i="6"/>
  <c r="AC270" i="6" s="1"/>
  <c r="T316" i="6" s="1"/>
  <c r="U315" i="6" s="1"/>
  <c r="U263" i="6"/>
  <c r="AC263" i="6" s="1"/>
  <c r="T309" i="6" s="1"/>
  <c r="Z263" i="6"/>
  <c r="I309" i="6" s="1"/>
  <c r="AA262" i="6"/>
  <c r="L308" i="6" s="1"/>
  <c r="AC268" i="6"/>
  <c r="T314" i="6" s="1"/>
  <c r="AE269" i="6"/>
  <c r="Z315" i="6" s="1"/>
  <c r="AA314" i="6" s="1"/>
  <c r="AA313" i="6" s="1"/>
  <c r="AA312" i="6" s="1"/>
  <c r="AA266" i="6"/>
  <c r="L312" i="6" s="1"/>
  <c r="AD266" i="6"/>
  <c r="W312" i="6" s="1"/>
  <c r="Y269" i="6"/>
  <c r="F315" i="6" s="1"/>
  <c r="U261" i="6"/>
  <c r="Z261" i="6"/>
  <c r="I307" i="6" s="1"/>
  <c r="A21" i="19"/>
  <c r="A131" i="19" s="1"/>
  <c r="A21" i="16"/>
  <c r="Y26" i="10"/>
  <c r="AA16" i="5"/>
  <c r="A129" i="5"/>
  <c r="U20" i="16"/>
  <c r="T66" i="16"/>
  <c r="AC303" i="6"/>
  <c r="BJ31" i="6"/>
  <c r="P70" i="20" s="1"/>
  <c r="BF31" i="6"/>
  <c r="L70" i="20" s="1"/>
  <c r="BH31" i="6"/>
  <c r="N70" i="20" s="1"/>
  <c r="BG31" i="6"/>
  <c r="M70" i="20" s="1"/>
  <c r="BI30" i="6"/>
  <c r="O69" i="20" s="1"/>
  <c r="BE31" i="6"/>
  <c r="K70" i="20" s="1"/>
  <c r="AC257" i="6"/>
  <c r="T303" i="6" s="1"/>
  <c r="AN41" i="7"/>
  <c r="AN64" i="7"/>
  <c r="Q474" i="6"/>
  <c r="Q190" i="6"/>
  <c r="Q147" i="6"/>
  <c r="Q11" i="20" s="1"/>
  <c r="Q40" i="20" s="1"/>
  <c r="Q140" i="6"/>
  <c r="Q51" i="6"/>
  <c r="R6" i="6"/>
  <c r="Q96" i="6"/>
  <c r="AD312" i="6" l="1"/>
  <c r="D312" i="6"/>
  <c r="D311" i="6" s="1"/>
  <c r="D310" i="6" s="1"/>
  <c r="E315" i="6" s="1"/>
  <c r="AW42" i="6" s="1"/>
  <c r="BS42" i="6" s="1"/>
  <c r="G314" i="6"/>
  <c r="G313" i="6" s="1"/>
  <c r="G312" i="6" s="1"/>
  <c r="AC264" i="6"/>
  <c r="T310" i="6" s="1"/>
  <c r="AB265" i="6"/>
  <c r="Q311" i="6" s="1"/>
  <c r="AC261" i="6"/>
  <c r="T307" i="6" s="1"/>
  <c r="AD311" i="6"/>
  <c r="AD310" i="6" s="1"/>
  <c r="AC258" i="6"/>
  <c r="T304" i="6" s="1"/>
  <c r="AC269" i="6"/>
  <c r="T315" i="6" s="1"/>
  <c r="U314" i="6" s="1"/>
  <c r="U313" i="6" s="1"/>
  <c r="U312" i="6" s="1"/>
  <c r="AB266" i="6"/>
  <c r="Q312" i="6" s="1"/>
  <c r="M311" i="6"/>
  <c r="X311" i="6"/>
  <c r="J311" i="6"/>
  <c r="AC266" i="6"/>
  <c r="T312" i="6" s="1"/>
  <c r="AC260" i="6"/>
  <c r="T306" i="6" s="1"/>
  <c r="AC262" i="6"/>
  <c r="T308" i="6" s="1"/>
  <c r="AB269" i="6"/>
  <c r="Q315" i="6" s="1"/>
  <c r="R314" i="6" s="1"/>
  <c r="R313" i="6" s="1"/>
  <c r="R312" i="6" s="1"/>
  <c r="AA311" i="6"/>
  <c r="Y25" i="10"/>
  <c r="A22" i="16"/>
  <c r="A22" i="19"/>
  <c r="A132" i="19" s="1"/>
  <c r="U21" i="16"/>
  <c r="T67" i="16"/>
  <c r="AA15" i="5"/>
  <c r="A130" i="5"/>
  <c r="BH30" i="6"/>
  <c r="N69" i="20" s="1"/>
  <c r="BE30" i="6"/>
  <c r="K69" i="20" s="1"/>
  <c r="BI29" i="6"/>
  <c r="O68" i="20" s="1"/>
  <c r="BG30" i="6"/>
  <c r="M69" i="20" s="1"/>
  <c r="BF30" i="6"/>
  <c r="L69" i="20" s="1"/>
  <c r="BJ30" i="6"/>
  <c r="P69" i="20" s="1"/>
  <c r="AN65" i="7"/>
  <c r="AN42" i="7"/>
  <c r="R96" i="6"/>
  <c r="R140" i="6"/>
  <c r="R190" i="6"/>
  <c r="R147" i="6"/>
  <c r="R11" i="20" s="1"/>
  <c r="R40" i="20" s="1"/>
  <c r="S6" i="6"/>
  <c r="R51" i="6"/>
  <c r="R474" i="6"/>
  <c r="D309" i="6" l="1"/>
  <c r="AD309" i="6"/>
  <c r="AE314" i="6" s="1"/>
  <c r="AE315" i="6"/>
  <c r="AZ43" i="6"/>
  <c r="BV43" i="6" s="1"/>
  <c r="M310" i="6"/>
  <c r="R311" i="6"/>
  <c r="R310" i="6" s="1"/>
  <c r="AA310" i="6"/>
  <c r="X310" i="6"/>
  <c r="G311" i="6"/>
  <c r="U311" i="6"/>
  <c r="AY43" i="6"/>
  <c r="BU43" i="6" s="1"/>
  <c r="J310" i="6"/>
  <c r="A23" i="19"/>
  <c r="A133" i="19" s="1"/>
  <c r="A23" i="16"/>
  <c r="Y24" i="10"/>
  <c r="AA14" i="5"/>
  <c r="A131" i="5"/>
  <c r="T68" i="16"/>
  <c r="U22" i="16"/>
  <c r="BH29" i="6"/>
  <c r="N68" i="20" s="1"/>
  <c r="BJ29" i="6"/>
  <c r="P68" i="20" s="1"/>
  <c r="BG29" i="6"/>
  <c r="M68" i="20" s="1"/>
  <c r="BE29" i="6"/>
  <c r="K68" i="20" s="1"/>
  <c r="BF29" i="6"/>
  <c r="L68" i="20" s="1"/>
  <c r="BI28" i="6"/>
  <c r="O67" i="20" s="1"/>
  <c r="AN43" i="7"/>
  <c r="AN66" i="7"/>
  <c r="S190" i="6"/>
  <c r="S51" i="6"/>
  <c r="S140" i="6"/>
  <c r="S96" i="6"/>
  <c r="T6" i="6"/>
  <c r="S147" i="6"/>
  <c r="S11" i="20" s="1"/>
  <c r="S40" i="20" s="1"/>
  <c r="S474" i="6"/>
  <c r="AD308" i="6" l="1"/>
  <c r="AE313" i="6" s="1"/>
  <c r="E314" i="6"/>
  <c r="AW41" i="6" s="1"/>
  <c r="BS41" i="6" s="1"/>
  <c r="D308" i="6"/>
  <c r="AB315" i="6"/>
  <c r="Y315" i="6"/>
  <c r="S315" i="6"/>
  <c r="BA42" i="6" s="1"/>
  <c r="M309" i="6"/>
  <c r="N314" i="6" s="1"/>
  <c r="AZ41" i="6" s="1"/>
  <c r="BV41" i="6" s="1"/>
  <c r="N315" i="6"/>
  <c r="AZ42" i="6" s="1"/>
  <c r="BV42" i="6" s="1"/>
  <c r="K315" i="6"/>
  <c r="BA43" i="6"/>
  <c r="AX43" i="6"/>
  <c r="G310" i="6"/>
  <c r="R309" i="6"/>
  <c r="S314" i="6" s="1"/>
  <c r="J309" i="6"/>
  <c r="K314" i="6" s="1"/>
  <c r="BB43" i="6"/>
  <c r="BW43" i="6" s="1"/>
  <c r="U310" i="6"/>
  <c r="X309" i="6"/>
  <c r="Y314" i="6" s="1"/>
  <c r="AA309" i="6"/>
  <c r="AB314" i="6" s="1"/>
  <c r="AD307" i="6"/>
  <c r="AE312" i="6" s="1"/>
  <c r="U23" i="16"/>
  <c r="T69" i="16"/>
  <c r="Y23" i="10"/>
  <c r="A24" i="16"/>
  <c r="A24" i="19"/>
  <c r="A134" i="19" s="1"/>
  <c r="AA13" i="5"/>
  <c r="A132" i="5"/>
  <c r="BH28" i="6"/>
  <c r="N67" i="20" s="1"/>
  <c r="BF28" i="6"/>
  <c r="L67" i="20" s="1"/>
  <c r="BE28" i="6"/>
  <c r="K67" i="20" s="1"/>
  <c r="BJ28" i="6"/>
  <c r="P67" i="20" s="1"/>
  <c r="BI27" i="6"/>
  <c r="O66" i="20" s="1"/>
  <c r="BG28" i="6"/>
  <c r="M67" i="20" s="1"/>
  <c r="AN44" i="7"/>
  <c r="AN68" i="7" s="1"/>
  <c r="AN67" i="7"/>
  <c r="T190" i="6"/>
  <c r="T140" i="6"/>
  <c r="U6" i="6"/>
  <c r="T51" i="6"/>
  <c r="T147" i="6"/>
  <c r="T11" i="20" s="1"/>
  <c r="T40" i="20" s="1"/>
  <c r="T474" i="6"/>
  <c r="T96" i="6"/>
  <c r="M308" i="6" l="1"/>
  <c r="N313" i="6" s="1"/>
  <c r="AZ40" i="6" s="1"/>
  <c r="BV40" i="6" s="1"/>
  <c r="E313" i="6"/>
  <c r="AW40" i="6" s="1"/>
  <c r="BS40" i="6" s="1"/>
  <c r="D307" i="6"/>
  <c r="V315" i="6"/>
  <c r="BB42" i="6" s="1"/>
  <c r="BW42" i="6" s="1"/>
  <c r="H315" i="6"/>
  <c r="AX42" i="6" s="1"/>
  <c r="AA308" i="6"/>
  <c r="AB313" i="6" s="1"/>
  <c r="X308" i="6"/>
  <c r="Y313" i="6" s="1"/>
  <c r="J308" i="6"/>
  <c r="K313" i="6" s="1"/>
  <c r="AY41" i="6"/>
  <c r="BU41" i="6" s="1"/>
  <c r="AD306" i="6"/>
  <c r="U309" i="6"/>
  <c r="V314" i="6" s="1"/>
  <c r="R308" i="6"/>
  <c r="S313" i="6" s="1"/>
  <c r="BA41" i="6"/>
  <c r="AY42" i="6"/>
  <c r="BU42" i="6" s="1"/>
  <c r="G309" i="6"/>
  <c r="H314" i="6" s="1"/>
  <c r="BN43" i="6"/>
  <c r="BO43" i="6" s="1"/>
  <c r="BT43" i="6"/>
  <c r="A25" i="16"/>
  <c r="Y22" i="10"/>
  <c r="U24" i="16"/>
  <c r="T70" i="16"/>
  <c r="AA12" i="5"/>
  <c r="A133" i="5"/>
  <c r="BI26" i="6"/>
  <c r="O65" i="20" s="1"/>
  <c r="BG27" i="6"/>
  <c r="M66" i="20" s="1"/>
  <c r="BH27" i="6"/>
  <c r="N66" i="20" s="1"/>
  <c r="BJ27" i="6"/>
  <c r="P66" i="20" s="1"/>
  <c r="BF27" i="6"/>
  <c r="L66" i="20" s="1"/>
  <c r="BE27" i="6"/>
  <c r="K66" i="20" s="1"/>
  <c r="U96" i="6"/>
  <c r="U147" i="6"/>
  <c r="U11" i="20" s="1"/>
  <c r="U40" i="20" s="1"/>
  <c r="U51" i="6"/>
  <c r="U474" i="6"/>
  <c r="U190" i="6"/>
  <c r="V6" i="6"/>
  <c r="U140" i="6"/>
  <c r="M307" i="6" l="1"/>
  <c r="N312" i="6" s="1"/>
  <c r="AZ39" i="6" s="1"/>
  <c r="BV39" i="6" s="1"/>
  <c r="E312" i="6"/>
  <c r="AW39" i="6" s="1"/>
  <c r="BS39" i="6" s="1"/>
  <c r="D306" i="6"/>
  <c r="BN42" i="6"/>
  <c r="BO42" i="6" s="1"/>
  <c r="BT42" i="6"/>
  <c r="AD305" i="6"/>
  <c r="AE311" i="6"/>
  <c r="R307" i="6"/>
  <c r="S312" i="6" s="1"/>
  <c r="BA40" i="6"/>
  <c r="J307" i="6"/>
  <c r="K312" i="6" s="1"/>
  <c r="AY40" i="6"/>
  <c r="BU40" i="6" s="1"/>
  <c r="AA307" i="6"/>
  <c r="AB312" i="6" s="1"/>
  <c r="C20" i="10"/>
  <c r="C43" i="18"/>
  <c r="F43" i="18" s="1"/>
  <c r="BP43" i="6"/>
  <c r="X46" i="5"/>
  <c r="C46" i="5" s="1"/>
  <c r="E46" i="5" s="1"/>
  <c r="BQ43" i="6"/>
  <c r="G308" i="6"/>
  <c r="H313" i="6" s="1"/>
  <c r="AX41" i="6"/>
  <c r="U308" i="6"/>
  <c r="V313" i="6" s="1"/>
  <c r="BB41" i="6"/>
  <c r="BW41" i="6" s="1"/>
  <c r="X307" i="6"/>
  <c r="Y312" i="6" s="1"/>
  <c r="Y21" i="10"/>
  <c r="A26" i="16"/>
  <c r="AA11" i="5"/>
  <c r="AA10" i="5" s="1"/>
  <c r="A134" i="5"/>
  <c r="T71" i="16"/>
  <c r="U25" i="16"/>
  <c r="BF26" i="6"/>
  <c r="L65" i="20" s="1"/>
  <c r="BH26" i="6"/>
  <c r="N65" i="20" s="1"/>
  <c r="BE26" i="6"/>
  <c r="K65" i="20" s="1"/>
  <c r="BG26" i="6"/>
  <c r="M65" i="20" s="1"/>
  <c r="BJ26" i="6"/>
  <c r="P65" i="20" s="1"/>
  <c r="BI25" i="6"/>
  <c r="O64" i="20" s="1"/>
  <c r="V474" i="6"/>
  <c r="W6" i="6"/>
  <c r="V96" i="6"/>
  <c r="V140" i="6"/>
  <c r="V190" i="6"/>
  <c r="V51" i="6"/>
  <c r="V147" i="6"/>
  <c r="V11" i="20" s="1"/>
  <c r="V40" i="20" s="1"/>
  <c r="M306" i="6" l="1"/>
  <c r="N311" i="6" s="1"/>
  <c r="AZ38" i="6" s="1"/>
  <c r="BV38" i="6" s="1"/>
  <c r="E311" i="6"/>
  <c r="AW38" i="6" s="1"/>
  <c r="BS38" i="6" s="1"/>
  <c r="D305" i="6"/>
  <c r="C21" i="10"/>
  <c r="C42" i="18"/>
  <c r="F42" i="18" s="1"/>
  <c r="X45" i="5"/>
  <c r="C45" i="5" s="1"/>
  <c r="E45" i="5" s="1"/>
  <c r="BQ42" i="6"/>
  <c r="BP42" i="6"/>
  <c r="M305" i="6"/>
  <c r="X306" i="6"/>
  <c r="BN41" i="6"/>
  <c r="BO41" i="6" s="1"/>
  <c r="BT41" i="6"/>
  <c r="F20" i="10"/>
  <c r="E20" i="10"/>
  <c r="G20" i="10" s="1"/>
  <c r="J306" i="6"/>
  <c r="AY39" i="6"/>
  <c r="BU39" i="6" s="1"/>
  <c r="R306" i="6"/>
  <c r="BA39" i="6"/>
  <c r="G307" i="6"/>
  <c r="H312" i="6" s="1"/>
  <c r="AX40" i="6"/>
  <c r="F46" i="5"/>
  <c r="L46" i="5"/>
  <c r="J46" i="5"/>
  <c r="AA306" i="6"/>
  <c r="U307" i="6"/>
  <c r="V312" i="6" s="1"/>
  <c r="BB40" i="6"/>
  <c r="BW40" i="6" s="1"/>
  <c r="AD304" i="6"/>
  <c r="AE310" i="6"/>
  <c r="A27" i="16"/>
  <c r="Y20" i="10"/>
  <c r="U26" i="16"/>
  <c r="T72" i="16"/>
  <c r="BF25" i="6"/>
  <c r="L64" i="20" s="1"/>
  <c r="BJ25" i="6"/>
  <c r="P64" i="20" s="1"/>
  <c r="BG25" i="6"/>
  <c r="M64" i="20" s="1"/>
  <c r="BE25" i="6"/>
  <c r="K64" i="20" s="1"/>
  <c r="BI24" i="6"/>
  <c r="O63" i="20" s="1"/>
  <c r="BH25" i="6"/>
  <c r="N64" i="20" s="1"/>
  <c r="W96" i="6"/>
  <c r="W474" i="6"/>
  <c r="W190" i="6"/>
  <c r="W147" i="6"/>
  <c r="W11" i="20" s="1"/>
  <c r="W40" i="20" s="1"/>
  <c r="W140" i="6"/>
  <c r="W51" i="6"/>
  <c r="X6" i="6"/>
  <c r="D304" i="6" l="1"/>
  <c r="E310" i="6"/>
  <c r="AW37" i="6" s="1"/>
  <c r="BS37" i="6" s="1"/>
  <c r="F45" i="5"/>
  <c r="J45" i="5"/>
  <c r="L45" i="5"/>
  <c r="E21" i="10"/>
  <c r="G21" i="10" s="1"/>
  <c r="F21" i="10"/>
  <c r="M304" i="6"/>
  <c r="N310" i="6"/>
  <c r="AZ37" i="6" s="1"/>
  <c r="BV37" i="6" s="1"/>
  <c r="BN40" i="6"/>
  <c r="BO40" i="6" s="1"/>
  <c r="BT40" i="6"/>
  <c r="AD303" i="6"/>
  <c r="AE309" i="6"/>
  <c r="U306" i="6"/>
  <c r="BB39" i="6"/>
  <c r="BW39" i="6" s="1"/>
  <c r="AA305" i="6"/>
  <c r="AB311" i="6"/>
  <c r="G306" i="6"/>
  <c r="AX39" i="6"/>
  <c r="J305" i="6"/>
  <c r="K311" i="6"/>
  <c r="AY38" i="6" s="1"/>
  <c r="BU38" i="6" s="1"/>
  <c r="X44" i="5"/>
  <c r="C44" i="5" s="1"/>
  <c r="E44" i="5" s="1"/>
  <c r="BP41" i="6"/>
  <c r="C41" i="18"/>
  <c r="F41" i="18" s="1"/>
  <c r="C22" i="10"/>
  <c r="BQ41" i="6"/>
  <c r="AY9" i="7"/>
  <c r="AL9" i="18"/>
  <c r="X305" i="6"/>
  <c r="Y311" i="6"/>
  <c r="S311" i="6"/>
  <c r="BA38" i="6" s="1"/>
  <c r="R305" i="6"/>
  <c r="C148" i="13"/>
  <c r="AT9" i="7"/>
  <c r="BA9" i="7" s="1"/>
  <c r="L7" i="9"/>
  <c r="B9" i="12"/>
  <c r="L20" i="10"/>
  <c r="U27" i="16"/>
  <c r="T73" i="16"/>
  <c r="BE24" i="6"/>
  <c r="K63" i="20" s="1"/>
  <c r="BJ24" i="6"/>
  <c r="P63" i="20" s="1"/>
  <c r="BI23" i="6"/>
  <c r="O62" i="20" s="1"/>
  <c r="BG24" i="6"/>
  <c r="M63" i="20" s="1"/>
  <c r="BF24" i="6"/>
  <c r="L63" i="20" s="1"/>
  <c r="BH24" i="6"/>
  <c r="N63" i="20" s="1"/>
  <c r="X474" i="6"/>
  <c r="Y6" i="6"/>
  <c r="X96" i="6"/>
  <c r="X147" i="6"/>
  <c r="X11" i="20" s="1"/>
  <c r="X40" i="20" s="1"/>
  <c r="X51" i="6"/>
  <c r="X140" i="6"/>
  <c r="X190" i="6"/>
  <c r="D303" i="6" l="1"/>
  <c r="E309" i="6"/>
  <c r="AW36" i="6" s="1"/>
  <c r="BS36" i="6" s="1"/>
  <c r="AY10" i="7"/>
  <c r="AL10" i="18"/>
  <c r="L8" i="9"/>
  <c r="C149" i="13"/>
  <c r="B200" i="13" s="1"/>
  <c r="E200" i="13" s="1"/>
  <c r="AT10" i="7"/>
  <c r="L21" i="10"/>
  <c r="M20" i="10" s="1"/>
  <c r="B10" i="12"/>
  <c r="N309" i="6"/>
  <c r="AZ36" i="6" s="1"/>
  <c r="BV36" i="6" s="1"/>
  <c r="M303" i="6"/>
  <c r="B199" i="13"/>
  <c r="E199" i="13" s="1"/>
  <c r="BN39" i="6"/>
  <c r="BO39" i="6" s="1"/>
  <c r="BT39" i="6"/>
  <c r="R304" i="6"/>
  <c r="S310" i="6"/>
  <c r="BA37" i="6" s="1"/>
  <c r="J44" i="5"/>
  <c r="F44" i="5"/>
  <c r="L44" i="5"/>
  <c r="G305" i="6"/>
  <c r="H311" i="6"/>
  <c r="AX38" i="6" s="1"/>
  <c r="AB310" i="6"/>
  <c r="AA304" i="6"/>
  <c r="AE308" i="6"/>
  <c r="AR291" i="6"/>
  <c r="AD302" i="6"/>
  <c r="DR7" i="9"/>
  <c r="DS7" i="9"/>
  <c r="J7" i="9"/>
  <c r="D47" i="17"/>
  <c r="Y7" i="9"/>
  <c r="X304" i="6"/>
  <c r="Y310" i="6"/>
  <c r="F22" i="10"/>
  <c r="E22" i="10"/>
  <c r="G22" i="10" s="1"/>
  <c r="K310" i="6"/>
  <c r="AY37" i="6" s="1"/>
  <c r="BU37" i="6" s="1"/>
  <c r="J304" i="6"/>
  <c r="V311" i="6"/>
  <c r="BB38" i="6" s="1"/>
  <c r="BW38" i="6" s="1"/>
  <c r="U305" i="6"/>
  <c r="BP40" i="6"/>
  <c r="X43" i="5"/>
  <c r="C43" i="5" s="1"/>
  <c r="E43" i="5" s="1"/>
  <c r="C23" i="10"/>
  <c r="BQ40" i="6"/>
  <c r="C40" i="18"/>
  <c r="F40" i="18" s="1"/>
  <c r="BI22" i="6"/>
  <c r="O61" i="20" s="1"/>
  <c r="BJ23" i="6"/>
  <c r="P62" i="20" s="1"/>
  <c r="BF23" i="6"/>
  <c r="L62" i="20" s="1"/>
  <c r="BH23" i="6"/>
  <c r="N62" i="20" s="1"/>
  <c r="BG23" i="6"/>
  <c r="M62" i="20" s="1"/>
  <c r="BE23" i="6"/>
  <c r="K62" i="20" s="1"/>
  <c r="Y190" i="6"/>
  <c r="Z6" i="6"/>
  <c r="Y96" i="6"/>
  <c r="Y140" i="6"/>
  <c r="Y147" i="6"/>
  <c r="Y11" i="20" s="1"/>
  <c r="Y40" i="20" s="1"/>
  <c r="Y474" i="6"/>
  <c r="Y51" i="6"/>
  <c r="E308" i="6" l="1"/>
  <c r="AW35" i="6" s="1"/>
  <c r="BS35" i="6" s="1"/>
  <c r="D302" i="6"/>
  <c r="AN291" i="6"/>
  <c r="AO291" i="6"/>
  <c r="DR8" i="9"/>
  <c r="Y8" i="9"/>
  <c r="D46" i="17"/>
  <c r="J8" i="9"/>
  <c r="O7" i="9" s="1"/>
  <c r="P7" i="9" s="1"/>
  <c r="AI7" i="9" s="1"/>
  <c r="AJ7" i="9" s="1"/>
  <c r="AK7" i="9" s="1"/>
  <c r="AL7" i="9" s="1"/>
  <c r="DS8" i="9"/>
  <c r="N308" i="6"/>
  <c r="AZ35" i="6" s="1"/>
  <c r="BV35" i="6" s="1"/>
  <c r="AK303" i="6"/>
  <c r="M302" i="6"/>
  <c r="F43" i="5"/>
  <c r="J43" i="5"/>
  <c r="L43" i="5"/>
  <c r="K309" i="6"/>
  <c r="AY36" i="6" s="1"/>
  <c r="BU36" i="6" s="1"/>
  <c r="J303" i="6"/>
  <c r="BN38" i="6"/>
  <c r="BO38" i="6" s="1"/>
  <c r="BT38" i="6"/>
  <c r="B11" i="12"/>
  <c r="AT11" i="7"/>
  <c r="L22" i="10"/>
  <c r="C150" i="13"/>
  <c r="L9" i="9"/>
  <c r="G304" i="6"/>
  <c r="H310" i="6"/>
  <c r="AX37" i="6" s="1"/>
  <c r="V310" i="6"/>
  <c r="BB37" i="6" s="1"/>
  <c r="BW37" i="6" s="1"/>
  <c r="U304" i="6"/>
  <c r="AB309" i="6"/>
  <c r="AA303" i="6"/>
  <c r="R303" i="6"/>
  <c r="S309" i="6"/>
  <c r="BA36" i="6" s="1"/>
  <c r="AL11" i="18"/>
  <c r="AY11" i="7"/>
  <c r="Y131" i="9"/>
  <c r="Z131" i="9" s="1"/>
  <c r="AA131" i="9" s="1"/>
  <c r="AB131" i="9" s="1"/>
  <c r="Z7" i="9"/>
  <c r="AA7" i="9" s="1"/>
  <c r="AB7" i="9" s="1"/>
  <c r="C24" i="10"/>
  <c r="X42" i="5"/>
  <c r="C42" i="5" s="1"/>
  <c r="E42" i="5" s="1"/>
  <c r="C39" i="18"/>
  <c r="F39" i="18" s="1"/>
  <c r="BQ39" i="6"/>
  <c r="BP39" i="6"/>
  <c r="F23" i="10"/>
  <c r="E23" i="10"/>
  <c r="G23" i="10" s="1"/>
  <c r="X303" i="6"/>
  <c r="Y309" i="6"/>
  <c r="AR290" i="6"/>
  <c r="AE307" i="6"/>
  <c r="AD301" i="6"/>
  <c r="BH22" i="6"/>
  <c r="N61" i="20" s="1"/>
  <c r="BJ22" i="6"/>
  <c r="P61" i="20" s="1"/>
  <c r="BE22" i="6"/>
  <c r="K61" i="20" s="1"/>
  <c r="BG22" i="6"/>
  <c r="M61" i="20" s="1"/>
  <c r="BI21" i="6"/>
  <c r="O60" i="20" s="1"/>
  <c r="BF22" i="6"/>
  <c r="L61" i="20" s="1"/>
  <c r="Z51" i="6"/>
  <c r="Z190" i="6"/>
  <c r="Z147" i="6"/>
  <c r="Z11" i="20" s="1"/>
  <c r="Z40" i="20" s="1"/>
  <c r="AA6" i="6"/>
  <c r="Z140" i="6"/>
  <c r="Z474" i="6"/>
  <c r="Z96" i="6"/>
  <c r="AN290" i="6" l="1"/>
  <c r="E307" i="6"/>
  <c r="AW34" i="6" s="1"/>
  <c r="BS34" i="6" s="1"/>
  <c r="AO290" i="6"/>
  <c r="Z8" i="9"/>
  <c r="AA8" i="9" s="1"/>
  <c r="AB8" i="9" s="1"/>
  <c r="Y132" i="9"/>
  <c r="Z132" i="9" s="1"/>
  <c r="AA132" i="9" s="1"/>
  <c r="AB132" i="9" s="1"/>
  <c r="N307" i="6"/>
  <c r="AZ34" i="6" s="1"/>
  <c r="BV34" i="6" s="1"/>
  <c r="AK302" i="6"/>
  <c r="Y9" i="9"/>
  <c r="DS9" i="9"/>
  <c r="DR9" i="9"/>
  <c r="J9" i="9"/>
  <c r="D45" i="17"/>
  <c r="L42" i="5"/>
  <c r="J42" i="5"/>
  <c r="F42" i="5"/>
  <c r="AB308" i="6"/>
  <c r="AQ291" i="6"/>
  <c r="AA302" i="6"/>
  <c r="BN37" i="6"/>
  <c r="BO37" i="6" s="1"/>
  <c r="BT37" i="6"/>
  <c r="P20" i="10"/>
  <c r="M21" i="10"/>
  <c r="N21" i="10" s="1"/>
  <c r="AR10" i="18" s="1"/>
  <c r="C25" i="10"/>
  <c r="X41" i="5"/>
  <c r="C41" i="5" s="1"/>
  <c r="E41" i="5" s="1"/>
  <c r="C38" i="18"/>
  <c r="F38" i="18" s="1"/>
  <c r="BP38" i="6"/>
  <c r="BQ38" i="6"/>
  <c r="AE306" i="6"/>
  <c r="AD300" i="6"/>
  <c r="AR289" i="6"/>
  <c r="X302" i="6"/>
  <c r="Y308" i="6"/>
  <c r="AP291" i="6"/>
  <c r="AD7" i="9"/>
  <c r="AC7" i="9"/>
  <c r="V309" i="6"/>
  <c r="BB36" i="6" s="1"/>
  <c r="BW36" i="6" s="1"/>
  <c r="U303" i="6"/>
  <c r="AY12" i="7"/>
  <c r="AL12" i="18"/>
  <c r="AD131" i="9"/>
  <c r="AC131" i="9"/>
  <c r="R302" i="6"/>
  <c r="S308" i="6"/>
  <c r="BA35" i="6" s="1"/>
  <c r="B201" i="13"/>
  <c r="E201" i="13" s="1"/>
  <c r="I149" i="13"/>
  <c r="AT12" i="7"/>
  <c r="B12" i="12"/>
  <c r="L23" i="10"/>
  <c r="L10" i="9"/>
  <c r="C151" i="13"/>
  <c r="F24" i="10"/>
  <c r="E24" i="10"/>
  <c r="G24" i="10" s="1"/>
  <c r="AM7" i="9"/>
  <c r="AN7" i="9"/>
  <c r="G303" i="6"/>
  <c r="H309" i="6"/>
  <c r="AX36" i="6" s="1"/>
  <c r="K308" i="6"/>
  <c r="AY35" i="6" s="1"/>
  <c r="BU35" i="6" s="1"/>
  <c r="J302" i="6"/>
  <c r="AL303" i="6"/>
  <c r="BI20" i="6"/>
  <c r="O59" i="20" s="1"/>
  <c r="BG21" i="6"/>
  <c r="M60" i="20" s="1"/>
  <c r="BJ21" i="6"/>
  <c r="P60" i="20" s="1"/>
  <c r="BH21" i="6"/>
  <c r="N60" i="20" s="1"/>
  <c r="BF21" i="6"/>
  <c r="L60" i="20" s="1"/>
  <c r="BE21" i="6"/>
  <c r="K60" i="20" s="1"/>
  <c r="AA147" i="6"/>
  <c r="AA11" i="20" s="1"/>
  <c r="AA40" i="20" s="1"/>
  <c r="AA51" i="6"/>
  <c r="AB6" i="6"/>
  <c r="AA474" i="6"/>
  <c r="AA96" i="6"/>
  <c r="AA140" i="6"/>
  <c r="AA190" i="6"/>
  <c r="AC132" i="9" l="1"/>
  <c r="AD132" i="9"/>
  <c r="AD8" i="9"/>
  <c r="AI10" i="18" s="1"/>
  <c r="AC8" i="9"/>
  <c r="BT36" i="6"/>
  <c r="BN36" i="6"/>
  <c r="BO36" i="6" s="1"/>
  <c r="M22" i="10"/>
  <c r="N22" i="10" s="1"/>
  <c r="AR11" i="18" s="1"/>
  <c r="G302" i="6"/>
  <c r="AM291" i="6"/>
  <c r="H308" i="6"/>
  <c r="AX35" i="6" s="1"/>
  <c r="F41" i="5"/>
  <c r="J41" i="5"/>
  <c r="L41" i="5"/>
  <c r="P21" i="10"/>
  <c r="C37" i="18"/>
  <c r="F37" i="18" s="1"/>
  <c r="BP37" i="6"/>
  <c r="BQ37" i="6"/>
  <c r="X40" i="5"/>
  <c r="C40" i="5" s="1"/>
  <c r="E40" i="5" s="1"/>
  <c r="C26" i="10"/>
  <c r="S7" i="9"/>
  <c r="T7" i="9" s="1"/>
  <c r="AI131" i="9" s="1"/>
  <c r="AJ131" i="9" s="1"/>
  <c r="AK131" i="9" s="1"/>
  <c r="AL131" i="9" s="1"/>
  <c r="O8" i="9"/>
  <c r="P8" i="9" s="1"/>
  <c r="AI8" i="9" s="1"/>
  <c r="AJ8" i="9" s="1"/>
  <c r="AK8" i="9" s="1"/>
  <c r="AL8" i="9" s="1"/>
  <c r="K307" i="6"/>
  <c r="AY34" i="6" s="1"/>
  <c r="BU34" i="6" s="1"/>
  <c r="AL302" i="6"/>
  <c r="B202" i="13"/>
  <c r="E202" i="13" s="1"/>
  <c r="I202" i="13" s="1"/>
  <c r="I150" i="13"/>
  <c r="X301" i="6"/>
  <c r="Y307" i="6"/>
  <c r="AP290" i="6"/>
  <c r="F25" i="10"/>
  <c r="E25" i="10"/>
  <c r="G25" i="10" s="1"/>
  <c r="AA301" i="6"/>
  <c r="AQ290" i="6"/>
  <c r="AB307" i="6"/>
  <c r="AL13" i="18"/>
  <c r="AY13" i="7"/>
  <c r="I201" i="13"/>
  <c r="V308" i="6"/>
  <c r="BB35" i="6" s="1"/>
  <c r="BW35" i="6" s="1"/>
  <c r="U302" i="6"/>
  <c r="V307" i="6" s="1"/>
  <c r="BB34" i="6" s="1"/>
  <c r="BW34" i="6" s="1"/>
  <c r="AE305" i="6"/>
  <c r="AD299" i="6"/>
  <c r="AR288" i="6"/>
  <c r="L11" i="9"/>
  <c r="C152" i="13"/>
  <c r="B13" i="12"/>
  <c r="AT13" i="7"/>
  <c r="L24" i="10"/>
  <c r="DR10" i="9"/>
  <c r="J10" i="9"/>
  <c r="S8" i="9" s="1"/>
  <c r="D44" i="17"/>
  <c r="Y10" i="9"/>
  <c r="DS10" i="9"/>
  <c r="S307" i="6"/>
  <c r="BA34" i="6" s="1"/>
  <c r="Z9" i="9"/>
  <c r="AA9" i="9" s="1"/>
  <c r="AB9" i="9" s="1"/>
  <c r="Y133" i="9"/>
  <c r="Z133" i="9" s="1"/>
  <c r="AA133" i="9" s="1"/>
  <c r="AB133" i="9" s="1"/>
  <c r="BH20" i="6"/>
  <c r="N59" i="20" s="1"/>
  <c r="BE20" i="6"/>
  <c r="K59" i="20" s="1"/>
  <c r="BG20" i="6"/>
  <c r="M59" i="20" s="1"/>
  <c r="BF20" i="6"/>
  <c r="L59" i="20" s="1"/>
  <c r="BJ20" i="6"/>
  <c r="P59" i="20" s="1"/>
  <c r="BI19" i="6"/>
  <c r="O58" i="20" s="1"/>
  <c r="AB140" i="6"/>
  <c r="AB474" i="6"/>
  <c r="AB51" i="6"/>
  <c r="AC6" i="6"/>
  <c r="AB147" i="6"/>
  <c r="AB11" i="20" s="1"/>
  <c r="AB40" i="20" s="1"/>
  <c r="AB96" i="6"/>
  <c r="AB190" i="6"/>
  <c r="O9" i="9" l="1"/>
  <c r="P9" i="9" s="1"/>
  <c r="AI9" i="9" s="1"/>
  <c r="AJ9" i="9" s="1"/>
  <c r="AK9" i="9" s="1"/>
  <c r="AL9" i="9" s="1"/>
  <c r="AN9" i="9" s="1"/>
  <c r="AD133" i="9"/>
  <c r="AC133" i="9"/>
  <c r="X300" i="6"/>
  <c r="Y306" i="6"/>
  <c r="AP289" i="6"/>
  <c r="T8" i="9"/>
  <c r="AI132" i="9" s="1"/>
  <c r="AJ132" i="9" s="1"/>
  <c r="AK132" i="9" s="1"/>
  <c r="AL132" i="9" s="1"/>
  <c r="AC9" i="9"/>
  <c r="AD9" i="9"/>
  <c r="AI11" i="18" s="1"/>
  <c r="BT35" i="6"/>
  <c r="BN35" i="6"/>
  <c r="BO35" i="6" s="1"/>
  <c r="X39" i="5"/>
  <c r="C39" i="5" s="1"/>
  <c r="E39" i="5" s="1"/>
  <c r="C27" i="10"/>
  <c r="BQ36" i="6"/>
  <c r="BP36" i="6"/>
  <c r="C36" i="18"/>
  <c r="F36" i="18" s="1"/>
  <c r="Z10" i="9"/>
  <c r="AA10" i="9" s="1"/>
  <c r="AB10" i="9" s="1"/>
  <c r="Y134" i="9"/>
  <c r="Z134" i="9" s="1"/>
  <c r="AA134" i="9" s="1"/>
  <c r="AB134" i="9" s="1"/>
  <c r="DR11" i="9"/>
  <c r="J11" i="9"/>
  <c r="D43" i="17"/>
  <c r="Y11" i="9"/>
  <c r="DS11" i="9"/>
  <c r="AL14" i="18"/>
  <c r="AY14" i="7"/>
  <c r="E26" i="10"/>
  <c r="G26" i="10" s="1"/>
  <c r="F26" i="10"/>
  <c r="L25" i="10"/>
  <c r="M24" i="10" s="1"/>
  <c r="N24" i="10" s="1"/>
  <c r="AR13" i="18" s="1"/>
  <c r="AT14" i="7"/>
  <c r="B14" i="12"/>
  <c r="L12" i="9"/>
  <c r="C153" i="13"/>
  <c r="O151" i="13" s="1"/>
  <c r="L40" i="5"/>
  <c r="F40" i="5"/>
  <c r="J40" i="5"/>
  <c r="P22" i="10"/>
  <c r="B203" i="13"/>
  <c r="E203" i="13" s="1"/>
  <c r="I151" i="13"/>
  <c r="AD298" i="6"/>
  <c r="AE304" i="6"/>
  <c r="AR287" i="6"/>
  <c r="AB306" i="6"/>
  <c r="AA300" i="6"/>
  <c r="AQ289" i="6"/>
  <c r="AM8" i="9"/>
  <c r="AN8" i="9"/>
  <c r="AM131" i="9"/>
  <c r="AN131" i="9"/>
  <c r="AM290" i="6"/>
  <c r="H307" i="6"/>
  <c r="AX34" i="6" s="1"/>
  <c r="M23" i="10"/>
  <c r="N23" i="10" s="1"/>
  <c r="AR12" i="18" s="1"/>
  <c r="BE19" i="6"/>
  <c r="K58" i="20" s="1"/>
  <c r="BF19" i="6"/>
  <c r="L58" i="20" s="1"/>
  <c r="BG19" i="6"/>
  <c r="M58" i="20" s="1"/>
  <c r="BJ19" i="6"/>
  <c r="P58" i="20" s="1"/>
  <c r="BI18" i="6"/>
  <c r="O57" i="20" s="1"/>
  <c r="BH19" i="6"/>
  <c r="N58" i="20" s="1"/>
  <c r="AC51" i="6"/>
  <c r="AC147" i="6"/>
  <c r="AC11" i="20" s="1"/>
  <c r="AC40" i="20" s="1"/>
  <c r="AC474" i="6"/>
  <c r="AC140" i="6"/>
  <c r="AC96" i="6"/>
  <c r="AC190" i="6"/>
  <c r="AD6" i="6"/>
  <c r="AM9" i="9" l="1"/>
  <c r="P23" i="10"/>
  <c r="Q23" i="10" s="1"/>
  <c r="AB305" i="6"/>
  <c r="AA299" i="6"/>
  <c r="AQ288" i="6"/>
  <c r="AD297" i="6"/>
  <c r="AE303" i="6"/>
  <c r="AR286" i="6"/>
  <c r="D42" i="17"/>
  <c r="J12" i="9"/>
  <c r="Y12" i="9"/>
  <c r="DR12" i="9"/>
  <c r="DS12" i="9"/>
  <c r="Y135" i="9"/>
  <c r="Z135" i="9" s="1"/>
  <c r="AA135" i="9" s="1"/>
  <c r="AB135" i="9" s="1"/>
  <c r="Z11" i="9"/>
  <c r="AA11" i="9" s="1"/>
  <c r="AB11" i="9" s="1"/>
  <c r="L39" i="5"/>
  <c r="F39" i="5"/>
  <c r="J39" i="5"/>
  <c r="AN132" i="9"/>
  <c r="AM132" i="9"/>
  <c r="BT34" i="6"/>
  <c r="BN34" i="6"/>
  <c r="BO34" i="6" s="1"/>
  <c r="I203" i="13"/>
  <c r="L13" i="9"/>
  <c r="B15" i="12"/>
  <c r="AT15" i="7"/>
  <c r="C154" i="13"/>
  <c r="L26" i="10"/>
  <c r="X38" i="5"/>
  <c r="C38" i="5" s="1"/>
  <c r="E38" i="5" s="1"/>
  <c r="C35" i="18"/>
  <c r="F35" i="18" s="1"/>
  <c r="BP35" i="6"/>
  <c r="BQ35" i="6"/>
  <c r="C28" i="10"/>
  <c r="AY15" i="7"/>
  <c r="AL15" i="18"/>
  <c r="S9" i="9"/>
  <c r="T9" i="9" s="1"/>
  <c r="AI133" i="9" s="1"/>
  <c r="AJ133" i="9" s="1"/>
  <c r="AK133" i="9" s="1"/>
  <c r="AL133" i="9" s="1"/>
  <c r="AD134" i="9"/>
  <c r="AC134" i="9"/>
  <c r="B204" i="13"/>
  <c r="E204" i="13" s="1"/>
  <c r="I152" i="13"/>
  <c r="AC10" i="9"/>
  <c r="AD10" i="9"/>
  <c r="AI12" i="18" s="1"/>
  <c r="E27" i="10"/>
  <c r="G27" i="10" s="1"/>
  <c r="F27" i="10"/>
  <c r="O10" i="9"/>
  <c r="P10" i="9" s="1"/>
  <c r="AI10" i="9" s="1"/>
  <c r="AJ10" i="9" s="1"/>
  <c r="AK10" i="9" s="1"/>
  <c r="AL10" i="9" s="1"/>
  <c r="X299" i="6"/>
  <c r="Y305" i="6"/>
  <c r="AP288" i="6"/>
  <c r="BF18" i="6"/>
  <c r="L57" i="20" s="1"/>
  <c r="BE18" i="6"/>
  <c r="K57" i="20" s="1"/>
  <c r="BH18" i="6"/>
  <c r="N57" i="20" s="1"/>
  <c r="BJ18" i="6"/>
  <c r="P57" i="20" s="1"/>
  <c r="BI17" i="6"/>
  <c r="O56" i="20" s="1"/>
  <c r="BG18" i="6"/>
  <c r="M57" i="20" s="1"/>
  <c r="AD51" i="6"/>
  <c r="AD140" i="6"/>
  <c r="AD474" i="6"/>
  <c r="AD147" i="6"/>
  <c r="AD11" i="20" s="1"/>
  <c r="AD96" i="6"/>
  <c r="AD190" i="6"/>
  <c r="AE6" i="6"/>
  <c r="AM10" i="9" l="1"/>
  <c r="AN10" i="9"/>
  <c r="E28" i="10"/>
  <c r="G28" i="10" s="1"/>
  <c r="F28" i="10"/>
  <c r="C34" i="18"/>
  <c r="F34" i="18" s="1"/>
  <c r="BP34" i="6"/>
  <c r="X37" i="5"/>
  <c r="C37" i="5" s="1"/>
  <c r="E37" i="5" s="1"/>
  <c r="C29" i="10"/>
  <c r="BQ34" i="6"/>
  <c r="O11" i="9"/>
  <c r="P11" i="9" s="1"/>
  <c r="AI11" i="9" s="1"/>
  <c r="AJ11" i="9" s="1"/>
  <c r="AK11" i="9" s="1"/>
  <c r="AL11" i="9" s="1"/>
  <c r="S10" i="9"/>
  <c r="T10" i="9" s="1"/>
  <c r="AI134" i="9" s="1"/>
  <c r="AJ134" i="9" s="1"/>
  <c r="AK134" i="9" s="1"/>
  <c r="AL134" i="9" s="1"/>
  <c r="AT16" i="7"/>
  <c r="L27" i="10"/>
  <c r="L14" i="9"/>
  <c r="C155" i="13"/>
  <c r="B16" i="12"/>
  <c r="I204" i="13"/>
  <c r="M25" i="10"/>
  <c r="N25" i="10" s="1"/>
  <c r="AR14" i="18" s="1"/>
  <c r="P24" i="10"/>
  <c r="Q24" i="10" s="1"/>
  <c r="Y13" i="9"/>
  <c r="DR13" i="9"/>
  <c r="J13" i="9"/>
  <c r="S11" i="9" s="1"/>
  <c r="DS13" i="9"/>
  <c r="D41" i="17"/>
  <c r="F38" i="5"/>
  <c r="J38" i="5"/>
  <c r="L38" i="5"/>
  <c r="AC135" i="9"/>
  <c r="AD135" i="9"/>
  <c r="AD296" i="6"/>
  <c r="AE302" i="6"/>
  <c r="AR285" i="6"/>
  <c r="AM133" i="9"/>
  <c r="AN133" i="9"/>
  <c r="Y304" i="6"/>
  <c r="AP287" i="6"/>
  <c r="AY16" i="7"/>
  <c r="AL16" i="18"/>
  <c r="B205" i="13"/>
  <c r="E205" i="13" s="1"/>
  <c r="I205" i="13" s="1"/>
  <c r="I153" i="13"/>
  <c r="O152" i="13"/>
  <c r="AA298" i="6"/>
  <c r="AB304" i="6"/>
  <c r="AQ287" i="6"/>
  <c r="O204" i="13"/>
  <c r="AD11" i="9"/>
  <c r="AI13" i="18" s="1"/>
  <c r="AC11" i="9"/>
  <c r="Y136" i="9"/>
  <c r="Z136" i="9" s="1"/>
  <c r="AA136" i="9" s="1"/>
  <c r="AB136" i="9" s="1"/>
  <c r="Z12" i="9"/>
  <c r="AA12" i="9" s="1"/>
  <c r="AB12" i="9" s="1"/>
  <c r="BG17" i="6"/>
  <c r="M56" i="20" s="1"/>
  <c r="BI16" i="6"/>
  <c r="O55" i="20" s="1"/>
  <c r="BF17" i="6"/>
  <c r="L56" i="20" s="1"/>
  <c r="BH17" i="6"/>
  <c r="N56" i="20" s="1"/>
  <c r="BJ17" i="6"/>
  <c r="P56" i="20" s="1"/>
  <c r="BE17" i="6"/>
  <c r="K56" i="20" s="1"/>
  <c r="AE96" i="6"/>
  <c r="AE147" i="6"/>
  <c r="AE11" i="20" s="1"/>
  <c r="AE474" i="6"/>
  <c r="AE140" i="6"/>
  <c r="AE190" i="6"/>
  <c r="AE51" i="6"/>
  <c r="AF6" i="6"/>
  <c r="T11" i="9" l="1"/>
  <c r="AI135" i="9" s="1"/>
  <c r="AJ135" i="9" s="1"/>
  <c r="AK135" i="9" s="1"/>
  <c r="AL135" i="9" s="1"/>
  <c r="AM135" i="9" s="1"/>
  <c r="AM134" i="9"/>
  <c r="AN134" i="9"/>
  <c r="C156" i="13"/>
  <c r="O154" i="13" s="1"/>
  <c r="L15" i="9"/>
  <c r="B17" i="12"/>
  <c r="L28" i="10"/>
  <c r="M27" i="10" s="1"/>
  <c r="N27" i="10" s="1"/>
  <c r="AR16" i="18" s="1"/>
  <c r="AT17" i="7"/>
  <c r="P25" i="10"/>
  <c r="Q25" i="10" s="1"/>
  <c r="M26" i="10"/>
  <c r="N26" i="10" s="1"/>
  <c r="AR15" i="18" s="1"/>
  <c r="AN11" i="9"/>
  <c r="AM11" i="9"/>
  <c r="L37" i="5"/>
  <c r="J37" i="5"/>
  <c r="F37" i="5"/>
  <c r="AL17" i="18"/>
  <c r="AY17" i="7"/>
  <c r="AD136" i="9"/>
  <c r="AC136" i="9"/>
  <c r="O12" i="9"/>
  <c r="P12" i="9" s="1"/>
  <c r="AI12" i="9" s="1"/>
  <c r="AJ12" i="9" s="1"/>
  <c r="AK12" i="9" s="1"/>
  <c r="AL12" i="9" s="1"/>
  <c r="J14" i="9"/>
  <c r="O13" i="9" s="1"/>
  <c r="P13" i="9" s="1"/>
  <c r="AI13" i="9" s="1"/>
  <c r="AJ13" i="9" s="1"/>
  <c r="AK13" i="9" s="1"/>
  <c r="AL13" i="9" s="1"/>
  <c r="DR14" i="9"/>
  <c r="DS14" i="9"/>
  <c r="D40" i="17"/>
  <c r="Y14" i="9"/>
  <c r="E29" i="10"/>
  <c r="G29" i="10" s="1"/>
  <c r="F29" i="10"/>
  <c r="AA297" i="6"/>
  <c r="AB303" i="6"/>
  <c r="AQ286" i="6"/>
  <c r="O205" i="13"/>
  <c r="Z13" i="9"/>
  <c r="AA13" i="9" s="1"/>
  <c r="AB13" i="9" s="1"/>
  <c r="Y137" i="9"/>
  <c r="Z137" i="9" s="1"/>
  <c r="AA137" i="9" s="1"/>
  <c r="AB137" i="9" s="1"/>
  <c r="AD295" i="6"/>
  <c r="AE301" i="6"/>
  <c r="AR284" i="6"/>
  <c r="AD12" i="9"/>
  <c r="AI14" i="18" s="1"/>
  <c r="AC12" i="9"/>
  <c r="B206" i="13"/>
  <c r="E206" i="13" s="1"/>
  <c r="O206" i="13" s="1"/>
  <c r="O153" i="13"/>
  <c r="I154" i="13"/>
  <c r="BE16" i="6"/>
  <c r="K55" i="20" s="1"/>
  <c r="BF16" i="6"/>
  <c r="L55" i="20" s="1"/>
  <c r="BJ16" i="6"/>
  <c r="P55" i="20" s="1"/>
  <c r="BH16" i="6"/>
  <c r="N55" i="20" s="1"/>
  <c r="BG16" i="6"/>
  <c r="M55" i="20" s="1"/>
  <c r="BI15" i="6"/>
  <c r="O54" i="20" s="1"/>
  <c r="AF51" i="6"/>
  <c r="AF474" i="6"/>
  <c r="AF190" i="6"/>
  <c r="AG6" i="6"/>
  <c r="AF147" i="6"/>
  <c r="AF11" i="20" s="1"/>
  <c r="AF140" i="6"/>
  <c r="AF96" i="6"/>
  <c r="AN135" i="9" l="1"/>
  <c r="P26" i="10"/>
  <c r="Q26" i="10" s="1"/>
  <c r="Y138" i="9"/>
  <c r="Z138" i="9" s="1"/>
  <c r="AA138" i="9" s="1"/>
  <c r="AB138" i="9" s="1"/>
  <c r="Z14" i="9"/>
  <c r="AA14" i="9" s="1"/>
  <c r="AB14" i="9" s="1"/>
  <c r="AM12" i="9"/>
  <c r="AN12" i="9"/>
  <c r="AD13" i="9"/>
  <c r="AI15" i="18" s="1"/>
  <c r="AC13" i="9"/>
  <c r="C157" i="13"/>
  <c r="O155" i="13" s="1"/>
  <c r="L16" i="9"/>
  <c r="B18" i="12"/>
  <c r="AT18" i="7"/>
  <c r="L29" i="10"/>
  <c r="M28" i="10" s="1"/>
  <c r="N28" i="10" s="1"/>
  <c r="AR17" i="18" s="1"/>
  <c r="DR15" i="9"/>
  <c r="D39" i="17"/>
  <c r="DS15" i="9"/>
  <c r="J15" i="9"/>
  <c r="O14" i="9" s="1"/>
  <c r="P14" i="9" s="1"/>
  <c r="AI14" i="9" s="1"/>
  <c r="AJ14" i="9" s="1"/>
  <c r="AK14" i="9" s="1"/>
  <c r="AL14" i="9" s="1"/>
  <c r="Y15" i="9"/>
  <c r="AN13" i="9"/>
  <c r="AM13" i="9"/>
  <c r="AC137" i="9"/>
  <c r="AD137" i="9"/>
  <c r="AB302" i="6"/>
  <c r="AA296" i="6"/>
  <c r="AQ285" i="6"/>
  <c r="S12" i="9"/>
  <c r="T12" i="9" s="1"/>
  <c r="AI136" i="9" s="1"/>
  <c r="AJ136" i="9" s="1"/>
  <c r="AK136" i="9" s="1"/>
  <c r="AL136" i="9" s="1"/>
  <c r="AE300" i="6"/>
  <c r="AD294" i="6"/>
  <c r="AR283" i="6"/>
  <c r="AL18" i="18"/>
  <c r="AY18" i="7"/>
  <c r="B207" i="13"/>
  <c r="E207" i="13" s="1"/>
  <c r="I207" i="13" s="1"/>
  <c r="I155" i="13"/>
  <c r="I206" i="13"/>
  <c r="BG15" i="6"/>
  <c r="M54" i="20" s="1"/>
  <c r="BJ15" i="6"/>
  <c r="P54" i="20" s="1"/>
  <c r="BI14" i="6"/>
  <c r="O53" i="20" s="1"/>
  <c r="BF15" i="6"/>
  <c r="L54" i="20" s="1"/>
  <c r="BE15" i="6"/>
  <c r="K54" i="20" s="1"/>
  <c r="BH15" i="6"/>
  <c r="N54" i="20" s="1"/>
  <c r="AG51" i="6"/>
  <c r="AG190" i="6"/>
  <c r="AH6" i="6"/>
  <c r="AG147" i="6"/>
  <c r="AG11" i="20" s="1"/>
  <c r="AG474" i="6"/>
  <c r="AG96" i="6"/>
  <c r="AG140" i="6"/>
  <c r="P27" i="10" l="1"/>
  <c r="Q27" i="10" s="1"/>
  <c r="AM14" i="9"/>
  <c r="AN14" i="9"/>
  <c r="AN136" i="9"/>
  <c r="AM136" i="9"/>
  <c r="O207" i="13"/>
  <c r="Z15" i="9"/>
  <c r="AA15" i="9" s="1"/>
  <c r="AB15" i="9" s="1"/>
  <c r="Y139" i="9"/>
  <c r="Z139" i="9" s="1"/>
  <c r="AA139" i="9" s="1"/>
  <c r="AB139" i="9" s="1"/>
  <c r="J16" i="9"/>
  <c r="DS16" i="9"/>
  <c r="D38" i="17"/>
  <c r="Y16" i="9"/>
  <c r="DR16" i="9"/>
  <c r="AD14" i="9"/>
  <c r="AI16" i="18" s="1"/>
  <c r="AC14" i="9"/>
  <c r="AB301" i="6"/>
  <c r="AQ284" i="6"/>
  <c r="B208" i="13"/>
  <c r="E208" i="13" s="1"/>
  <c r="I208" i="13" s="1"/>
  <c r="I156" i="13"/>
  <c r="AD138" i="9"/>
  <c r="AC138" i="9"/>
  <c r="AR282" i="6"/>
  <c r="AE299" i="6"/>
  <c r="AD293" i="6"/>
  <c r="S13" i="9"/>
  <c r="T13" i="9" s="1"/>
  <c r="AI137" i="9" s="1"/>
  <c r="AJ137" i="9" s="1"/>
  <c r="AK137" i="9" s="1"/>
  <c r="AL137" i="9" s="1"/>
  <c r="BG14" i="6"/>
  <c r="M53" i="20" s="1"/>
  <c r="BH14" i="6"/>
  <c r="N53" i="20" s="1"/>
  <c r="BF14" i="6"/>
  <c r="L53" i="20" s="1"/>
  <c r="BJ14" i="6"/>
  <c r="P53" i="20" s="1"/>
  <c r="BE14" i="6"/>
  <c r="K53" i="20" s="1"/>
  <c r="BI9" i="6"/>
  <c r="O48" i="20" s="1"/>
  <c r="BI12" i="6"/>
  <c r="O51" i="20" s="1"/>
  <c r="BI11" i="6"/>
  <c r="O50" i="20" s="1"/>
  <c r="BI13" i="6"/>
  <c r="O52" i="20" s="1"/>
  <c r="BI10" i="6"/>
  <c r="O49" i="20" s="1"/>
  <c r="BI8" i="6"/>
  <c r="O47" i="20" s="1"/>
  <c r="AH51" i="6"/>
  <c r="AH147" i="6"/>
  <c r="AH11" i="20" s="1"/>
  <c r="AH140" i="6"/>
  <c r="AI6" i="6"/>
  <c r="AH190" i="6"/>
  <c r="AH474" i="6"/>
  <c r="AH96" i="6"/>
  <c r="O208" i="13" l="1"/>
  <c r="Y140" i="9"/>
  <c r="Z140" i="9" s="1"/>
  <c r="AA140" i="9" s="1"/>
  <c r="AB140" i="9" s="1"/>
  <c r="Z16" i="9"/>
  <c r="AA16" i="9" s="1"/>
  <c r="AB16" i="9" s="1"/>
  <c r="AC139" i="9"/>
  <c r="AD139" i="9"/>
  <c r="AE298" i="6"/>
  <c r="AR281" i="6"/>
  <c r="O15" i="9"/>
  <c r="P15" i="9" s="1"/>
  <c r="AI15" i="9" s="1"/>
  <c r="AJ15" i="9" s="1"/>
  <c r="AK15" i="9" s="1"/>
  <c r="AL15" i="9" s="1"/>
  <c r="S14" i="9"/>
  <c r="AN137" i="9"/>
  <c r="AM137" i="9"/>
  <c r="AC15" i="9"/>
  <c r="AD15" i="9"/>
  <c r="AI17" i="18" s="1"/>
  <c r="BF13" i="6"/>
  <c r="L52" i="20" s="1"/>
  <c r="BF8" i="6"/>
  <c r="L47" i="20" s="1"/>
  <c r="BF10" i="6"/>
  <c r="L49" i="20" s="1"/>
  <c r="BF9" i="6"/>
  <c r="L48" i="20" s="1"/>
  <c r="BF11" i="6"/>
  <c r="L50" i="20" s="1"/>
  <c r="BF12" i="6"/>
  <c r="L51" i="20" s="1"/>
  <c r="BE9" i="6"/>
  <c r="K48" i="20" s="1"/>
  <c r="BE8" i="6"/>
  <c r="K47" i="20" s="1"/>
  <c r="BE10" i="6"/>
  <c r="K49" i="20" s="1"/>
  <c r="BE12" i="6"/>
  <c r="K51" i="20" s="1"/>
  <c r="BE11" i="6"/>
  <c r="K50" i="20" s="1"/>
  <c r="BE13" i="6"/>
  <c r="K52" i="20" s="1"/>
  <c r="BG9" i="6"/>
  <c r="M48" i="20" s="1"/>
  <c r="BG10" i="6"/>
  <c r="M49" i="20" s="1"/>
  <c r="BG12" i="6"/>
  <c r="M51" i="20" s="1"/>
  <c r="BG8" i="6"/>
  <c r="M47" i="20" s="1"/>
  <c r="BG11" i="6"/>
  <c r="M50" i="20" s="1"/>
  <c r="BG13" i="6"/>
  <c r="M52" i="20" s="1"/>
  <c r="BJ13" i="6"/>
  <c r="P52" i="20" s="1"/>
  <c r="BJ8" i="6"/>
  <c r="P47" i="20" s="1"/>
  <c r="BJ12" i="6"/>
  <c r="P51" i="20" s="1"/>
  <c r="BJ11" i="6"/>
  <c r="P50" i="20" s="1"/>
  <c r="BJ10" i="6"/>
  <c r="P49" i="20" s="1"/>
  <c r="BJ9" i="6"/>
  <c r="P48" i="20" s="1"/>
  <c r="BH13" i="6"/>
  <c r="N52" i="20" s="1"/>
  <c r="BH12" i="6"/>
  <c r="N51" i="20" s="1"/>
  <c r="BH10" i="6"/>
  <c r="N49" i="20" s="1"/>
  <c r="BH11" i="6"/>
  <c r="N50" i="20" s="1"/>
  <c r="BH8" i="6"/>
  <c r="N47" i="20" s="1"/>
  <c r="BH9" i="6"/>
  <c r="N48" i="20" s="1"/>
  <c r="AI51" i="6"/>
  <c r="AJ6" i="6"/>
  <c r="AI147" i="6"/>
  <c r="AI11" i="20" s="1"/>
  <c r="AI190" i="6"/>
  <c r="AI474" i="6"/>
  <c r="AI140" i="6"/>
  <c r="AI96" i="6"/>
  <c r="AM15" i="9" l="1"/>
  <c r="AN15" i="9"/>
  <c r="AC16" i="9"/>
  <c r="AD16" i="9"/>
  <c r="AI18" i="18" s="1"/>
  <c r="AC140" i="9"/>
  <c r="AD140" i="9"/>
  <c r="AJ51" i="6"/>
  <c r="AJ147" i="6"/>
  <c r="AJ11" i="20" s="1"/>
  <c r="AK6" i="6"/>
  <c r="AJ140" i="6"/>
  <c r="AJ190" i="6"/>
  <c r="AJ474" i="6"/>
  <c r="AJ96" i="6"/>
  <c r="AK51" i="6" l="1"/>
  <c r="AK190" i="6"/>
  <c r="AK147" i="6"/>
  <c r="AK11" i="20" s="1"/>
  <c r="AK474" i="6"/>
  <c r="AL6" i="6"/>
  <c r="AK96" i="6"/>
  <c r="AK140" i="6"/>
  <c r="AL474" i="6" l="1"/>
  <c r="AL96" i="6"/>
  <c r="AL140" i="6"/>
  <c r="AN8" i="6"/>
  <c r="AL147" i="6"/>
  <c r="AL11" i="20" s="1"/>
  <c r="AL190" i="6"/>
  <c r="N5" i="18"/>
  <c r="AL51" i="6"/>
  <c r="AV8" i="6" l="1"/>
  <c r="A430" i="6"/>
  <c r="A55" i="10"/>
  <c r="EH42" i="9" s="1"/>
  <c r="AG281" i="6"/>
  <c r="A11" i="5"/>
  <c r="AN9" i="6"/>
  <c r="J9" i="4"/>
  <c r="U7" i="4" s="1"/>
  <c r="A12" i="17"/>
  <c r="Q5" i="18"/>
  <c r="P5" i="18"/>
  <c r="R5" i="18" s="1"/>
  <c r="O5" i="18"/>
  <c r="B8" i="18"/>
  <c r="N6" i="18"/>
  <c r="P6" i="18" l="1"/>
  <c r="O6" i="18"/>
  <c r="B9" i="18"/>
  <c r="N7" i="18"/>
  <c r="Q6" i="18"/>
  <c r="B12" i="17"/>
  <c r="C12" i="17"/>
  <c r="F12" i="17" s="1"/>
  <c r="AH281" i="6"/>
  <c r="AI281" i="6"/>
  <c r="K31" i="4"/>
  <c r="N9" i="4"/>
  <c r="CA42" i="9"/>
  <c r="BL42" i="9"/>
  <c r="DX42" i="9"/>
  <c r="AR42" i="9"/>
  <c r="A183" i="13"/>
  <c r="A234" i="13" s="1"/>
  <c r="X42" i="9"/>
  <c r="DQ42" i="9"/>
  <c r="BB42" i="9"/>
  <c r="BH44" i="7" s="1"/>
  <c r="AC44" i="18"/>
  <c r="CA44" i="18"/>
  <c r="AO44" i="7"/>
  <c r="BG44" i="18"/>
  <c r="A44" i="12"/>
  <c r="AH42" i="9"/>
  <c r="K42" i="9"/>
  <c r="B4" i="9" s="1"/>
  <c r="BQ44" i="18"/>
  <c r="AW44" i="18"/>
  <c r="AW106" i="18" s="1"/>
  <c r="DB42" i="9"/>
  <c r="EC42" i="9"/>
  <c r="I55" i="10"/>
  <c r="S5" i="18"/>
  <c r="E8" i="18" s="1"/>
  <c r="AG282" i="6"/>
  <c r="A431" i="6"/>
  <c r="A13" i="17"/>
  <c r="AN10" i="6"/>
  <c r="A54" i="10"/>
  <c r="EH41" i="9" s="1"/>
  <c r="A12" i="5"/>
  <c r="J10" i="4"/>
  <c r="U8" i="4" s="1"/>
  <c r="B477" i="6"/>
  <c r="D78" i="5"/>
  <c r="A145" i="5"/>
  <c r="E55" i="5"/>
  <c r="E61" i="5" s="1"/>
  <c r="B78" i="5"/>
  <c r="Q11" i="5"/>
  <c r="S11" i="5" s="1"/>
  <c r="U11" i="5"/>
  <c r="A78" i="5"/>
  <c r="H78" i="5"/>
  <c r="C56" i="5"/>
  <c r="T5" i="8"/>
  <c r="D5" i="8"/>
  <c r="AV9" i="6"/>
  <c r="A79" i="5" l="1"/>
  <c r="B79" i="5"/>
  <c r="D79" i="5"/>
  <c r="H79" i="5"/>
  <c r="D6" i="8"/>
  <c r="T6" i="8"/>
  <c r="AV10" i="6"/>
  <c r="B183" i="13"/>
  <c r="C234" i="13" s="1"/>
  <c r="D44" i="12"/>
  <c r="AP44" i="7"/>
  <c r="AQ44" i="7"/>
  <c r="CA41" i="9"/>
  <c r="BL41" i="9"/>
  <c r="X41" i="9"/>
  <c r="A182" i="13"/>
  <c r="A233" i="13" s="1"/>
  <c r="BG43" i="18"/>
  <c r="BB41" i="9"/>
  <c r="BH43" i="7" s="1"/>
  <c r="DX41" i="9"/>
  <c r="BQ43" i="18"/>
  <c r="K41" i="9"/>
  <c r="AR41" i="9"/>
  <c r="CA43" i="18"/>
  <c r="DQ41" i="9"/>
  <c r="DB41" i="9"/>
  <c r="AC43" i="18"/>
  <c r="A43" i="12"/>
  <c r="AO43" i="7"/>
  <c r="AH41" i="9"/>
  <c r="EC41" i="9"/>
  <c r="AW43" i="18"/>
  <c r="AW105" i="18" s="1"/>
  <c r="I54" i="10"/>
  <c r="AH282" i="6"/>
  <c r="AI282" i="6"/>
  <c r="AH166" i="9"/>
  <c r="X166" i="9"/>
  <c r="X228" i="9" s="1"/>
  <c r="X104" i="9"/>
  <c r="EH104" i="9" s="1"/>
  <c r="AB5" i="5"/>
  <c r="C62" i="5"/>
  <c r="AB4" i="5" s="1"/>
  <c r="K32" i="4"/>
  <c r="N10" i="4"/>
  <c r="C13" i="17"/>
  <c r="F13" i="17" s="1"/>
  <c r="B13" i="17"/>
  <c r="D27" i="8"/>
  <c r="G85" i="8"/>
  <c r="CY21" i="9" s="1"/>
  <c r="B478" i="6"/>
  <c r="U12" i="5"/>
  <c r="Q12" i="5"/>
  <c r="S12" i="5" s="1"/>
  <c r="A146" i="5"/>
  <c r="N8" i="18"/>
  <c r="Q8" i="18" s="1"/>
  <c r="P7" i="18"/>
  <c r="O7" i="18"/>
  <c r="B10" i="18"/>
  <c r="AM465" i="6"/>
  <c r="AM503" i="6" s="1"/>
  <c r="A14" i="17"/>
  <c r="A13" i="5"/>
  <c r="AG283" i="6"/>
  <c r="J11" i="4"/>
  <c r="U9" i="4" s="1"/>
  <c r="A432" i="6"/>
  <c r="AN11" i="6"/>
  <c r="A53" i="10"/>
  <c r="EH40" i="9" s="1"/>
  <c r="CA106" i="18"/>
  <c r="BQ106" i="18"/>
  <c r="BG106" i="18"/>
  <c r="AP44" i="18"/>
  <c r="AE44" i="18"/>
  <c r="AD44" i="18"/>
  <c r="D90" i="13"/>
  <c r="D120" i="13" s="1"/>
  <c r="C7" i="13" s="1"/>
  <c r="A274" i="13"/>
  <c r="D83" i="13" s="1"/>
  <c r="K83" i="13" s="1"/>
  <c r="CA104" i="9"/>
  <c r="BZ104" i="9" s="1"/>
  <c r="BZ42" i="9"/>
  <c r="Q7" i="18"/>
  <c r="AJ281" i="6"/>
  <c r="AO94" i="7" s="1"/>
  <c r="AW94" i="7" s="1"/>
  <c r="R6" i="18"/>
  <c r="S6" i="18" s="1"/>
  <c r="E9" i="18" s="1"/>
  <c r="B80" i="5" l="1"/>
  <c r="D80" i="5"/>
  <c r="A80" i="5"/>
  <c r="H80" i="5"/>
  <c r="CA103" i="9"/>
  <c r="BZ103" i="9" s="1"/>
  <c r="BZ41" i="9"/>
  <c r="AR44" i="7"/>
  <c r="AS44" i="7"/>
  <c r="D7" i="8"/>
  <c r="AV11" i="6"/>
  <c r="C10" i="4" s="1"/>
  <c r="T7" i="8"/>
  <c r="AD43" i="18"/>
  <c r="AP43" i="18"/>
  <c r="AE43" i="18"/>
  <c r="K33" i="4"/>
  <c r="N11" i="4"/>
  <c r="AM466" i="6"/>
  <c r="AM502" i="6" s="1"/>
  <c r="B182" i="13"/>
  <c r="C233" i="13" s="1"/>
  <c r="D43" i="12"/>
  <c r="AQ43" i="7"/>
  <c r="AP43" i="7"/>
  <c r="A273" i="13"/>
  <c r="D82" i="13" s="1"/>
  <c r="K82" i="13" s="1"/>
  <c r="D91" i="13"/>
  <c r="D121" i="13" s="1"/>
  <c r="C8" i="13" s="1"/>
  <c r="A15" i="17"/>
  <c r="AN12" i="6"/>
  <c r="A433" i="6"/>
  <c r="A52" i="10"/>
  <c r="EH39" i="9" s="1"/>
  <c r="A14" i="5"/>
  <c r="AG284" i="6"/>
  <c r="J12" i="4"/>
  <c r="A147" i="5"/>
  <c r="B479" i="6"/>
  <c r="U13" i="5"/>
  <c r="Q13" i="5"/>
  <c r="S13" i="5" s="1"/>
  <c r="I27" i="8"/>
  <c r="D40" i="8"/>
  <c r="AF44" i="18"/>
  <c r="AG44" i="18"/>
  <c r="C14" i="17"/>
  <c r="F14" i="17" s="1"/>
  <c r="B14" i="17"/>
  <c r="R7" i="18"/>
  <c r="S7" i="18" s="1"/>
  <c r="E10" i="18" s="1"/>
  <c r="DQ104" i="9"/>
  <c r="BB104" i="9"/>
  <c r="AH104" i="9"/>
  <c r="BL104" i="9" s="1"/>
  <c r="DX104" i="9"/>
  <c r="AR104" i="9"/>
  <c r="EC104" i="9"/>
  <c r="CA40" i="9"/>
  <c r="BL40" i="9"/>
  <c r="A181" i="13"/>
  <c r="A232" i="13" s="1"/>
  <c r="K40" i="9"/>
  <c r="BG42" i="18"/>
  <c r="EC40" i="9"/>
  <c r="AC42" i="18"/>
  <c r="AH40" i="9"/>
  <c r="BQ42" i="18"/>
  <c r="DQ40" i="9"/>
  <c r="BB40" i="9"/>
  <c r="BH42" i="7" s="1"/>
  <c r="A42" i="12"/>
  <c r="X40" i="9"/>
  <c r="AW42" i="18"/>
  <c r="AW104" i="18" s="1"/>
  <c r="AO42" i="7"/>
  <c r="DX40" i="9"/>
  <c r="DB40" i="9"/>
  <c r="CA42" i="18"/>
  <c r="AR40" i="9"/>
  <c r="I53" i="10"/>
  <c r="AH283" i="6"/>
  <c r="AI283" i="6"/>
  <c r="O8" i="18"/>
  <c r="N9" i="18"/>
  <c r="Q9" i="18" s="1"/>
  <c r="P8" i="18"/>
  <c r="R8" i="18" s="1"/>
  <c r="B11" i="18"/>
  <c r="AH228" i="9"/>
  <c r="BB166" i="9"/>
  <c r="BL166" i="9"/>
  <c r="CA166" i="9"/>
  <c r="BZ166" i="9" s="1"/>
  <c r="AR166" i="9"/>
  <c r="BG105" i="18"/>
  <c r="BQ105" i="18"/>
  <c r="CA105" i="18"/>
  <c r="AH165" i="9"/>
  <c r="X165" i="9"/>
  <c r="X227" i="9" s="1"/>
  <c r="X103" i="9"/>
  <c r="EH103" i="9" s="1"/>
  <c r="D28" i="8"/>
  <c r="G86" i="8"/>
  <c r="CY20" i="9" s="1"/>
  <c r="U10" i="4" l="1"/>
  <c r="F10" i="4"/>
  <c r="A81" i="5"/>
  <c r="B81" i="5"/>
  <c r="D81" i="5"/>
  <c r="H81" i="5"/>
  <c r="AR43" i="7"/>
  <c r="AO327" i="7" s="1"/>
  <c r="AP42" i="7"/>
  <c r="AQ42" i="7"/>
  <c r="AP42" i="18"/>
  <c r="AD42" i="18"/>
  <c r="AE42" i="18"/>
  <c r="A272" i="13"/>
  <c r="D81" i="13" s="1"/>
  <c r="K81" i="13" s="1"/>
  <c r="D92" i="13"/>
  <c r="D122" i="13" s="1"/>
  <c r="C9" i="13" s="1"/>
  <c r="AM467" i="6"/>
  <c r="AM501" i="6" s="1"/>
  <c r="CA39" i="9"/>
  <c r="BL39" i="9"/>
  <c r="DQ39" i="9"/>
  <c r="BG41" i="18"/>
  <c r="AR39" i="9"/>
  <c r="X39" i="9"/>
  <c r="AO41" i="7"/>
  <c r="DB39" i="9"/>
  <c r="AW41" i="18"/>
  <c r="AW103" i="18" s="1"/>
  <c r="BB39" i="9"/>
  <c r="BH41" i="7" s="1"/>
  <c r="CA41" i="18"/>
  <c r="BQ41" i="18"/>
  <c r="A180" i="13"/>
  <c r="A231" i="13" s="1"/>
  <c r="AC41" i="18"/>
  <c r="DX39" i="9"/>
  <c r="A41" i="12"/>
  <c r="AH39" i="9"/>
  <c r="K39" i="9"/>
  <c r="EC39" i="9"/>
  <c r="I52" i="10"/>
  <c r="AV12" i="6"/>
  <c r="C11" i="4" s="1"/>
  <c r="D8" i="8"/>
  <c r="T8" i="8"/>
  <c r="S8" i="18"/>
  <c r="E11" i="18" s="1"/>
  <c r="CA104" i="18"/>
  <c r="BG104" i="18"/>
  <c r="BQ104" i="18"/>
  <c r="K34" i="4"/>
  <c r="N12" i="4"/>
  <c r="D29" i="8"/>
  <c r="G87" i="8"/>
  <c r="CY19" i="9" s="1"/>
  <c r="AR103" i="9"/>
  <c r="BB103" i="9"/>
  <c r="AH103" i="9"/>
  <c r="BL103" i="9" s="1"/>
  <c r="DX103" i="9"/>
  <c r="EC103" i="9"/>
  <c r="DQ103" i="9"/>
  <c r="BL165" i="9"/>
  <c r="CA165" i="9"/>
  <c r="BZ165" i="9" s="1"/>
  <c r="AR165" i="9"/>
  <c r="AH227" i="9"/>
  <c r="BB165" i="9"/>
  <c r="BL228" i="9"/>
  <c r="AR228" i="9"/>
  <c r="CA228" i="9"/>
  <c r="BZ228" i="9" s="1"/>
  <c r="BB228" i="9"/>
  <c r="AO199" i="7"/>
  <c r="AO243" i="7" s="1"/>
  <c r="AU228" i="7" s="1"/>
  <c r="AO67" i="7"/>
  <c r="AG43" i="18"/>
  <c r="AF43" i="18"/>
  <c r="X164" i="9"/>
  <c r="X226" i="9" s="1"/>
  <c r="AH164" i="9"/>
  <c r="X102" i="9"/>
  <c r="EH102" i="9" s="1"/>
  <c r="CA102" i="9"/>
  <c r="BZ102" i="9" s="1"/>
  <c r="BZ40" i="9"/>
  <c r="AH284" i="6"/>
  <c r="AI284" i="6"/>
  <c r="A434" i="6"/>
  <c r="A16" i="17"/>
  <c r="A51" i="10"/>
  <c r="EH38" i="9" s="1"/>
  <c r="AN13" i="6"/>
  <c r="J13" i="4"/>
  <c r="AG285" i="6"/>
  <c r="A15" i="5"/>
  <c r="I28" i="8"/>
  <c r="D41" i="8"/>
  <c r="P9" i="18"/>
  <c r="R9" i="18" s="1"/>
  <c r="O9" i="18"/>
  <c r="B12" i="18"/>
  <c r="N10" i="18"/>
  <c r="Q10" i="18" s="1"/>
  <c r="B181" i="13"/>
  <c r="C232" i="13" s="1"/>
  <c r="D42" i="12"/>
  <c r="B480" i="6"/>
  <c r="Q14" i="5"/>
  <c r="S14" i="5" s="1"/>
  <c r="A148" i="5"/>
  <c r="U14" i="5"/>
  <c r="B15" i="17"/>
  <c r="C15" i="17"/>
  <c r="F15" i="17" s="1"/>
  <c r="AO307" i="7"/>
  <c r="AO200" i="7"/>
  <c r="AO244" i="7" s="1"/>
  <c r="AU227" i="7" s="1"/>
  <c r="AO328" i="7"/>
  <c r="AO68" i="7"/>
  <c r="U11" i="4" l="1"/>
  <c r="F11" i="4"/>
  <c r="A82" i="5"/>
  <c r="H82" i="5"/>
  <c r="B82" i="5"/>
  <c r="D82" i="5"/>
  <c r="AO306" i="7"/>
  <c r="S9" i="18"/>
  <c r="E12" i="18" s="1"/>
  <c r="AM468" i="6"/>
  <c r="AM500" i="6" s="1"/>
  <c r="AH285" i="6"/>
  <c r="AI285" i="6"/>
  <c r="C16" i="17"/>
  <c r="F16" i="17" s="1"/>
  <c r="B16" i="17"/>
  <c r="D42" i="8"/>
  <c r="I29" i="8"/>
  <c r="T9" i="8"/>
  <c r="AV13" i="6"/>
  <c r="C12" i="4" s="1"/>
  <c r="D9" i="8"/>
  <c r="M9" i="8" s="1"/>
  <c r="BG103" i="18"/>
  <c r="BQ103" i="18"/>
  <c r="CA103" i="18"/>
  <c r="CA101" i="9"/>
  <c r="BZ101" i="9" s="1"/>
  <c r="BZ39" i="9"/>
  <c r="O10" i="18"/>
  <c r="N11" i="18"/>
  <c r="Q11" i="18" s="1"/>
  <c r="P10" i="18"/>
  <c r="R10" i="18" s="1"/>
  <c r="B13" i="18"/>
  <c r="K35" i="4"/>
  <c r="N13" i="4"/>
  <c r="CA227" i="9"/>
  <c r="BZ227" i="9" s="1"/>
  <c r="AR227" i="9"/>
  <c r="BL227" i="9"/>
  <c r="BB227" i="9"/>
  <c r="B180" i="13"/>
  <c r="C231" i="13" s="1"/>
  <c r="D41" i="12"/>
  <c r="AR42" i="7"/>
  <c r="AQ41" i="7"/>
  <c r="AP41" i="7"/>
  <c r="AF42" i="18"/>
  <c r="AG42" i="18"/>
  <c r="BB164" i="9"/>
  <c r="AR164" i="9"/>
  <c r="CA164" i="9"/>
  <c r="BZ164" i="9" s="1"/>
  <c r="AH226" i="9"/>
  <c r="BL164" i="9"/>
  <c r="A271" i="13"/>
  <c r="D80" i="13" s="1"/>
  <c r="K80" i="13" s="1"/>
  <c r="D93" i="13"/>
  <c r="D123" i="13" s="1"/>
  <c r="C10" i="13" s="1"/>
  <c r="A17" i="17"/>
  <c r="A16" i="5"/>
  <c r="A435" i="6"/>
  <c r="J14" i="4"/>
  <c r="AN14" i="6"/>
  <c r="AG286" i="6"/>
  <c r="A50" i="10"/>
  <c r="EH37" i="9" s="1"/>
  <c r="B481" i="6"/>
  <c r="Q15" i="5"/>
  <c r="S15" i="5" s="1"/>
  <c r="U15" i="5"/>
  <c r="A149" i="5"/>
  <c r="CA38" i="9"/>
  <c r="BL38" i="9"/>
  <c r="AO40" i="7"/>
  <c r="EC38" i="9"/>
  <c r="BB38" i="9"/>
  <c r="BH40" i="7" s="1"/>
  <c r="BQ40" i="18"/>
  <c r="A179" i="13"/>
  <c r="A230" i="13" s="1"/>
  <c r="BG40" i="18"/>
  <c r="K38" i="9"/>
  <c r="CA40" i="18"/>
  <c r="X38" i="9"/>
  <c r="AH38" i="9"/>
  <c r="DB38" i="9"/>
  <c r="AC40" i="18"/>
  <c r="A40" i="12"/>
  <c r="DX38" i="9"/>
  <c r="DQ38" i="9"/>
  <c r="AR38" i="9"/>
  <c r="AW40" i="18"/>
  <c r="AW102" i="18" s="1"/>
  <c r="I51" i="10"/>
  <c r="AJ284" i="6"/>
  <c r="AO97" i="7" s="1"/>
  <c r="AW97" i="7" s="1"/>
  <c r="AR102" i="9"/>
  <c r="BB102" i="9"/>
  <c r="DX102" i="9"/>
  <c r="DQ102" i="9"/>
  <c r="EC102" i="9"/>
  <c r="AH102" i="9"/>
  <c r="BL102" i="9" s="1"/>
  <c r="D30" i="8"/>
  <c r="G88" i="8"/>
  <c r="CY18" i="9" s="1"/>
  <c r="AE41" i="18"/>
  <c r="AD41" i="18"/>
  <c r="AP41" i="18"/>
  <c r="AH163" i="9"/>
  <c r="X163" i="9"/>
  <c r="X225" i="9" s="1"/>
  <c r="X101" i="9"/>
  <c r="EH101" i="9" s="1"/>
  <c r="U12" i="4" l="1"/>
  <c r="F12" i="4"/>
  <c r="O9" i="8"/>
  <c r="S10" i="18"/>
  <c r="E13" i="18" s="1"/>
  <c r="AH101" i="9"/>
  <c r="BL101" i="9" s="1"/>
  <c r="DX101" i="9"/>
  <c r="EC101" i="9"/>
  <c r="BB101" i="9"/>
  <c r="DQ101" i="9"/>
  <c r="AR101" i="9"/>
  <c r="BG102" i="18"/>
  <c r="CA102" i="18"/>
  <c r="BQ102" i="18"/>
  <c r="A270" i="13"/>
  <c r="D79" i="13" s="1"/>
  <c r="K79" i="13" s="1"/>
  <c r="D94" i="13"/>
  <c r="D124" i="13" s="1"/>
  <c r="C11" i="13" s="1"/>
  <c r="AP40" i="7"/>
  <c r="AQ40" i="7"/>
  <c r="A18" i="17"/>
  <c r="AG287" i="6"/>
  <c r="A17" i="5"/>
  <c r="A49" i="10"/>
  <c r="EH36" i="9" s="1"/>
  <c r="A436" i="6"/>
  <c r="AN15" i="6"/>
  <c r="J15" i="4"/>
  <c r="B17" i="17"/>
  <c r="C17" i="17"/>
  <c r="F17" i="17" s="1"/>
  <c r="BL226" i="9"/>
  <c r="AR226" i="9"/>
  <c r="CA226" i="9"/>
  <c r="BZ226" i="9" s="1"/>
  <c r="BB226" i="9"/>
  <c r="AO305" i="7"/>
  <c r="AO326" i="7"/>
  <c r="AO66" i="7"/>
  <c r="AO198" i="7"/>
  <c r="AO242" i="7" s="1"/>
  <c r="AU229" i="7" s="1"/>
  <c r="AP40" i="18"/>
  <c r="AD40" i="18"/>
  <c r="AE40" i="18"/>
  <c r="AM469" i="6"/>
  <c r="AM499" i="6" s="1"/>
  <c r="K36" i="4"/>
  <c r="N14" i="4"/>
  <c r="B14" i="18"/>
  <c r="P11" i="18"/>
  <c r="R11" i="18" s="1"/>
  <c r="O11" i="18"/>
  <c r="N12" i="18"/>
  <c r="Q12" i="18" s="1"/>
  <c r="AV14" i="6"/>
  <c r="C13" i="4" s="1"/>
  <c r="U13" i="4" s="1"/>
  <c r="T10" i="8"/>
  <c r="D10" i="8"/>
  <c r="M10" i="8" s="1"/>
  <c r="AH225" i="9"/>
  <c r="AR163" i="9"/>
  <c r="BL163" i="9"/>
  <c r="CA163" i="9"/>
  <c r="BZ163" i="9" s="1"/>
  <c r="BB163" i="9"/>
  <c r="CA100" i="9"/>
  <c r="BZ100" i="9" s="1"/>
  <c r="BZ38" i="9"/>
  <c r="CA37" i="9"/>
  <c r="BL37" i="9"/>
  <c r="BB37" i="9"/>
  <c r="BH39" i="7" s="1"/>
  <c r="DQ37" i="9"/>
  <c r="BQ39" i="18"/>
  <c r="DX37" i="9"/>
  <c r="DB37" i="9"/>
  <c r="X37" i="9"/>
  <c r="BG39" i="18"/>
  <c r="AC39" i="18"/>
  <c r="AW39" i="18"/>
  <c r="AW101" i="18" s="1"/>
  <c r="A178" i="13"/>
  <c r="A229" i="13" s="1"/>
  <c r="CA39" i="18"/>
  <c r="EC37" i="9"/>
  <c r="A39" i="12"/>
  <c r="AR37" i="9"/>
  <c r="AH37" i="9"/>
  <c r="AO39" i="7"/>
  <c r="K37" i="9"/>
  <c r="I50" i="10"/>
  <c r="AS41" i="7"/>
  <c r="AR41" i="7"/>
  <c r="AF41" i="18"/>
  <c r="AG41" i="18"/>
  <c r="AH162" i="9"/>
  <c r="X162" i="9"/>
  <c r="X224" i="9" s="1"/>
  <c r="X100" i="9"/>
  <c r="EH100" i="9" s="1"/>
  <c r="G89" i="8"/>
  <c r="CY17" i="9" s="1"/>
  <c r="D31" i="8"/>
  <c r="D43" i="8"/>
  <c r="I30" i="8"/>
  <c r="D40" i="12"/>
  <c r="B179" i="13"/>
  <c r="C230" i="13" s="1"/>
  <c r="AH286" i="6"/>
  <c r="AI286" i="6"/>
  <c r="B83" i="5"/>
  <c r="Q16" i="5"/>
  <c r="S16" i="5" s="1"/>
  <c r="A83" i="5"/>
  <c r="B482" i="6"/>
  <c r="H83" i="5"/>
  <c r="A150" i="5"/>
  <c r="D83" i="5"/>
  <c r="U16" i="5"/>
  <c r="F13" i="4" l="1"/>
  <c r="O10" i="8"/>
  <c r="AR40" i="7"/>
  <c r="AO64" i="7" s="1"/>
  <c r="AM470" i="6"/>
  <c r="AM498" i="6" s="1"/>
  <c r="AF40" i="18"/>
  <c r="AG40" i="18"/>
  <c r="K37" i="4"/>
  <c r="N15" i="4"/>
  <c r="B84" i="5"/>
  <c r="U17" i="5"/>
  <c r="D84" i="5"/>
  <c r="Q17" i="5"/>
  <c r="S17" i="5" s="1"/>
  <c r="B483" i="6"/>
  <c r="A84" i="5"/>
  <c r="A151" i="5"/>
  <c r="H84" i="5"/>
  <c r="AO325" i="7"/>
  <c r="AO304" i="7"/>
  <c r="AO65" i="7"/>
  <c r="AO197" i="7"/>
  <c r="AO241" i="7" s="1"/>
  <c r="AU230" i="7" s="1"/>
  <c r="AP39" i="7"/>
  <c r="AQ39" i="7"/>
  <c r="AP39" i="18"/>
  <c r="AD39" i="18"/>
  <c r="AE39" i="18"/>
  <c r="CA225" i="9"/>
  <c r="BZ225" i="9" s="1"/>
  <c r="BB225" i="9"/>
  <c r="AR225" i="9"/>
  <c r="BL225" i="9"/>
  <c r="D11" i="8"/>
  <c r="M11" i="8" s="1"/>
  <c r="T11" i="8"/>
  <c r="AV15" i="6"/>
  <c r="C14" i="4" s="1"/>
  <c r="U14" i="4" s="1"/>
  <c r="S11" i="18"/>
  <c r="E14" i="18" s="1"/>
  <c r="A48" i="10"/>
  <c r="EH35" i="9" s="1"/>
  <c r="J16" i="4"/>
  <c r="A19" i="17"/>
  <c r="A18" i="5"/>
  <c r="AN16" i="6"/>
  <c r="AG288" i="6"/>
  <c r="A437" i="6"/>
  <c r="AH287" i="6"/>
  <c r="AI287" i="6"/>
  <c r="AR100" i="9"/>
  <c r="DX100" i="9"/>
  <c r="BB100" i="9"/>
  <c r="EC100" i="9"/>
  <c r="AH100" i="9"/>
  <c r="BL100" i="9" s="1"/>
  <c r="DQ100" i="9"/>
  <c r="BQ101" i="18"/>
  <c r="BG101" i="18"/>
  <c r="CA101" i="18"/>
  <c r="AO303" i="7"/>
  <c r="AO196" i="7"/>
  <c r="AO240" i="7" s="1"/>
  <c r="AU231" i="7" s="1"/>
  <c r="AO324" i="7"/>
  <c r="BB162" i="9"/>
  <c r="AR162" i="9"/>
  <c r="AH224" i="9"/>
  <c r="BL162" i="9"/>
  <c r="CA162" i="9"/>
  <c r="BZ162" i="9" s="1"/>
  <c r="CA99" i="9"/>
  <c r="BZ99" i="9" s="1"/>
  <c r="BZ37" i="9"/>
  <c r="B18" i="17"/>
  <c r="C18" i="17"/>
  <c r="F18" i="17" s="1"/>
  <c r="I31" i="8"/>
  <c r="D44" i="8"/>
  <c r="B178" i="13"/>
  <c r="C229" i="13" s="1"/>
  <c r="D39" i="12"/>
  <c r="D95" i="13"/>
  <c r="D125" i="13" s="1"/>
  <c r="C12" i="13" s="1"/>
  <c r="A269" i="13"/>
  <c r="D78" i="13" s="1"/>
  <c r="K78" i="13" s="1"/>
  <c r="AH161" i="9"/>
  <c r="X161" i="9"/>
  <c r="X223" i="9" s="1"/>
  <c r="X99" i="9"/>
  <c r="EH99" i="9" s="1"/>
  <c r="G90" i="8"/>
  <c r="CY16" i="9" s="1"/>
  <c r="D32" i="8"/>
  <c r="O12" i="18"/>
  <c r="B15" i="18"/>
  <c r="P12" i="18"/>
  <c r="R12" i="18" s="1"/>
  <c r="N13" i="18"/>
  <c r="CA36" i="9"/>
  <c r="BL36" i="9"/>
  <c r="A177" i="13"/>
  <c r="A228" i="13" s="1"/>
  <c r="AH36" i="9"/>
  <c r="DB36" i="9"/>
  <c r="AO38" i="7"/>
  <c r="AC38" i="18"/>
  <c r="DX36" i="9"/>
  <c r="X36" i="9"/>
  <c r="AR36" i="9"/>
  <c r="BG38" i="18"/>
  <c r="EC36" i="9"/>
  <c r="K36" i="9"/>
  <c r="AW38" i="18"/>
  <c r="AW100" i="18" s="1"/>
  <c r="A38" i="12"/>
  <c r="BQ38" i="18"/>
  <c r="BB36" i="9"/>
  <c r="BH38" i="7" s="1"/>
  <c r="CA38" i="18"/>
  <c r="DQ36" i="9"/>
  <c r="I49" i="10"/>
  <c r="F14" i="4" l="1"/>
  <c r="O11" i="8"/>
  <c r="AJ287" i="6"/>
  <c r="AO100" i="7" s="1"/>
  <c r="AW100" i="7" s="1"/>
  <c r="BQ100" i="18"/>
  <c r="CA100" i="18"/>
  <c r="BG100" i="18"/>
  <c r="AQ38" i="7"/>
  <c r="AP38" i="7"/>
  <c r="O13" i="18"/>
  <c r="P13" i="18"/>
  <c r="B16" i="18"/>
  <c r="N14" i="18"/>
  <c r="Q14" i="18" s="1"/>
  <c r="BB99" i="9"/>
  <c r="AH99" i="9"/>
  <c r="BL99" i="9" s="1"/>
  <c r="DX99" i="9"/>
  <c r="DQ99" i="9"/>
  <c r="AR99" i="9"/>
  <c r="EC99" i="9"/>
  <c r="G91" i="8"/>
  <c r="CY15" i="9" s="1"/>
  <c r="D33" i="8"/>
  <c r="AM471" i="6"/>
  <c r="AM497" i="6" s="1"/>
  <c r="AR39" i="7"/>
  <c r="BL224" i="9"/>
  <c r="CA224" i="9"/>
  <c r="BZ224" i="9" s="1"/>
  <c r="AR224" i="9"/>
  <c r="BB224" i="9"/>
  <c r="H85" i="5"/>
  <c r="A85" i="5"/>
  <c r="U18" i="5"/>
  <c r="B484" i="6"/>
  <c r="Q18" i="5"/>
  <c r="S18" i="5" s="1"/>
  <c r="B85" i="5"/>
  <c r="A152" i="5"/>
  <c r="D85" i="5"/>
  <c r="AH160" i="9"/>
  <c r="X160" i="9"/>
  <c r="X222" i="9" s="1"/>
  <c r="X98" i="9"/>
  <c r="EH98" i="9" s="1"/>
  <c r="CA98" i="9"/>
  <c r="BZ98" i="9" s="1"/>
  <c r="BZ36" i="9"/>
  <c r="S12" i="18"/>
  <c r="E15" i="18" s="1"/>
  <c r="I32" i="8"/>
  <c r="D45" i="8"/>
  <c r="C19" i="17"/>
  <c r="F19" i="17" s="1"/>
  <c r="B19" i="17"/>
  <c r="T12" i="8"/>
  <c r="AV16" i="6"/>
  <c r="C15" i="4" s="1"/>
  <c r="U15" i="4" s="1"/>
  <c r="D12" i="8"/>
  <c r="D38" i="12"/>
  <c r="B177" i="13"/>
  <c r="C228" i="13" s="1"/>
  <c r="Q13" i="18"/>
  <c r="BL161" i="9"/>
  <c r="AH223" i="9"/>
  <c r="CA161" i="9"/>
  <c r="BZ161" i="9" s="1"/>
  <c r="BB161" i="9"/>
  <c r="AR161" i="9"/>
  <c r="AI288" i="6"/>
  <c r="AH288" i="6"/>
  <c r="K38" i="4"/>
  <c r="N16" i="4"/>
  <c r="AF39" i="18"/>
  <c r="AG39" i="18"/>
  <c r="AE38" i="18"/>
  <c r="AD38" i="18"/>
  <c r="AP38" i="18"/>
  <c r="D96" i="13"/>
  <c r="D126" i="13" s="1"/>
  <c r="C13" i="13" s="1"/>
  <c r="A268" i="13"/>
  <c r="D77" i="13" s="1"/>
  <c r="K77" i="13" s="1"/>
  <c r="A47" i="10"/>
  <c r="EH34" i="9" s="1"/>
  <c r="A438" i="6"/>
  <c r="A19" i="5"/>
  <c r="AG289" i="6"/>
  <c r="AN17" i="6"/>
  <c r="J17" i="4"/>
  <c r="A20" i="17"/>
  <c r="CA35" i="9"/>
  <c r="BL35" i="9"/>
  <c r="AW37" i="18"/>
  <c r="AW99" i="18" s="1"/>
  <c r="AC37" i="18"/>
  <c r="CA37" i="18"/>
  <c r="AH35" i="9"/>
  <c r="DB35" i="9"/>
  <c r="BQ37" i="18"/>
  <c r="AR35" i="9"/>
  <c r="EC35" i="9"/>
  <c r="K35" i="9"/>
  <c r="A37" i="12"/>
  <c r="BG37" i="18"/>
  <c r="X35" i="9"/>
  <c r="AO37" i="7"/>
  <c r="A176" i="13"/>
  <c r="A227" i="13" s="1"/>
  <c r="DX35" i="9"/>
  <c r="BB35" i="9"/>
  <c r="BH37" i="7" s="1"/>
  <c r="DQ35" i="9"/>
  <c r="I48" i="10"/>
  <c r="F15" i="4" l="1"/>
  <c r="M12" i="8"/>
  <c r="O12" i="8" s="1"/>
  <c r="BG99" i="18"/>
  <c r="BQ99" i="18"/>
  <c r="CA99" i="18"/>
  <c r="CA97" i="9"/>
  <c r="BZ97" i="9" s="1"/>
  <c r="BZ35" i="9"/>
  <c r="AI289" i="6"/>
  <c r="AH289" i="6"/>
  <c r="B176" i="13"/>
  <c r="C227" i="13" s="1"/>
  <c r="D37" i="12"/>
  <c r="D97" i="13"/>
  <c r="D127" i="13" s="1"/>
  <c r="C14" i="13" s="1"/>
  <c r="A267" i="13"/>
  <c r="D76" i="13" s="1"/>
  <c r="K76" i="13" s="1"/>
  <c r="AP37" i="18"/>
  <c r="AE37" i="18"/>
  <c r="AD37" i="18"/>
  <c r="B20" i="17"/>
  <c r="C20" i="17"/>
  <c r="F20" i="17" s="1"/>
  <c r="H86" i="5"/>
  <c r="A86" i="5"/>
  <c r="U19" i="5"/>
  <c r="B485" i="6"/>
  <c r="Q19" i="5"/>
  <c r="S19" i="5" s="1"/>
  <c r="B86" i="5"/>
  <c r="A153" i="5"/>
  <c r="D86" i="5"/>
  <c r="AP37" i="7"/>
  <c r="AQ37" i="7"/>
  <c r="K39" i="4"/>
  <c r="N17" i="4"/>
  <c r="AV17" i="6"/>
  <c r="D13" i="8"/>
  <c r="T13" i="8"/>
  <c r="R13" i="18"/>
  <c r="S13" i="18" s="1"/>
  <c r="E16" i="18" s="1"/>
  <c r="X159" i="9"/>
  <c r="X221" i="9" s="1"/>
  <c r="X97" i="9"/>
  <c r="EH97" i="9" s="1"/>
  <c r="AH159" i="9"/>
  <c r="J18" i="4"/>
  <c r="AN18" i="6"/>
  <c r="A21" i="17"/>
  <c r="A46" i="10"/>
  <c r="EH33" i="9" s="1"/>
  <c r="A20" i="5"/>
  <c r="A439" i="6"/>
  <c r="AG290" i="6"/>
  <c r="CA34" i="9"/>
  <c r="BL34" i="9"/>
  <c r="A36" i="12"/>
  <c r="A175" i="13"/>
  <c r="A226" i="13" s="1"/>
  <c r="AC36" i="18"/>
  <c r="AW36" i="18"/>
  <c r="AW98" i="18" s="1"/>
  <c r="AO36" i="7"/>
  <c r="BB34" i="9"/>
  <c r="BH36" i="7" s="1"/>
  <c r="AH34" i="9"/>
  <c r="AR34" i="9"/>
  <c r="BQ36" i="18"/>
  <c r="DQ34" i="9"/>
  <c r="EC34" i="9"/>
  <c r="BG36" i="18"/>
  <c r="X34" i="9"/>
  <c r="DB34" i="9"/>
  <c r="K34" i="9"/>
  <c r="DX34" i="9"/>
  <c r="CA36" i="18"/>
  <c r="I47" i="10"/>
  <c r="BB223" i="9"/>
  <c r="CA223" i="9"/>
  <c r="BZ223" i="9" s="1"/>
  <c r="AR223" i="9"/>
  <c r="BL223" i="9"/>
  <c r="BL160" i="9"/>
  <c r="BB160" i="9"/>
  <c r="AR160" i="9"/>
  <c r="AH222" i="9"/>
  <c r="CA160" i="9"/>
  <c r="BZ160" i="9" s="1"/>
  <c r="AM472" i="6"/>
  <c r="AM496" i="6" s="1"/>
  <c r="AF38" i="18"/>
  <c r="AG38" i="18"/>
  <c r="AO302" i="7"/>
  <c r="AO63" i="7"/>
  <c r="AO323" i="7"/>
  <c r="AO195" i="7"/>
  <c r="AO239" i="7" s="1"/>
  <c r="AU232" i="7" s="1"/>
  <c r="D46" i="8"/>
  <c r="I33" i="8"/>
  <c r="B17" i="18"/>
  <c r="P14" i="18"/>
  <c r="R14" i="18" s="1"/>
  <c r="O14" i="18"/>
  <c r="N15" i="18"/>
  <c r="G92" i="8"/>
  <c r="CY14" i="9" s="1"/>
  <c r="D34" i="8"/>
  <c r="EC98" i="9"/>
  <c r="AR98" i="9"/>
  <c r="AH98" i="9"/>
  <c r="BL98" i="9" s="1"/>
  <c r="DX98" i="9"/>
  <c r="DQ98" i="9"/>
  <c r="BB98" i="9"/>
  <c r="AR38" i="7"/>
  <c r="AS38" i="7"/>
  <c r="M13" i="8" l="1"/>
  <c r="O13" i="8" s="1"/>
  <c r="AR37" i="7"/>
  <c r="AO300" i="7" s="1"/>
  <c r="O15" i="18"/>
  <c r="B18" i="18"/>
  <c r="N16" i="18"/>
  <c r="Q16" i="18" s="1"/>
  <c r="P15" i="18"/>
  <c r="X158" i="9"/>
  <c r="X220" i="9" s="1"/>
  <c r="AH158" i="9"/>
  <c r="X96" i="9"/>
  <c r="EH96" i="9" s="1"/>
  <c r="AP36" i="7"/>
  <c r="AQ36" i="7"/>
  <c r="A440" i="6"/>
  <c r="J19" i="4"/>
  <c r="AN19" i="6"/>
  <c r="A21" i="5"/>
  <c r="A45" i="10"/>
  <c r="EH32" i="9" s="1"/>
  <c r="AG291" i="6"/>
  <c r="A22" i="17"/>
  <c r="G93" i="8"/>
  <c r="CY13" i="9" s="1"/>
  <c r="D35" i="8"/>
  <c r="AM473" i="6"/>
  <c r="AM495" i="6" s="1"/>
  <c r="AO301" i="7"/>
  <c r="AO62" i="7"/>
  <c r="AO194" i="7"/>
  <c r="AO238" i="7" s="1"/>
  <c r="AU233" i="7" s="1"/>
  <c r="AO322" i="7"/>
  <c r="I34" i="8"/>
  <c r="D47" i="8"/>
  <c r="Q15" i="18"/>
  <c r="CA222" i="9"/>
  <c r="BZ222" i="9" s="1"/>
  <c r="AR222" i="9"/>
  <c r="BB222" i="9"/>
  <c r="BL222" i="9"/>
  <c r="CA98" i="18"/>
  <c r="BQ98" i="18"/>
  <c r="BG98" i="18"/>
  <c r="A87" i="5"/>
  <c r="U20" i="5"/>
  <c r="B486" i="6"/>
  <c r="B87" i="5"/>
  <c r="H87" i="5"/>
  <c r="Q20" i="5"/>
  <c r="S20" i="5" s="1"/>
  <c r="D87" i="5"/>
  <c r="A154" i="5"/>
  <c r="K40" i="4"/>
  <c r="N18" i="4"/>
  <c r="AV18" i="6"/>
  <c r="C17" i="4" s="1"/>
  <c r="U17" i="4" s="1"/>
  <c r="C16" i="4"/>
  <c r="U16" i="4" s="1"/>
  <c r="D14" i="8"/>
  <c r="T14" i="8"/>
  <c r="AE36" i="18"/>
  <c r="AD36" i="18"/>
  <c r="AP36" i="18"/>
  <c r="CA96" i="9"/>
  <c r="BZ96" i="9" s="1"/>
  <c r="BZ34" i="9"/>
  <c r="CA33" i="9"/>
  <c r="BL33" i="9"/>
  <c r="X33" i="9"/>
  <c r="A35" i="12"/>
  <c r="DX33" i="9"/>
  <c r="AC35" i="18"/>
  <c r="BB33" i="9"/>
  <c r="BH35" i="7" s="1"/>
  <c r="CA35" i="18"/>
  <c r="AR33" i="9"/>
  <c r="BQ35" i="18"/>
  <c r="A174" i="13"/>
  <c r="A225" i="13" s="1"/>
  <c r="BG35" i="18"/>
  <c r="DB33" i="9"/>
  <c r="EC33" i="9"/>
  <c r="AW35" i="18"/>
  <c r="AW97" i="18" s="1"/>
  <c r="AO35" i="7"/>
  <c r="DQ33" i="9"/>
  <c r="K33" i="9"/>
  <c r="AH33" i="9"/>
  <c r="I46" i="10"/>
  <c r="CA159" i="9"/>
  <c r="BZ159" i="9" s="1"/>
  <c r="AR159" i="9"/>
  <c r="BL159" i="9"/>
  <c r="BB159" i="9"/>
  <c r="AH221" i="9"/>
  <c r="AG37" i="18"/>
  <c r="AF37" i="18"/>
  <c r="S14" i="18"/>
  <c r="E17" i="18" s="1"/>
  <c r="D36" i="12"/>
  <c r="B175" i="13"/>
  <c r="C226" i="13" s="1"/>
  <c r="D98" i="13"/>
  <c r="D128" i="13" s="1"/>
  <c r="C15" i="13" s="1"/>
  <c r="A266" i="13"/>
  <c r="D75" i="13" s="1"/>
  <c r="K75" i="13" s="1"/>
  <c r="AI290" i="6"/>
  <c r="AH290" i="6"/>
  <c r="B21" i="17"/>
  <c r="C21" i="17"/>
  <c r="F21" i="17" s="1"/>
  <c r="DX97" i="9"/>
  <c r="DQ97" i="9"/>
  <c r="AH97" i="9"/>
  <c r="BL97" i="9" s="1"/>
  <c r="EC97" i="9"/>
  <c r="AR97" i="9"/>
  <c r="BB97" i="9"/>
  <c r="F17" i="4" l="1"/>
  <c r="M14" i="8"/>
  <c r="O14" i="8" s="1"/>
  <c r="AO321" i="7"/>
  <c r="AO61" i="7"/>
  <c r="AO193" i="7"/>
  <c r="AO237" i="7" s="1"/>
  <c r="AU234" i="7" s="1"/>
  <c r="AJ290" i="6"/>
  <c r="AO103" i="7" s="1"/>
  <c r="AW103" i="7" s="1"/>
  <c r="AV19" i="6"/>
  <c r="C18" i="4" s="1"/>
  <c r="U18" i="4" s="1"/>
  <c r="D15" i="8"/>
  <c r="T15" i="8"/>
  <c r="B88" i="5"/>
  <c r="A88" i="5"/>
  <c r="A155" i="5"/>
  <c r="D88" i="5"/>
  <c r="H88" i="5"/>
  <c r="Q21" i="5"/>
  <c r="S21" i="5" s="1"/>
  <c r="B487" i="6"/>
  <c r="U21" i="5"/>
  <c r="CA97" i="18"/>
  <c r="BQ97" i="18"/>
  <c r="BG97" i="18"/>
  <c r="D99" i="13"/>
  <c r="D129" i="13" s="1"/>
  <c r="C16" i="13" s="1"/>
  <c r="A265" i="13"/>
  <c r="D74" i="13" s="1"/>
  <c r="K74" i="13" s="1"/>
  <c r="X95" i="9"/>
  <c r="EH95" i="9" s="1"/>
  <c r="X157" i="9"/>
  <c r="X219" i="9" s="1"/>
  <c r="AH157" i="9"/>
  <c r="AM474" i="6"/>
  <c r="AM494" i="6" s="1"/>
  <c r="C486" i="6" s="1"/>
  <c r="J87" i="5" s="1"/>
  <c r="C22" i="17"/>
  <c r="F22" i="17" s="1"/>
  <c r="B22" i="17"/>
  <c r="A441" i="6"/>
  <c r="A22" i="5"/>
  <c r="AN20" i="6"/>
  <c r="J20" i="4"/>
  <c r="AG292" i="6"/>
  <c r="A44" i="10"/>
  <c r="EH31" i="9" s="1"/>
  <c r="A23" i="17"/>
  <c r="AR36" i="7"/>
  <c r="B19" i="18"/>
  <c r="P16" i="18"/>
  <c r="R16" i="18" s="1"/>
  <c r="N17" i="18"/>
  <c r="Q17" i="18" s="1"/>
  <c r="O16" i="18"/>
  <c r="B174" i="13"/>
  <c r="C225" i="13" s="1"/>
  <c r="D35" i="12"/>
  <c r="AP35" i="7"/>
  <c r="AQ35" i="7"/>
  <c r="AP35" i="18"/>
  <c r="AD35" i="18"/>
  <c r="AE35" i="18"/>
  <c r="G94" i="8"/>
  <c r="CY12" i="9" s="1"/>
  <c r="D36" i="8"/>
  <c r="I35" i="8"/>
  <c r="D48" i="8"/>
  <c r="AH291" i="6"/>
  <c r="AI291" i="6"/>
  <c r="K41" i="4"/>
  <c r="N19" i="4"/>
  <c r="DQ96" i="9"/>
  <c r="AR96" i="9"/>
  <c r="BB96" i="9"/>
  <c r="AH96" i="9"/>
  <c r="BL96" i="9" s="1"/>
  <c r="EC96" i="9"/>
  <c r="DX96" i="9"/>
  <c r="CA221" i="9"/>
  <c r="BZ221" i="9" s="1"/>
  <c r="BB221" i="9"/>
  <c r="AR221" i="9"/>
  <c r="BL221" i="9"/>
  <c r="CA95" i="9"/>
  <c r="BZ95" i="9" s="1"/>
  <c r="BZ33" i="9"/>
  <c r="AG36" i="18"/>
  <c r="AF36" i="18"/>
  <c r="F16" i="4"/>
  <c r="CA32" i="9"/>
  <c r="BL32" i="9"/>
  <c r="CA34" i="18"/>
  <c r="BQ34" i="18"/>
  <c r="BB32" i="9"/>
  <c r="BH34" i="7" s="1"/>
  <c r="AH32" i="9"/>
  <c r="BG34" i="18"/>
  <c r="AR32" i="9"/>
  <c r="DB32" i="9"/>
  <c r="K32" i="9"/>
  <c r="AW34" i="18"/>
  <c r="AW96" i="18" s="1"/>
  <c r="AO34" i="7"/>
  <c r="A173" i="13"/>
  <c r="A224" i="13" s="1"/>
  <c r="A34" i="12"/>
  <c r="AC34" i="18"/>
  <c r="DX32" i="9"/>
  <c r="X32" i="9"/>
  <c r="EC32" i="9"/>
  <c r="DQ32" i="9"/>
  <c r="I45" i="10"/>
  <c r="AH220" i="9"/>
  <c r="BB158" i="9"/>
  <c r="CA158" i="9"/>
  <c r="BZ158" i="9" s="1"/>
  <c r="BL158" i="9"/>
  <c r="AR158" i="9"/>
  <c r="R15" i="18"/>
  <c r="S15" i="18" s="1"/>
  <c r="E18" i="18" s="1"/>
  <c r="F18" i="4" l="1"/>
  <c r="M15" i="8"/>
  <c r="O15" i="8" s="1"/>
  <c r="BG96" i="18"/>
  <c r="CA96" i="18"/>
  <c r="BQ96" i="18"/>
  <c r="CA31" i="9"/>
  <c r="BL31" i="9"/>
  <c r="AR31" i="9"/>
  <c r="DX31" i="9"/>
  <c r="BB31" i="9"/>
  <c r="BH33" i="7" s="1"/>
  <c r="BG33" i="18"/>
  <c r="DQ31" i="9"/>
  <c r="K31" i="9"/>
  <c r="AC33" i="18"/>
  <c r="AH31" i="9"/>
  <c r="AO33" i="7"/>
  <c r="DB31" i="9"/>
  <c r="AW33" i="18"/>
  <c r="AW95" i="18" s="1"/>
  <c r="A33" i="12"/>
  <c r="X31" i="9"/>
  <c r="A172" i="13"/>
  <c r="A223" i="13" s="1"/>
  <c r="BQ33" i="18"/>
  <c r="EC31" i="9"/>
  <c r="CA33" i="18"/>
  <c r="I44" i="10"/>
  <c r="A89" i="5"/>
  <c r="U22" i="5"/>
  <c r="H89" i="5"/>
  <c r="Q22" i="5"/>
  <c r="S22" i="5" s="1"/>
  <c r="B488" i="6"/>
  <c r="A156" i="5"/>
  <c r="B89" i="5"/>
  <c r="D89" i="5"/>
  <c r="AE34" i="18"/>
  <c r="AD34" i="18"/>
  <c r="AP34" i="18"/>
  <c r="AH292" i="6"/>
  <c r="AI292" i="6"/>
  <c r="C477" i="6"/>
  <c r="J78" i="5" s="1"/>
  <c r="L78" i="5" s="1"/>
  <c r="M78" i="5" s="1"/>
  <c r="C478" i="6"/>
  <c r="J79" i="5" s="1"/>
  <c r="C479" i="6"/>
  <c r="J80" i="5" s="1"/>
  <c r="C480" i="6"/>
  <c r="J81" i="5" s="1"/>
  <c r="C481" i="6"/>
  <c r="J82" i="5" s="1"/>
  <c r="C482" i="6"/>
  <c r="J83" i="5" s="1"/>
  <c r="C483" i="6"/>
  <c r="J84" i="5" s="1"/>
  <c r="C484" i="6"/>
  <c r="J85" i="5" s="1"/>
  <c r="C485" i="6"/>
  <c r="J86" i="5" s="1"/>
  <c r="DQ95" i="9"/>
  <c r="AR95" i="9"/>
  <c r="EC95" i="9"/>
  <c r="AH95" i="9"/>
  <c r="BL95" i="9" s="1"/>
  <c r="DX95" i="9"/>
  <c r="BB95" i="9"/>
  <c r="AM475" i="6"/>
  <c r="AM493" i="6" s="1"/>
  <c r="G95" i="8"/>
  <c r="CY11" i="9" s="1"/>
  <c r="AS35" i="7"/>
  <c r="AR35" i="7"/>
  <c r="N18" i="18"/>
  <c r="Q18" i="18" s="1"/>
  <c r="B20" i="18"/>
  <c r="P17" i="18"/>
  <c r="R17" i="18" s="1"/>
  <c r="O17" i="18"/>
  <c r="AO320" i="7"/>
  <c r="AO299" i="7"/>
  <c r="AO60" i="7"/>
  <c r="AO192" i="7"/>
  <c r="AO236" i="7" s="1"/>
  <c r="AU235" i="7" s="1"/>
  <c r="K42" i="4"/>
  <c r="N20" i="4"/>
  <c r="AR220" i="9"/>
  <c r="CA220" i="9"/>
  <c r="BZ220" i="9" s="1"/>
  <c r="BB220" i="9"/>
  <c r="BL220" i="9"/>
  <c r="AH156" i="9"/>
  <c r="X156" i="9"/>
  <c r="X218" i="9" s="1"/>
  <c r="X94" i="9"/>
  <c r="EH94" i="9" s="1"/>
  <c r="A264" i="13"/>
  <c r="D73" i="13" s="1"/>
  <c r="K73" i="13" s="1"/>
  <c r="D100" i="13"/>
  <c r="D130" i="13" s="1"/>
  <c r="C17" i="13" s="1"/>
  <c r="CA94" i="9"/>
  <c r="BZ94" i="9" s="1"/>
  <c r="BZ32" i="9"/>
  <c r="D49" i="8"/>
  <c r="I36" i="8"/>
  <c r="AG35" i="18"/>
  <c r="AF35" i="18"/>
  <c r="D34" i="12"/>
  <c r="B173" i="13"/>
  <c r="C224" i="13" s="1"/>
  <c r="AP34" i="7"/>
  <c r="AQ34" i="7"/>
  <c r="S16" i="18"/>
  <c r="E19" i="18" s="1"/>
  <c r="C23" i="17"/>
  <c r="F23" i="17" s="1"/>
  <c r="B23" i="17"/>
  <c r="A442" i="6"/>
  <c r="AG293" i="6"/>
  <c r="AN21" i="6"/>
  <c r="A23" i="5"/>
  <c r="A24" i="17"/>
  <c r="A43" i="10"/>
  <c r="EH30" i="9" s="1"/>
  <c r="CA157" i="9"/>
  <c r="BZ157" i="9" s="1"/>
  <c r="BB157" i="9"/>
  <c r="AR157" i="9"/>
  <c r="AH219" i="9"/>
  <c r="BL157" i="9"/>
  <c r="T16" i="8"/>
  <c r="AV20" i="6"/>
  <c r="C19" i="4" s="1"/>
  <c r="U19" i="4" s="1"/>
  <c r="D16" i="8"/>
  <c r="F19" i="4" l="1"/>
  <c r="M16" i="8"/>
  <c r="O16" i="8" s="1"/>
  <c r="AF34" i="18"/>
  <c r="G96" i="8"/>
  <c r="CY10" i="9" s="1"/>
  <c r="A25" i="17"/>
  <c r="A24" i="5"/>
  <c r="A42" i="10"/>
  <c r="EH29" i="9" s="1"/>
  <c r="AN22" i="6"/>
  <c r="AG294" i="6"/>
  <c r="A443" i="6"/>
  <c r="CA219" i="9"/>
  <c r="BZ219" i="9" s="1"/>
  <c r="BB219" i="9"/>
  <c r="AR219" i="9"/>
  <c r="BL219" i="9"/>
  <c r="AI293" i="6"/>
  <c r="AH293" i="6"/>
  <c r="B90" i="5"/>
  <c r="U23" i="5"/>
  <c r="D90" i="5"/>
  <c r="B489" i="6"/>
  <c r="A90" i="5"/>
  <c r="H90" i="5"/>
  <c r="AR34" i="7"/>
  <c r="AV21" i="6"/>
  <c r="C20" i="4" s="1"/>
  <c r="F20" i="4" s="1"/>
  <c r="D17" i="8"/>
  <c r="T17" i="8"/>
  <c r="CA30" i="9"/>
  <c r="BL30" i="9"/>
  <c r="DX30" i="9"/>
  <c r="DQ30" i="9"/>
  <c r="BB30" i="9"/>
  <c r="BH32" i="7" s="1"/>
  <c r="DB30" i="9"/>
  <c r="AH30" i="9"/>
  <c r="AO32" i="7"/>
  <c r="AR30" i="9"/>
  <c r="X30" i="9"/>
  <c r="A32" i="12"/>
  <c r="AC32" i="18"/>
  <c r="A171" i="13"/>
  <c r="A222" i="13" s="1"/>
  <c r="CA32" i="18"/>
  <c r="AW32" i="18"/>
  <c r="AW94" i="18" s="1"/>
  <c r="BG32" i="18"/>
  <c r="BQ32" i="18"/>
  <c r="K30" i="9"/>
  <c r="EC30" i="9"/>
  <c r="I43" i="10"/>
  <c r="O18" i="18"/>
  <c r="P18" i="18"/>
  <c r="R18" i="18" s="1"/>
  <c r="N19" i="18"/>
  <c r="B21" i="18"/>
  <c r="B172" i="13"/>
  <c r="C223" i="13" s="1"/>
  <c r="D33" i="12"/>
  <c r="A263" i="13"/>
  <c r="D72" i="13" s="1"/>
  <c r="K72" i="13" s="1"/>
  <c r="D101" i="13"/>
  <c r="D131" i="13" s="1"/>
  <c r="C18" i="13" s="1"/>
  <c r="B24" i="17"/>
  <c r="C24" i="17"/>
  <c r="F24" i="17" s="1"/>
  <c r="BB156" i="9"/>
  <c r="AR156" i="9"/>
  <c r="BL156" i="9"/>
  <c r="CA156" i="9"/>
  <c r="BZ156" i="9" s="1"/>
  <c r="AH218" i="9"/>
  <c r="S17" i="18"/>
  <c r="E20" i="18" s="1"/>
  <c r="AO298" i="7"/>
  <c r="AO191" i="7"/>
  <c r="AO235" i="7" s="1"/>
  <c r="AU236" i="7" s="1"/>
  <c r="AO319" i="7"/>
  <c r="AO59" i="7"/>
  <c r="AH155" i="9"/>
  <c r="X155" i="9"/>
  <c r="X217" i="9" s="1"/>
  <c r="X93" i="9"/>
  <c r="EH93" i="9" s="1"/>
  <c r="AQ33" i="7"/>
  <c r="AP33" i="7"/>
  <c r="AH94" i="9"/>
  <c r="BL94" i="9" s="1"/>
  <c r="EC94" i="9"/>
  <c r="DQ94" i="9"/>
  <c r="BB94" i="9"/>
  <c r="DX94" i="9"/>
  <c r="AR94" i="9"/>
  <c r="AM476" i="6"/>
  <c r="AM492" i="6" s="1"/>
  <c r="BG95" i="18"/>
  <c r="CA95" i="18"/>
  <c r="BQ95" i="18"/>
  <c r="AP33" i="18"/>
  <c r="AE33" i="18"/>
  <c r="AD33" i="18"/>
  <c r="CA93" i="9"/>
  <c r="BZ93" i="9" s="1"/>
  <c r="BZ31" i="9"/>
  <c r="U20" i="4" l="1"/>
  <c r="M17" i="8"/>
  <c r="O17" i="8" s="1"/>
  <c r="AR33" i="7"/>
  <c r="AO57" i="7" s="1"/>
  <c r="AF33" i="18"/>
  <c r="BB155" i="9"/>
  <c r="AR155" i="9"/>
  <c r="BL155" i="9"/>
  <c r="CA155" i="9"/>
  <c r="BZ155" i="9" s="1"/>
  <c r="AH217" i="9"/>
  <c r="AH154" i="9"/>
  <c r="X92" i="9"/>
  <c r="EH92" i="9" s="1"/>
  <c r="X154" i="9"/>
  <c r="X216" i="9" s="1"/>
  <c r="D18" i="8"/>
  <c r="T18" i="8"/>
  <c r="AV22" i="6"/>
  <c r="B91" i="5"/>
  <c r="U24" i="5"/>
  <c r="A91" i="5"/>
  <c r="B490" i="6"/>
  <c r="D91" i="5"/>
  <c r="H91" i="5"/>
  <c r="P19" i="18"/>
  <c r="O19" i="18"/>
  <c r="B22" i="18"/>
  <c r="N20" i="18"/>
  <c r="Q20" i="18" s="1"/>
  <c r="D102" i="13"/>
  <c r="D132" i="13" s="1"/>
  <c r="C19" i="13" s="1"/>
  <c r="A262" i="13"/>
  <c r="D71" i="13" s="1"/>
  <c r="K71" i="13" s="1"/>
  <c r="CA92" i="9"/>
  <c r="BZ92" i="9" s="1"/>
  <c r="BZ30" i="9"/>
  <c r="AM477" i="6"/>
  <c r="AM491" i="6" s="1"/>
  <c r="AH294" i="6"/>
  <c r="AI294" i="6"/>
  <c r="C25" i="17"/>
  <c r="F25" i="17" s="1"/>
  <c r="B25" i="17"/>
  <c r="A25" i="5"/>
  <c r="A41" i="10"/>
  <c r="EH28" i="9" s="1"/>
  <c r="A26" i="17"/>
  <c r="AN23" i="6"/>
  <c r="AG295" i="6"/>
  <c r="A444" i="6"/>
  <c r="DQ93" i="9"/>
  <c r="AH93" i="9"/>
  <c r="BL93" i="9" s="1"/>
  <c r="DX93" i="9"/>
  <c r="EC93" i="9"/>
  <c r="BB93" i="9"/>
  <c r="AR93" i="9"/>
  <c r="S18" i="18"/>
  <c r="E21" i="18" s="1"/>
  <c r="B171" i="13"/>
  <c r="D32" i="12"/>
  <c r="AE32" i="18"/>
  <c r="AD32" i="18"/>
  <c r="AP32" i="18"/>
  <c r="AP32" i="7"/>
  <c r="AQ32" i="7"/>
  <c r="AO297" i="7"/>
  <c r="AO58" i="7"/>
  <c r="AO318" i="7"/>
  <c r="AO190" i="7"/>
  <c r="AO234" i="7" s="1"/>
  <c r="AU237" i="7" s="1"/>
  <c r="CA218" i="9"/>
  <c r="BZ218" i="9" s="1"/>
  <c r="BB218" i="9"/>
  <c r="AR218" i="9"/>
  <c r="BL218" i="9"/>
  <c r="Q19" i="18"/>
  <c r="BQ94" i="18"/>
  <c r="CA94" i="18"/>
  <c r="BG94" i="18"/>
  <c r="G97" i="8"/>
  <c r="CY9" i="9" s="1"/>
  <c r="CA29" i="9"/>
  <c r="BL29" i="9"/>
  <c r="BQ31" i="18"/>
  <c r="BB29" i="9"/>
  <c r="BH31" i="7" s="1"/>
  <c r="DQ29" i="9"/>
  <c r="A31" i="12"/>
  <c r="CA31" i="18"/>
  <c r="AR29" i="9"/>
  <c r="AW31" i="18"/>
  <c r="AW93" i="18" s="1"/>
  <c r="DX29" i="9"/>
  <c r="AO31" i="7"/>
  <c r="K29" i="9"/>
  <c r="EC29" i="9"/>
  <c r="BG31" i="18"/>
  <c r="X29" i="9"/>
  <c r="A170" i="13"/>
  <c r="A221" i="13" s="1"/>
  <c r="AH29" i="9"/>
  <c r="DB29" i="9"/>
  <c r="AC31" i="18"/>
  <c r="I42" i="10"/>
  <c r="C21" i="4" l="1"/>
  <c r="M18" i="8"/>
  <c r="O18" i="8" s="1"/>
  <c r="AO296" i="7"/>
  <c r="AO317" i="7"/>
  <c r="AO189" i="7"/>
  <c r="AO233" i="7" s="1"/>
  <c r="AU238" i="7" s="1"/>
  <c r="CA93" i="18"/>
  <c r="BQ93" i="18"/>
  <c r="BG93" i="18"/>
  <c r="CA91" i="9"/>
  <c r="BZ91" i="9" s="1"/>
  <c r="BZ29" i="9"/>
  <c r="C222" i="13"/>
  <c r="AI295" i="6"/>
  <c r="AH295" i="6"/>
  <c r="A27" i="17"/>
  <c r="A26" i="5"/>
  <c r="AN24" i="6"/>
  <c r="AG296" i="6"/>
  <c r="A40" i="10"/>
  <c r="EH27" i="9" s="1"/>
  <c r="A445" i="6"/>
  <c r="AM478" i="6"/>
  <c r="AM490" i="6" s="1"/>
  <c r="AF32" i="18"/>
  <c r="AG32" i="18"/>
  <c r="H92" i="5"/>
  <c r="A92" i="5"/>
  <c r="B491" i="6"/>
  <c r="B92" i="5"/>
  <c r="D92" i="5"/>
  <c r="U25" i="5"/>
  <c r="G98" i="8"/>
  <c r="CY8" i="9" s="1"/>
  <c r="B170" i="13"/>
  <c r="D31" i="12"/>
  <c r="D103" i="13"/>
  <c r="D133" i="13" s="1"/>
  <c r="C20" i="13" s="1"/>
  <c r="A261" i="13"/>
  <c r="D70" i="13" s="1"/>
  <c r="K70" i="13" s="1"/>
  <c r="AE31" i="18"/>
  <c r="AP31" i="18"/>
  <c r="AD31" i="18"/>
  <c r="X153" i="9"/>
  <c r="X215" i="9" s="1"/>
  <c r="X91" i="9"/>
  <c r="EH91" i="9" s="1"/>
  <c r="AH153" i="9"/>
  <c r="AP31" i="7"/>
  <c r="AQ31" i="7"/>
  <c r="AR32" i="7"/>
  <c r="AS32" i="7"/>
  <c r="B26" i="17"/>
  <c r="C26" i="17"/>
  <c r="F26" i="17" s="1"/>
  <c r="P20" i="18"/>
  <c r="R20" i="18" s="1"/>
  <c r="B23" i="18"/>
  <c r="N21" i="18"/>
  <c r="O20" i="18"/>
  <c r="R19" i="18"/>
  <c r="S19" i="18" s="1"/>
  <c r="E22" i="18" s="1"/>
  <c r="AV23" i="6"/>
  <c r="U22" i="4" s="1"/>
  <c r="D19" i="8"/>
  <c r="T19" i="8"/>
  <c r="DX92" i="9"/>
  <c r="AH92" i="9"/>
  <c r="BL92" i="9" s="1"/>
  <c r="BB92" i="9"/>
  <c r="EC92" i="9"/>
  <c r="AR92" i="9"/>
  <c r="DQ92" i="9"/>
  <c r="CA28" i="9"/>
  <c r="BL28" i="9"/>
  <c r="A169" i="13"/>
  <c r="A220" i="13" s="1"/>
  <c r="CA30" i="18"/>
  <c r="DQ28" i="9"/>
  <c r="X28" i="9"/>
  <c r="BB28" i="9"/>
  <c r="BH30" i="7" s="1"/>
  <c r="DB28" i="9"/>
  <c r="BG30" i="18"/>
  <c r="AC30" i="18"/>
  <c r="A30" i="12"/>
  <c r="EC28" i="9"/>
  <c r="AO30" i="7"/>
  <c r="AH28" i="9"/>
  <c r="AR28" i="9"/>
  <c r="DX28" i="9"/>
  <c r="K28" i="9"/>
  <c r="AW30" i="18"/>
  <c r="AW92" i="18" s="1"/>
  <c r="BQ30" i="18"/>
  <c r="I41" i="10"/>
  <c r="AH216" i="9"/>
  <c r="BL154" i="9"/>
  <c r="BB154" i="9"/>
  <c r="CA154" i="9"/>
  <c r="BZ154" i="9" s="1"/>
  <c r="AR154" i="9"/>
  <c r="CA217" i="9"/>
  <c r="BZ217" i="9" s="1"/>
  <c r="BB217" i="9"/>
  <c r="AR217" i="9"/>
  <c r="BL217" i="9"/>
  <c r="F21" i="4" l="1"/>
  <c r="U21" i="4"/>
  <c r="M19" i="8"/>
  <c r="O19" i="8" s="1"/>
  <c r="O21" i="18"/>
  <c r="P21" i="18"/>
  <c r="N22" i="18"/>
  <c r="B24" i="18"/>
  <c r="AR31" i="7"/>
  <c r="AF31" i="18"/>
  <c r="AI296" i="6"/>
  <c r="AH296" i="6"/>
  <c r="C221" i="13"/>
  <c r="AM479" i="6"/>
  <c r="AM489" i="6" s="1"/>
  <c r="CA27" i="9"/>
  <c r="BL27" i="9"/>
  <c r="CA29" i="18"/>
  <c r="AO29" i="7"/>
  <c r="AR27" i="9"/>
  <c r="A168" i="13"/>
  <c r="A219" i="13" s="1"/>
  <c r="AH27" i="9"/>
  <c r="BB27" i="9"/>
  <c r="BH29" i="7" s="1"/>
  <c r="BQ29" i="18"/>
  <c r="K27" i="9"/>
  <c r="AW29" i="18"/>
  <c r="AW91" i="18" s="1"/>
  <c r="AC29" i="18"/>
  <c r="DX27" i="9"/>
  <c r="X27" i="9"/>
  <c r="BG29" i="18"/>
  <c r="A29" i="12"/>
  <c r="EC27" i="9"/>
  <c r="DQ27" i="9"/>
  <c r="DB27" i="9"/>
  <c r="I40" i="10"/>
  <c r="C27" i="17"/>
  <c r="F27" i="17" s="1"/>
  <c r="B27" i="17"/>
  <c r="BL216" i="9"/>
  <c r="AR216" i="9"/>
  <c r="CA216" i="9"/>
  <c r="BZ216" i="9" s="1"/>
  <c r="BB216" i="9"/>
  <c r="D30" i="12"/>
  <c r="B169" i="13"/>
  <c r="A260" i="13"/>
  <c r="D69" i="13" s="1"/>
  <c r="K69" i="13" s="1"/>
  <c r="D104" i="13"/>
  <c r="D134" i="13" s="1"/>
  <c r="C21" i="13" s="1"/>
  <c r="S20" i="18"/>
  <c r="E23" i="18" s="1"/>
  <c r="CA153" i="9"/>
  <c r="BZ153" i="9" s="1"/>
  <c r="BL153" i="9"/>
  <c r="AR153" i="9"/>
  <c r="BB153" i="9"/>
  <c r="AH215" i="9"/>
  <c r="A446" i="6"/>
  <c r="A39" i="10"/>
  <c r="EH26" i="9" s="1"/>
  <c r="A27" i="5"/>
  <c r="AG297" i="6"/>
  <c r="AN25" i="6"/>
  <c r="A28" i="17"/>
  <c r="AP30" i="7"/>
  <c r="AQ30" i="7"/>
  <c r="CA90" i="9"/>
  <c r="BZ90" i="9" s="1"/>
  <c r="BZ28" i="9"/>
  <c r="D20" i="8"/>
  <c r="G100" i="8" s="1"/>
  <c r="CY6" i="9" s="1"/>
  <c r="AV24" i="6"/>
  <c r="T20" i="8"/>
  <c r="BG92" i="18"/>
  <c r="BQ92" i="18"/>
  <c r="CA92" i="18"/>
  <c r="AE30" i="18"/>
  <c r="AP30" i="18"/>
  <c r="AD30" i="18"/>
  <c r="X90" i="9"/>
  <c r="EH90" i="9" s="1"/>
  <c r="AH152" i="9"/>
  <c r="X152" i="9"/>
  <c r="X214" i="9" s="1"/>
  <c r="G99" i="8"/>
  <c r="CY7" i="9" s="1"/>
  <c r="Q21" i="18"/>
  <c r="AO56" i="7"/>
  <c r="AO295" i="7"/>
  <c r="AO316" i="7"/>
  <c r="AO188" i="7"/>
  <c r="AO232" i="7" s="1"/>
  <c r="AU239" i="7" s="1"/>
  <c r="AR91" i="9"/>
  <c r="BB91" i="9"/>
  <c r="AH91" i="9"/>
  <c r="BL91" i="9" s="1"/>
  <c r="EC91" i="9"/>
  <c r="DX91" i="9"/>
  <c r="DQ91" i="9"/>
  <c r="B93" i="5"/>
  <c r="U26" i="5"/>
  <c r="D93" i="5"/>
  <c r="H93" i="5"/>
  <c r="B492" i="6"/>
  <c r="A93" i="5"/>
  <c r="D21" i="8" l="1"/>
  <c r="G101" i="8" s="1"/>
  <c r="CY5" i="9" s="1"/>
  <c r="T21" i="8"/>
  <c r="AV25" i="6"/>
  <c r="B493" i="6"/>
  <c r="H94" i="5"/>
  <c r="A94" i="5"/>
  <c r="U27" i="5"/>
  <c r="B94" i="5"/>
  <c r="D94" i="5"/>
  <c r="CA215" i="9"/>
  <c r="BZ215" i="9" s="1"/>
  <c r="BL215" i="9"/>
  <c r="BB215" i="9"/>
  <c r="AR215" i="9"/>
  <c r="C220" i="13"/>
  <c r="CA91" i="18"/>
  <c r="BQ91" i="18"/>
  <c r="BG91" i="18"/>
  <c r="C487" i="6"/>
  <c r="J88" i="5" s="1"/>
  <c r="C488" i="6"/>
  <c r="J89" i="5" s="1"/>
  <c r="C489" i="6"/>
  <c r="J90" i="5" s="1"/>
  <c r="C490" i="6"/>
  <c r="J91" i="5" s="1"/>
  <c r="O22" i="18"/>
  <c r="B25" i="18"/>
  <c r="P22" i="18"/>
  <c r="N23" i="18"/>
  <c r="Q23" i="18" s="1"/>
  <c r="BB90" i="9"/>
  <c r="DX90" i="9"/>
  <c r="DQ90" i="9"/>
  <c r="AR90" i="9"/>
  <c r="EC90" i="9"/>
  <c r="AH90" i="9"/>
  <c r="BL90" i="9" s="1"/>
  <c r="AR30" i="7"/>
  <c r="C28" i="17"/>
  <c r="F28" i="17" s="1"/>
  <c r="B28" i="17"/>
  <c r="CA26" i="9"/>
  <c r="BL26" i="9"/>
  <c r="DQ26" i="9"/>
  <c r="CA28" i="18"/>
  <c r="AW28" i="18"/>
  <c r="AW90" i="18" s="1"/>
  <c r="K26" i="9"/>
  <c r="A28" i="12"/>
  <c r="EC26" i="9"/>
  <c r="AR26" i="9"/>
  <c r="X26" i="9"/>
  <c r="A167" i="13"/>
  <c r="A218" i="13" s="1"/>
  <c r="DB26" i="9"/>
  <c r="AH26" i="9"/>
  <c r="BQ28" i="18"/>
  <c r="BG28" i="18"/>
  <c r="AO28" i="7"/>
  <c r="DX26" i="9"/>
  <c r="AC28" i="18"/>
  <c r="BB26" i="9"/>
  <c r="BH28" i="7" s="1"/>
  <c r="I39" i="10"/>
  <c r="AH151" i="9"/>
  <c r="X151" i="9"/>
  <c r="X213" i="9" s="1"/>
  <c r="X89" i="9"/>
  <c r="EH89" i="9" s="1"/>
  <c r="A259" i="13"/>
  <c r="D68" i="13" s="1"/>
  <c r="K68" i="13" s="1"/>
  <c r="D105" i="13"/>
  <c r="D135" i="13" s="1"/>
  <c r="C22" i="13" s="1"/>
  <c r="Q22" i="18"/>
  <c r="BB152" i="9"/>
  <c r="BL152" i="9"/>
  <c r="AR152" i="9"/>
  <c r="AH214" i="9"/>
  <c r="CA152" i="9"/>
  <c r="BZ152" i="9" s="1"/>
  <c r="AO187" i="7"/>
  <c r="AO231" i="7" s="1"/>
  <c r="AU240" i="7" s="1"/>
  <c r="AO294" i="7"/>
  <c r="AO55" i="7"/>
  <c r="AO315" i="7"/>
  <c r="R21" i="18"/>
  <c r="S21" i="18" s="1"/>
  <c r="E24" i="18" s="1"/>
  <c r="Q25" i="8"/>
  <c r="AF30" i="18"/>
  <c r="A28" i="5"/>
  <c r="A447" i="6"/>
  <c r="AG298" i="6"/>
  <c r="AN26" i="6"/>
  <c r="A29" i="5" s="1"/>
  <c r="U29" i="5" s="1"/>
  <c r="A38" i="10"/>
  <c r="EH25" i="9" s="1"/>
  <c r="A29" i="17"/>
  <c r="CA89" i="9"/>
  <c r="BZ89" i="9" s="1"/>
  <c r="BZ27" i="9"/>
  <c r="AM480" i="6"/>
  <c r="AM488" i="6" s="1"/>
  <c r="AH297" i="6"/>
  <c r="AI297" i="6"/>
  <c r="D29" i="12"/>
  <c r="B168" i="13"/>
  <c r="AE29" i="18"/>
  <c r="AD29" i="18"/>
  <c r="AP29" i="18"/>
  <c r="AQ29" i="7"/>
  <c r="AP29" i="7"/>
  <c r="C491" i="6"/>
  <c r="J92" i="5" s="1"/>
  <c r="D31" i="4" l="1"/>
  <c r="C29" i="17"/>
  <c r="F29" i="17" s="1"/>
  <c r="B29" i="17"/>
  <c r="AR29" i="7"/>
  <c r="AS29" i="7"/>
  <c r="CA25" i="9"/>
  <c r="BL25" i="9"/>
  <c r="A27" i="12"/>
  <c r="X25" i="9"/>
  <c r="DX25" i="9"/>
  <c r="BQ27" i="18"/>
  <c r="DB25" i="9"/>
  <c r="AH25" i="9"/>
  <c r="A166" i="13"/>
  <c r="A217" i="13" s="1"/>
  <c r="AO27" i="7"/>
  <c r="CA27" i="18"/>
  <c r="AR25" i="9"/>
  <c r="EC25" i="9"/>
  <c r="BG27" i="18"/>
  <c r="AC27" i="18"/>
  <c r="BB25" i="9"/>
  <c r="BH27" i="7" s="1"/>
  <c r="K25" i="9"/>
  <c r="AW27" i="18"/>
  <c r="AW89" i="18" s="1"/>
  <c r="DQ25" i="9"/>
  <c r="I38" i="10"/>
  <c r="D95" i="5"/>
  <c r="D96" i="5" s="1"/>
  <c r="U28" i="5"/>
  <c r="A95" i="5"/>
  <c r="H95" i="5"/>
  <c r="H96" i="5" s="1"/>
  <c r="B95" i="5"/>
  <c r="B96" i="5" s="1"/>
  <c r="B494" i="6"/>
  <c r="AR214" i="9"/>
  <c r="CA214" i="9"/>
  <c r="BZ214" i="9" s="1"/>
  <c r="BB214" i="9"/>
  <c r="BL214" i="9"/>
  <c r="AR151" i="9"/>
  <c r="BL151" i="9"/>
  <c r="CA151" i="9"/>
  <c r="BZ151" i="9" s="1"/>
  <c r="AH213" i="9"/>
  <c r="BB151" i="9"/>
  <c r="BG90" i="18"/>
  <c r="BQ90" i="18"/>
  <c r="CA90" i="18"/>
  <c r="CA88" i="9"/>
  <c r="BZ88" i="9" s="1"/>
  <c r="BZ26" i="9"/>
  <c r="D22" i="8"/>
  <c r="G102" i="8" s="1"/>
  <c r="CY4" i="9" s="1"/>
  <c r="AV26" i="6"/>
  <c r="AV27" i="6" s="1"/>
  <c r="AV28" i="6" s="1"/>
  <c r="AV29" i="6" s="1"/>
  <c r="AV30" i="6" s="1"/>
  <c r="AV31" i="6" s="1"/>
  <c r="AV32" i="6" s="1"/>
  <c r="AV33" i="6" s="1"/>
  <c r="AV34" i="6" s="1"/>
  <c r="AV35" i="6" s="1"/>
  <c r="AV36" i="6" s="1"/>
  <c r="AV37" i="6" s="1"/>
  <c r="AV38" i="6" s="1"/>
  <c r="AV39" i="6" s="1"/>
  <c r="AV40" i="6" s="1"/>
  <c r="AV41" i="6" s="1"/>
  <c r="AV42" i="6" s="1"/>
  <c r="AV43" i="6" s="1"/>
  <c r="T22" i="8"/>
  <c r="AP28" i="18"/>
  <c r="AE28" i="18"/>
  <c r="AD28" i="18"/>
  <c r="X88" i="9"/>
  <c r="EH88" i="9" s="1"/>
  <c r="AH150" i="9"/>
  <c r="X150" i="9"/>
  <c r="X212" i="9" s="1"/>
  <c r="A448" i="6"/>
  <c r="A37" i="10"/>
  <c r="EH24" i="9" s="1"/>
  <c r="AG299" i="6"/>
  <c r="A30" i="17"/>
  <c r="AN27" i="6"/>
  <c r="A30" i="5" s="1"/>
  <c r="U30" i="5" s="1"/>
  <c r="D28" i="12"/>
  <c r="B167" i="13"/>
  <c r="AP28" i="7"/>
  <c r="AQ28" i="7"/>
  <c r="AO186" i="7"/>
  <c r="AO230" i="7" s="1"/>
  <c r="AU241" i="7" s="1"/>
  <c r="AO314" i="7"/>
  <c r="AO54" i="7"/>
  <c r="AO293" i="7"/>
  <c r="P23" i="18"/>
  <c r="R23" i="18" s="1"/>
  <c r="B26" i="18"/>
  <c r="N24" i="18"/>
  <c r="Q24" i="18" s="1"/>
  <c r="O23" i="18"/>
  <c r="AM481" i="6"/>
  <c r="AM487" i="6" s="1"/>
  <c r="C492" i="6" s="1"/>
  <c r="J93" i="5" s="1"/>
  <c r="AG29" i="18"/>
  <c r="AF29" i="18"/>
  <c r="C219" i="13"/>
  <c r="AI298" i="6"/>
  <c r="AH298" i="6"/>
  <c r="AR89" i="9"/>
  <c r="BB89" i="9"/>
  <c r="DX89" i="9"/>
  <c r="EC89" i="9"/>
  <c r="DQ89" i="9"/>
  <c r="AH89" i="9"/>
  <c r="BL89" i="9" s="1"/>
  <c r="D106" i="13"/>
  <c r="D136" i="13" s="1"/>
  <c r="C23" i="13" s="1"/>
  <c r="A258" i="13"/>
  <c r="D67" i="13" s="1"/>
  <c r="K67" i="13" s="1"/>
  <c r="R22" i="18"/>
  <c r="S22" i="18" s="1"/>
  <c r="E25" i="18" s="1"/>
  <c r="L10" i="4" l="1"/>
  <c r="L15" i="4"/>
  <c r="L17" i="4"/>
  <c r="L13" i="4"/>
  <c r="L19" i="4"/>
  <c r="L16" i="4"/>
  <c r="L14" i="4"/>
  <c r="L12" i="4"/>
  <c r="L9" i="4"/>
  <c r="L18" i="4"/>
  <c r="L11" i="4"/>
  <c r="L20" i="4"/>
  <c r="C493" i="6"/>
  <c r="J94" i="5" s="1"/>
  <c r="AR28" i="7"/>
  <c r="AO312" i="7" s="1"/>
  <c r="AI299" i="6"/>
  <c r="AH299" i="6"/>
  <c r="BL150" i="9"/>
  <c r="CA150" i="9"/>
  <c r="BZ150" i="9" s="1"/>
  <c r="AH212" i="9"/>
  <c r="BB150" i="9"/>
  <c r="AR150" i="9"/>
  <c r="X87" i="9"/>
  <c r="EH87" i="9" s="1"/>
  <c r="AH149" i="9"/>
  <c r="X149" i="9"/>
  <c r="X211" i="9" s="1"/>
  <c r="AG300" i="6"/>
  <c r="AN28" i="6"/>
  <c r="A31" i="5" s="1"/>
  <c r="U31" i="5" s="1"/>
  <c r="A449" i="6"/>
  <c r="A36" i="10"/>
  <c r="EH23" i="9" s="1"/>
  <c r="A31" i="17"/>
  <c r="DX88" i="9"/>
  <c r="AH88" i="9"/>
  <c r="BL88" i="9" s="1"/>
  <c r="BB88" i="9"/>
  <c r="EC88" i="9"/>
  <c r="AR88" i="9"/>
  <c r="DQ88" i="9"/>
  <c r="AE27" i="18"/>
  <c r="AD27" i="18"/>
  <c r="AP27" i="18"/>
  <c r="AO313" i="7"/>
  <c r="AO292" i="7"/>
  <c r="AO185" i="7"/>
  <c r="AO229" i="7" s="1"/>
  <c r="AU242" i="7" s="1"/>
  <c r="AO53" i="7"/>
  <c r="A257" i="13"/>
  <c r="D66" i="13" s="1"/>
  <c r="K66" i="13" s="1"/>
  <c r="D107" i="13"/>
  <c r="D137" i="13" s="1"/>
  <c r="C24" i="13" s="1"/>
  <c r="CA87" i="9"/>
  <c r="BZ87" i="9" s="1"/>
  <c r="BZ25" i="9"/>
  <c r="S23" i="18"/>
  <c r="E26" i="18" s="1"/>
  <c r="C218" i="13"/>
  <c r="CA24" i="9"/>
  <c r="BL24" i="9"/>
  <c r="CA26" i="18"/>
  <c r="DB24" i="9"/>
  <c r="A26" i="12"/>
  <c r="DQ24" i="9"/>
  <c r="AW26" i="18"/>
  <c r="AW88" i="18" s="1"/>
  <c r="K24" i="9"/>
  <c r="AR24" i="9"/>
  <c r="A165" i="13"/>
  <c r="A216" i="13" s="1"/>
  <c r="BQ26" i="18"/>
  <c r="AO26" i="7"/>
  <c r="BB24" i="9"/>
  <c r="BH26" i="7" s="1"/>
  <c r="BG26" i="18"/>
  <c r="AH24" i="9"/>
  <c r="DX24" i="9"/>
  <c r="AC26" i="18"/>
  <c r="EC24" i="9"/>
  <c r="X24" i="9"/>
  <c r="I37" i="10"/>
  <c r="BB213" i="9"/>
  <c r="CA213" i="9"/>
  <c r="BZ213" i="9" s="1"/>
  <c r="AR213" i="9"/>
  <c r="BL213" i="9"/>
  <c r="B166" i="13"/>
  <c r="D27" i="12"/>
  <c r="B27" i="18"/>
  <c r="P24" i="18"/>
  <c r="R24" i="18" s="1"/>
  <c r="N25" i="18"/>
  <c r="Q25" i="18" s="1"/>
  <c r="O24" i="18"/>
  <c r="B30" i="17"/>
  <c r="C30" i="17"/>
  <c r="F30" i="17" s="1"/>
  <c r="AF28" i="18"/>
  <c r="AM482" i="6"/>
  <c r="AM486" i="6" s="1"/>
  <c r="C494" i="6" s="1"/>
  <c r="J95" i="5" s="1"/>
  <c r="BG89" i="18"/>
  <c r="CA89" i="18"/>
  <c r="BQ89" i="18"/>
  <c r="AQ27" i="7"/>
  <c r="AP27" i="7"/>
  <c r="AO184" i="7" l="1"/>
  <c r="AO228" i="7" s="1"/>
  <c r="AU243" i="7" s="1"/>
  <c r="AO52" i="7"/>
  <c r="AO291" i="7"/>
  <c r="J96" i="5"/>
  <c r="S24" i="18"/>
  <c r="E27" i="18" s="1"/>
  <c r="AR27" i="7"/>
  <c r="AO290" i="7" s="1"/>
  <c r="C217" i="13"/>
  <c r="X148" i="9"/>
  <c r="X210" i="9" s="1"/>
  <c r="AH148" i="9"/>
  <c r="X86" i="9"/>
  <c r="EH86" i="9" s="1"/>
  <c r="BG88" i="18"/>
  <c r="CA88" i="18"/>
  <c r="BQ88" i="18"/>
  <c r="AN29" i="6"/>
  <c r="A32" i="5" s="1"/>
  <c r="U32" i="5" s="1"/>
  <c r="A35" i="10"/>
  <c r="EH22" i="9" s="1"/>
  <c r="AG301" i="6"/>
  <c r="A32" i="17"/>
  <c r="A450" i="6"/>
  <c r="BB212" i="9"/>
  <c r="AR212" i="9"/>
  <c r="BL212" i="9"/>
  <c r="CA212" i="9"/>
  <c r="BZ212" i="9" s="1"/>
  <c r="AQ26" i="7"/>
  <c r="AP26" i="7"/>
  <c r="A256" i="13"/>
  <c r="D65" i="13" s="1"/>
  <c r="K65" i="13" s="1"/>
  <c r="D108" i="13"/>
  <c r="D138" i="13" s="1"/>
  <c r="C25" i="13" s="1"/>
  <c r="B31" i="17"/>
  <c r="C31" i="17"/>
  <c r="F31" i="17" s="1"/>
  <c r="AH300" i="6"/>
  <c r="AI300" i="6"/>
  <c r="BL149" i="9"/>
  <c r="AH211" i="9"/>
  <c r="BB149" i="9"/>
  <c r="AR149" i="9"/>
  <c r="CA149" i="9"/>
  <c r="BZ149" i="9" s="1"/>
  <c r="D26" i="12"/>
  <c r="B165" i="13"/>
  <c r="B28" i="18"/>
  <c r="N26" i="18"/>
  <c r="Q26" i="18" s="1"/>
  <c r="O25" i="18"/>
  <c r="P25" i="18"/>
  <c r="R25" i="18" s="1"/>
  <c r="AE26" i="18"/>
  <c r="AD26" i="18"/>
  <c r="AP26" i="18"/>
  <c r="CA86" i="9"/>
  <c r="BZ86" i="9" s="1"/>
  <c r="BZ24" i="9"/>
  <c r="AF27" i="18"/>
  <c r="CA23" i="9"/>
  <c r="BL23" i="9"/>
  <c r="AH23" i="9"/>
  <c r="A25" i="12"/>
  <c r="DX23" i="9"/>
  <c r="BQ25" i="18"/>
  <c r="AW25" i="18"/>
  <c r="AW87" i="18" s="1"/>
  <c r="DB23" i="9"/>
  <c r="X23" i="9"/>
  <c r="DQ23" i="9"/>
  <c r="A164" i="13"/>
  <c r="A215" i="13" s="1"/>
  <c r="BB23" i="9"/>
  <c r="BH25" i="7" s="1"/>
  <c r="AC25" i="18"/>
  <c r="EC23" i="9"/>
  <c r="CA25" i="18"/>
  <c r="BG25" i="18"/>
  <c r="K23" i="9"/>
  <c r="AR23" i="9"/>
  <c r="AO25" i="7"/>
  <c r="I36" i="10"/>
  <c r="AH87" i="9"/>
  <c r="BL87" i="9" s="1"/>
  <c r="BB87" i="9"/>
  <c r="DQ87" i="9"/>
  <c r="EC87" i="9"/>
  <c r="DX87" i="9"/>
  <c r="AR87" i="9"/>
  <c r="AO183" i="7" l="1"/>
  <c r="AO227" i="7" s="1"/>
  <c r="AU244" i="7" s="1"/>
  <c r="AO51" i="7"/>
  <c r="AO311" i="7"/>
  <c r="S25" i="18"/>
  <c r="E28" i="18" s="1"/>
  <c r="B32" i="17"/>
  <c r="C32" i="17"/>
  <c r="F32" i="17" s="1"/>
  <c r="DQ86" i="9"/>
  <c r="AH86" i="9"/>
  <c r="BL86" i="9" s="1"/>
  <c r="AR86" i="9"/>
  <c r="BB86" i="9"/>
  <c r="EC86" i="9"/>
  <c r="DX86" i="9"/>
  <c r="D25" i="12"/>
  <c r="B164" i="13"/>
  <c r="N27" i="18"/>
  <c r="P26" i="18"/>
  <c r="R26" i="18" s="1"/>
  <c r="B29" i="18"/>
  <c r="O26" i="18"/>
  <c r="BB211" i="9"/>
  <c r="BL211" i="9"/>
  <c r="CA211" i="9"/>
  <c r="BZ211" i="9" s="1"/>
  <c r="AR211" i="9"/>
  <c r="AR26" i="7"/>
  <c r="AO289" i="7" s="1"/>
  <c r="AS26" i="7"/>
  <c r="AH301" i="6"/>
  <c r="AI301" i="6"/>
  <c r="BL148" i="9"/>
  <c r="AH210" i="9"/>
  <c r="CA148" i="9"/>
  <c r="BZ148" i="9" s="1"/>
  <c r="AR148" i="9"/>
  <c r="BB148" i="9"/>
  <c r="AE25" i="18"/>
  <c r="AD25" i="18"/>
  <c r="AP25" i="18"/>
  <c r="AP25" i="7"/>
  <c r="AQ25" i="7"/>
  <c r="D109" i="13"/>
  <c r="D139" i="13" s="1"/>
  <c r="C26" i="13" s="1"/>
  <c r="A255" i="13"/>
  <c r="D64" i="13" s="1"/>
  <c r="K64" i="13" s="1"/>
  <c r="BG87" i="18"/>
  <c r="CA87" i="18"/>
  <c r="BQ87" i="18"/>
  <c r="AF26" i="18"/>
  <c r="AG26" i="18"/>
  <c r="C216" i="13"/>
  <c r="CA22" i="9"/>
  <c r="BL22" i="9"/>
  <c r="CA24" i="18"/>
  <c r="BQ24" i="18"/>
  <c r="AO24" i="7"/>
  <c r="BB22" i="9"/>
  <c r="BH24" i="7" s="1"/>
  <c r="AR22" i="9"/>
  <c r="AW24" i="18"/>
  <c r="AW86" i="18" s="1"/>
  <c r="A163" i="13"/>
  <c r="A214" i="13" s="1"/>
  <c r="DQ22" i="9"/>
  <c r="BG24" i="18"/>
  <c r="A24" i="12"/>
  <c r="AC24" i="18"/>
  <c r="K22" i="9"/>
  <c r="X22" i="9"/>
  <c r="EC22" i="9"/>
  <c r="DX22" i="9"/>
  <c r="DB22" i="9"/>
  <c r="AH22" i="9"/>
  <c r="I35" i="10"/>
  <c r="X85" i="9"/>
  <c r="EH85" i="9" s="1"/>
  <c r="X147" i="9"/>
  <c r="X209" i="9" s="1"/>
  <c r="AH147" i="9"/>
  <c r="CA85" i="9"/>
  <c r="BZ85" i="9" s="1"/>
  <c r="BZ23" i="9"/>
  <c r="A451" i="6"/>
  <c r="AG302" i="6"/>
  <c r="A34" i="10"/>
  <c r="EH21" i="9" s="1"/>
  <c r="AN30" i="6"/>
  <c r="A33" i="5" s="1"/>
  <c r="U33" i="5" s="1"/>
  <c r="A33" i="17"/>
  <c r="AR25" i="7" l="1"/>
  <c r="AO288" i="7" s="1"/>
  <c r="AH302" i="6"/>
  <c r="AI302" i="6"/>
  <c r="P27" i="18"/>
  <c r="O27" i="18"/>
  <c r="B30" i="18"/>
  <c r="N28" i="18"/>
  <c r="C33" i="17"/>
  <c r="F33" i="17" s="1"/>
  <c r="B33" i="17"/>
  <c r="CA147" i="9"/>
  <c r="BZ147" i="9" s="1"/>
  <c r="BB147" i="9"/>
  <c r="AR147" i="9"/>
  <c r="AH209" i="9"/>
  <c r="BL147" i="9"/>
  <c r="AD24" i="18"/>
  <c r="AP24" i="18"/>
  <c r="AE24" i="18"/>
  <c r="A254" i="13"/>
  <c r="D63" i="13" s="1"/>
  <c r="K63" i="13" s="1"/>
  <c r="D110" i="13"/>
  <c r="D140" i="13" s="1"/>
  <c r="C27" i="13" s="1"/>
  <c r="AP24" i="7"/>
  <c r="AQ24" i="7"/>
  <c r="CA84" i="9"/>
  <c r="BZ84" i="9" s="1"/>
  <c r="BZ22" i="9"/>
  <c r="A34" i="17"/>
  <c r="A452" i="6"/>
  <c r="AN31" i="6"/>
  <c r="A34" i="5" s="1"/>
  <c r="U34" i="5" s="1"/>
  <c r="A33" i="10"/>
  <c r="EH20" i="9" s="1"/>
  <c r="B163" i="13"/>
  <c r="D24" i="12"/>
  <c r="BQ86" i="18"/>
  <c r="CA86" i="18"/>
  <c r="BG86" i="18"/>
  <c r="AF25" i="18"/>
  <c r="Q27" i="18"/>
  <c r="C215" i="13"/>
  <c r="CA21" i="9"/>
  <c r="BL21" i="9"/>
  <c r="DQ21" i="9"/>
  <c r="DX21" i="9"/>
  <c r="BG23" i="18"/>
  <c r="AO23" i="7"/>
  <c r="DB21" i="9"/>
  <c r="EC21" i="9"/>
  <c r="A162" i="13"/>
  <c r="A213" i="13" s="1"/>
  <c r="BQ23" i="18"/>
  <c r="CA23" i="18"/>
  <c r="A23" i="12"/>
  <c r="BB21" i="9"/>
  <c r="BH23" i="7" s="1"/>
  <c r="AW23" i="18"/>
  <c r="AW85" i="18" s="1"/>
  <c r="AH21" i="9"/>
  <c r="K21" i="9"/>
  <c r="X21" i="9"/>
  <c r="AR21" i="9"/>
  <c r="AC23" i="18"/>
  <c r="I34" i="10"/>
  <c r="AR85" i="9"/>
  <c r="EC85" i="9"/>
  <c r="AH85" i="9"/>
  <c r="BL85" i="9" s="1"/>
  <c r="BB85" i="9"/>
  <c r="DX85" i="9"/>
  <c r="DQ85" i="9"/>
  <c r="X146" i="9"/>
  <c r="X208" i="9" s="1"/>
  <c r="X84" i="9"/>
  <c r="EH84" i="9" s="1"/>
  <c r="AH146" i="9"/>
  <c r="BB210" i="9"/>
  <c r="AR210" i="9"/>
  <c r="BL210" i="9"/>
  <c r="CA210" i="9"/>
  <c r="BZ210" i="9" s="1"/>
  <c r="S26" i="18"/>
  <c r="E29" i="18" s="1"/>
  <c r="X145" i="9" l="1"/>
  <c r="X207" i="9" s="1"/>
  <c r="X83" i="9"/>
  <c r="EH83" i="9" s="1"/>
  <c r="AH145" i="9"/>
  <c r="CA146" i="9"/>
  <c r="BZ146" i="9" s="1"/>
  <c r="BB146" i="9"/>
  <c r="AR146" i="9"/>
  <c r="AH208" i="9"/>
  <c r="BL146" i="9"/>
  <c r="B162" i="13"/>
  <c r="D23" i="12"/>
  <c r="AN32" i="6"/>
  <c r="A35" i="5" s="1"/>
  <c r="U35" i="5" s="1"/>
  <c r="A32" i="10"/>
  <c r="EH19" i="9" s="1"/>
  <c r="A453" i="6"/>
  <c r="A35" i="17"/>
  <c r="AR24" i="7"/>
  <c r="AO287" i="7" s="1"/>
  <c r="O28" i="18"/>
  <c r="B31" i="18"/>
  <c r="P28" i="18"/>
  <c r="N29" i="18"/>
  <c r="Q29" i="18" s="1"/>
  <c r="R27" i="18"/>
  <c r="S27" i="18" s="1"/>
  <c r="E30" i="18" s="1"/>
  <c r="D111" i="13"/>
  <c r="D141" i="13" s="1"/>
  <c r="C28" i="13" s="1"/>
  <c r="A253" i="13"/>
  <c r="D62" i="13" s="1"/>
  <c r="K62" i="13" s="1"/>
  <c r="CA83" i="9"/>
  <c r="BZ83" i="9" s="1"/>
  <c r="BZ21" i="9"/>
  <c r="CA20" i="9"/>
  <c r="BL20" i="9"/>
  <c r="BQ22" i="18"/>
  <c r="DQ20" i="9"/>
  <c r="AR20" i="9"/>
  <c r="BG22" i="18"/>
  <c r="DB20" i="9"/>
  <c r="AH20" i="9"/>
  <c r="CA22" i="18"/>
  <c r="A161" i="13"/>
  <c r="A212" i="13" s="1"/>
  <c r="BB20" i="9"/>
  <c r="BH22" i="7" s="1"/>
  <c r="K20" i="9"/>
  <c r="AC22" i="18"/>
  <c r="A22" i="12"/>
  <c r="DX20" i="9"/>
  <c r="AW22" i="18"/>
  <c r="AW84" i="18" s="1"/>
  <c r="EC20" i="9"/>
  <c r="AO22" i="7"/>
  <c r="X20" i="9"/>
  <c r="I33" i="10"/>
  <c r="AH84" i="9"/>
  <c r="BL84" i="9" s="1"/>
  <c r="AR84" i="9"/>
  <c r="DX84" i="9"/>
  <c r="BB84" i="9"/>
  <c r="EC84" i="9"/>
  <c r="DQ84" i="9"/>
  <c r="AP23" i="18"/>
  <c r="AD23" i="18"/>
  <c r="AE23" i="18"/>
  <c r="AF24" i="18"/>
  <c r="BL209" i="9"/>
  <c r="CA209" i="9"/>
  <c r="BZ209" i="9" s="1"/>
  <c r="AR209" i="9"/>
  <c r="BB209" i="9"/>
  <c r="Q28" i="18"/>
  <c r="BQ85" i="18"/>
  <c r="CA85" i="18"/>
  <c r="BG85" i="18"/>
  <c r="AP23" i="7"/>
  <c r="AQ23" i="7"/>
  <c r="C214" i="13"/>
  <c r="C34" i="17"/>
  <c r="F34" i="17" s="1"/>
  <c r="B34" i="17"/>
  <c r="B161" i="13" l="1"/>
  <c r="D22" i="12"/>
  <c r="BG84" i="18"/>
  <c r="CA84" i="18"/>
  <c r="BQ84" i="18"/>
  <c r="B35" i="17"/>
  <c r="C35" i="17"/>
  <c r="F35" i="17" s="1"/>
  <c r="AR145" i="9"/>
  <c r="BL145" i="9"/>
  <c r="AH207" i="9"/>
  <c r="BB145" i="9"/>
  <c r="CA145" i="9"/>
  <c r="BZ145" i="9" s="1"/>
  <c r="AR23" i="7"/>
  <c r="AO286" i="7" s="1"/>
  <c r="AS23" i="7"/>
  <c r="AG23" i="18"/>
  <c r="AF23" i="18"/>
  <c r="X144" i="9"/>
  <c r="X206" i="9" s="1"/>
  <c r="X82" i="9"/>
  <c r="EH82" i="9" s="1"/>
  <c r="AH144" i="9"/>
  <c r="C213" i="13"/>
  <c r="AH83" i="9"/>
  <c r="BL83" i="9" s="1"/>
  <c r="DX83" i="9"/>
  <c r="AR83" i="9"/>
  <c r="DQ83" i="9"/>
  <c r="BB83" i="9"/>
  <c r="EC83" i="9"/>
  <c r="AP22" i="7"/>
  <c r="AQ22" i="7"/>
  <c r="D112" i="13"/>
  <c r="A252" i="13"/>
  <c r="O29" i="18"/>
  <c r="P29" i="18"/>
  <c r="R29" i="18" s="1"/>
  <c r="N30" i="18"/>
  <c r="Q30" i="18" s="1"/>
  <c r="B32" i="18"/>
  <c r="CA19" i="9"/>
  <c r="BL19" i="9"/>
  <c r="AR19" i="9"/>
  <c r="AW21" i="18"/>
  <c r="AW83" i="18" s="1"/>
  <c r="AC21" i="18"/>
  <c r="BB19" i="9"/>
  <c r="BH21" i="7" s="1"/>
  <c r="DQ19" i="9"/>
  <c r="AO21" i="7"/>
  <c r="K19" i="9"/>
  <c r="BQ21" i="18"/>
  <c r="CA21" i="18"/>
  <c r="A160" i="13"/>
  <c r="A211" i="13" s="1"/>
  <c r="A251" i="13" s="1"/>
  <c r="DX19" i="9"/>
  <c r="X19" i="9"/>
  <c r="AH19" i="9"/>
  <c r="BG21" i="18"/>
  <c r="DB19" i="9"/>
  <c r="EC19" i="9"/>
  <c r="A21" i="12"/>
  <c r="I32" i="10"/>
  <c r="AP22" i="18"/>
  <c r="AD22" i="18"/>
  <c r="AE22" i="18"/>
  <c r="CA82" i="9"/>
  <c r="BZ82" i="9" s="1"/>
  <c r="BZ20" i="9"/>
  <c r="R28" i="18"/>
  <c r="S28" i="18" s="1"/>
  <c r="E31" i="18" s="1"/>
  <c r="AN33" i="6"/>
  <c r="A36" i="5" s="1"/>
  <c r="U36" i="5" s="1"/>
  <c r="A31" i="10"/>
  <c r="EH18" i="9" s="1"/>
  <c r="A454" i="6"/>
  <c r="A36" i="17"/>
  <c r="CA208" i="9"/>
  <c r="BZ208" i="9" s="1"/>
  <c r="BB208" i="9"/>
  <c r="AR208" i="9"/>
  <c r="BL208" i="9"/>
  <c r="AF22" i="18" l="1"/>
  <c r="AP21" i="7"/>
  <c r="AQ21" i="7"/>
  <c r="CA18" i="9"/>
  <c r="BL18" i="9"/>
  <c r="BB18" i="9"/>
  <c r="BH20" i="7" s="1"/>
  <c r="K18" i="9"/>
  <c r="X18" i="9"/>
  <c r="AO20" i="7"/>
  <c r="AH18" i="9"/>
  <c r="A20" i="12"/>
  <c r="AB22" i="12" s="1"/>
  <c r="DB18" i="9"/>
  <c r="AW20" i="18"/>
  <c r="AW82" i="18" s="1"/>
  <c r="CA20" i="18"/>
  <c r="DX18" i="9"/>
  <c r="BG20" i="18"/>
  <c r="A159" i="13"/>
  <c r="A210" i="13" s="1"/>
  <c r="A250" i="13" s="1"/>
  <c r="AC20" i="18"/>
  <c r="DQ18" i="9"/>
  <c r="AR18" i="9"/>
  <c r="BQ20" i="18"/>
  <c r="EC18" i="9"/>
  <c r="I31" i="10"/>
  <c r="AR22" i="7"/>
  <c r="AO285" i="7" s="1"/>
  <c r="C212" i="13"/>
  <c r="CA83" i="18"/>
  <c r="BG83" i="18"/>
  <c r="BQ83" i="18"/>
  <c r="A30" i="10"/>
  <c r="EH17" i="9" s="1"/>
  <c r="AN34" i="6"/>
  <c r="A37" i="5" s="1"/>
  <c r="U37" i="5" s="1"/>
  <c r="A455" i="6"/>
  <c r="A37" i="17"/>
  <c r="X81" i="9"/>
  <c r="EH81" i="9" s="1"/>
  <c r="X143" i="9"/>
  <c r="X205" i="9" s="1"/>
  <c r="AH143" i="9"/>
  <c r="N31" i="18"/>
  <c r="O30" i="18"/>
  <c r="P30" i="18"/>
  <c r="R30" i="18" s="1"/>
  <c r="B33" i="18"/>
  <c r="CA144" i="9"/>
  <c r="BZ144" i="9" s="1"/>
  <c r="AR144" i="9"/>
  <c r="AH206" i="9"/>
  <c r="BL144" i="9"/>
  <c r="BB144" i="9"/>
  <c r="AP21" i="18"/>
  <c r="AE21" i="18"/>
  <c r="AD21" i="18"/>
  <c r="CA81" i="9"/>
  <c r="BZ81" i="9" s="1"/>
  <c r="BZ19" i="9"/>
  <c r="S29" i="18"/>
  <c r="E32" i="18" s="1"/>
  <c r="BB82" i="9"/>
  <c r="AR82" i="9"/>
  <c r="DX82" i="9"/>
  <c r="DQ82" i="9"/>
  <c r="AH82" i="9"/>
  <c r="BL82" i="9" s="1"/>
  <c r="EC82" i="9"/>
  <c r="B36" i="17"/>
  <c r="C36" i="17"/>
  <c r="F36" i="17" s="1"/>
  <c r="B160" i="13"/>
  <c r="D21" i="12"/>
  <c r="BL207" i="9"/>
  <c r="CA207" i="9"/>
  <c r="BZ207" i="9" s="1"/>
  <c r="AR207" i="9"/>
  <c r="BB207" i="9"/>
  <c r="AF21" i="18" l="1"/>
  <c r="S30" i="18"/>
  <c r="E33" i="18" s="1"/>
  <c r="C37" i="17"/>
  <c r="F37" i="17" s="1"/>
  <c r="B37" i="17"/>
  <c r="D20" i="12"/>
  <c r="B159" i="13"/>
  <c r="AR143" i="9"/>
  <c r="CA143" i="9"/>
  <c r="BZ143" i="9" s="1"/>
  <c r="AH205" i="9"/>
  <c r="BL143" i="9"/>
  <c r="BB143" i="9"/>
  <c r="AP20" i="18"/>
  <c r="AD20" i="18"/>
  <c r="AE20" i="18"/>
  <c r="AR206" i="9"/>
  <c r="BB206" i="9"/>
  <c r="BL206" i="9"/>
  <c r="CA206" i="9"/>
  <c r="BZ206" i="9" s="1"/>
  <c r="N32" i="18"/>
  <c r="Q32" i="18" s="1"/>
  <c r="P31" i="18"/>
  <c r="B34" i="18"/>
  <c r="O31" i="18"/>
  <c r="A29" i="10"/>
  <c r="EH16" i="9" s="1"/>
  <c r="A456" i="6"/>
  <c r="A38" i="17"/>
  <c r="AN35" i="6"/>
  <c r="A38" i="5" s="1"/>
  <c r="U38" i="5" s="1"/>
  <c r="CA82" i="18"/>
  <c r="BQ82" i="18"/>
  <c r="BG82" i="18"/>
  <c r="AP20" i="7"/>
  <c r="AQ20" i="7"/>
  <c r="C211" i="13"/>
  <c r="Q31" i="18"/>
  <c r="DQ81" i="9"/>
  <c r="AH81" i="9"/>
  <c r="BL81" i="9" s="1"/>
  <c r="BB81" i="9"/>
  <c r="EC81" i="9"/>
  <c r="AR81" i="9"/>
  <c r="DX81" i="9"/>
  <c r="CA17" i="9"/>
  <c r="BL17" i="9"/>
  <c r="BB17" i="9"/>
  <c r="BH19" i="7" s="1"/>
  <c r="A158" i="13"/>
  <c r="A209" i="13" s="1"/>
  <c r="A249" i="13" s="1"/>
  <c r="AC19" i="18"/>
  <c r="BG19" i="18"/>
  <c r="X17" i="9"/>
  <c r="AH17" i="9"/>
  <c r="AW19" i="18"/>
  <c r="AW81" i="18" s="1"/>
  <c r="DQ17" i="9"/>
  <c r="K17" i="9"/>
  <c r="EC17" i="9"/>
  <c r="DB17" i="9"/>
  <c r="A19" i="12"/>
  <c r="AB21" i="12" s="1"/>
  <c r="DX17" i="9"/>
  <c r="CA19" i="18"/>
  <c r="BQ19" i="18"/>
  <c r="AO19" i="7"/>
  <c r="AR17" i="9"/>
  <c r="I30" i="10"/>
  <c r="X142" i="9"/>
  <c r="X204" i="9" s="1"/>
  <c r="AH142" i="9"/>
  <c r="X80" i="9"/>
  <c r="EH80" i="9" s="1"/>
  <c r="CA80" i="9"/>
  <c r="BZ80" i="9" s="1"/>
  <c r="BZ18" i="9"/>
  <c r="AR21" i="7"/>
  <c r="AO284" i="7" s="1"/>
  <c r="CA16" i="9" l="1"/>
  <c r="BL16" i="9"/>
  <c r="K16" i="9"/>
  <c r="BG18" i="18"/>
  <c r="A18" i="12"/>
  <c r="AB20" i="12" s="1"/>
  <c r="AH16" i="9"/>
  <c r="X16" i="9"/>
  <c r="DQ16" i="9"/>
  <c r="DB16" i="9"/>
  <c r="AW18" i="18"/>
  <c r="AW80" i="18" s="1"/>
  <c r="EC16" i="9"/>
  <c r="BB16" i="9"/>
  <c r="BH18" i="7" s="1"/>
  <c r="A157" i="13"/>
  <c r="A208" i="13" s="1"/>
  <c r="A248" i="13" s="1"/>
  <c r="BQ18" i="18"/>
  <c r="DX16" i="9"/>
  <c r="CA18" i="18"/>
  <c r="AR16" i="9"/>
  <c r="AO18" i="7"/>
  <c r="AC18" i="18"/>
  <c r="I29" i="10"/>
  <c r="R31" i="18"/>
  <c r="S31" i="18" s="1"/>
  <c r="E34" i="18" s="1"/>
  <c r="A39" i="17"/>
  <c r="A457" i="6"/>
  <c r="AN36" i="6"/>
  <c r="A39" i="5" s="1"/>
  <c r="U39" i="5" s="1"/>
  <c r="A28" i="10"/>
  <c r="EH15" i="9" s="1"/>
  <c r="AF20" i="18"/>
  <c r="AG20" i="18"/>
  <c r="BL142" i="9"/>
  <c r="CA142" i="9"/>
  <c r="BZ142" i="9" s="1"/>
  <c r="AR142" i="9"/>
  <c r="AH204" i="9"/>
  <c r="BB142" i="9"/>
  <c r="AE19" i="18"/>
  <c r="AP19" i="18"/>
  <c r="AD19" i="18"/>
  <c r="AR20" i="7"/>
  <c r="AO283" i="7" s="1"/>
  <c r="AS20" i="7"/>
  <c r="B38" i="17"/>
  <c r="C38" i="17"/>
  <c r="F38" i="17" s="1"/>
  <c r="G38" i="17"/>
  <c r="E38" i="17"/>
  <c r="P32" i="18"/>
  <c r="R32" i="18" s="1"/>
  <c r="B35" i="18"/>
  <c r="O32" i="18"/>
  <c r="N33" i="18"/>
  <c r="X141" i="9"/>
  <c r="X203" i="9" s="1"/>
  <c r="AH141" i="9"/>
  <c r="X79" i="9"/>
  <c r="EH79" i="9" s="1"/>
  <c r="DX80" i="9"/>
  <c r="AH80" i="9"/>
  <c r="BL80" i="9" s="1"/>
  <c r="EC80" i="9"/>
  <c r="BB80" i="9"/>
  <c r="DQ80" i="9"/>
  <c r="AR80" i="9"/>
  <c r="AP19" i="7"/>
  <c r="AQ19" i="7"/>
  <c r="BG81" i="18"/>
  <c r="BQ81" i="18"/>
  <c r="CA81" i="18"/>
  <c r="CA79" i="9"/>
  <c r="BZ79" i="9" s="1"/>
  <c r="BZ17" i="9"/>
  <c r="D19" i="12"/>
  <c r="B158" i="13"/>
  <c r="BB205" i="9"/>
  <c r="BL205" i="9"/>
  <c r="CA205" i="9"/>
  <c r="BZ205" i="9" s="1"/>
  <c r="AR205" i="9"/>
  <c r="C210" i="13"/>
  <c r="S32" i="18" l="1"/>
  <c r="E35" i="18" s="1"/>
  <c r="H35" i="18" s="1"/>
  <c r="AH17" i="18" s="1"/>
  <c r="CA15" i="9"/>
  <c r="BL15" i="9"/>
  <c r="DQ15" i="9"/>
  <c r="BG17" i="18"/>
  <c r="X15" i="9"/>
  <c r="AH15" i="9"/>
  <c r="AW17" i="18"/>
  <c r="AW79" i="18" s="1"/>
  <c r="DB15" i="9"/>
  <c r="AR15" i="9"/>
  <c r="K15" i="9"/>
  <c r="AO17" i="7"/>
  <c r="A156" i="13"/>
  <c r="A207" i="13" s="1"/>
  <c r="A247" i="13" s="1"/>
  <c r="EC15" i="9"/>
  <c r="DX15" i="9"/>
  <c r="A17" i="12"/>
  <c r="AB19" i="12" s="1"/>
  <c r="BB15" i="9"/>
  <c r="BH17" i="7" s="1"/>
  <c r="BQ17" i="18"/>
  <c r="CA17" i="18"/>
  <c r="AC17" i="18"/>
  <c r="I28" i="10"/>
  <c r="G34" i="18"/>
  <c r="H34" i="18"/>
  <c r="AH18" i="18" s="1"/>
  <c r="D18" i="12"/>
  <c r="E18" i="12" s="1"/>
  <c r="B157" i="13"/>
  <c r="J29" i="10"/>
  <c r="C209" i="13"/>
  <c r="AN37" i="6"/>
  <c r="A40" i="5" s="1"/>
  <c r="U40" i="5" s="1"/>
  <c r="A27" i="10"/>
  <c r="EH14" i="9" s="1"/>
  <c r="A40" i="17"/>
  <c r="A458" i="6"/>
  <c r="AD18" i="18"/>
  <c r="AE18" i="18"/>
  <c r="AP18" i="18"/>
  <c r="X78" i="9"/>
  <c r="EH78" i="9" s="1"/>
  <c r="X140" i="9"/>
  <c r="X202" i="9" s="1"/>
  <c r="AH140" i="9"/>
  <c r="BB79" i="9"/>
  <c r="EC79" i="9"/>
  <c r="AR79" i="9"/>
  <c r="DX79" i="9"/>
  <c r="DQ79" i="9"/>
  <c r="AH79" i="9"/>
  <c r="BL79" i="9" s="1"/>
  <c r="AF19" i="18"/>
  <c r="CA204" i="9"/>
  <c r="BZ204" i="9" s="1"/>
  <c r="BB204" i="9"/>
  <c r="BL204" i="9"/>
  <c r="AR204" i="9"/>
  <c r="AQ18" i="7"/>
  <c r="AP18" i="7"/>
  <c r="BG80" i="18"/>
  <c r="BQ80" i="18"/>
  <c r="CA80" i="18"/>
  <c r="O33" i="18"/>
  <c r="B36" i="18"/>
  <c r="P33" i="18"/>
  <c r="N34" i="18"/>
  <c r="Q34" i="18" s="1"/>
  <c r="AR19" i="7"/>
  <c r="AO282" i="7" s="1"/>
  <c r="AR141" i="9"/>
  <c r="AH203" i="9"/>
  <c r="BB141" i="9"/>
  <c r="CA141" i="9"/>
  <c r="BZ141" i="9" s="1"/>
  <c r="BL141" i="9"/>
  <c r="Q33" i="18"/>
  <c r="H38" i="17"/>
  <c r="B39" i="17"/>
  <c r="C39" i="17"/>
  <c r="F39" i="17" s="1"/>
  <c r="E39" i="17"/>
  <c r="G39" i="17"/>
  <c r="CA78" i="9"/>
  <c r="BZ78" i="9" s="1"/>
  <c r="BZ16" i="9"/>
  <c r="R33" i="18" l="1"/>
  <c r="S33" i="18" s="1"/>
  <c r="E36" i="18" s="1"/>
  <c r="G36" i="18" s="1"/>
  <c r="G35" i="18"/>
  <c r="AF18" i="18"/>
  <c r="CA14" i="9"/>
  <c r="BL14" i="9"/>
  <c r="BB14" i="9"/>
  <c r="BH16" i="7" s="1"/>
  <c r="EC14" i="9"/>
  <c r="DB14" i="9"/>
  <c r="DX14" i="9"/>
  <c r="AH14" i="9"/>
  <c r="CA16" i="18"/>
  <c r="A16" i="12"/>
  <c r="AB18" i="12" s="1"/>
  <c r="DQ14" i="9"/>
  <c r="BG16" i="18"/>
  <c r="AC16" i="18"/>
  <c r="AW16" i="18"/>
  <c r="AW78" i="18" s="1"/>
  <c r="AO16" i="7"/>
  <c r="A155" i="13"/>
  <c r="A206" i="13" s="1"/>
  <c r="A246" i="13" s="1"/>
  <c r="X14" i="9"/>
  <c r="BQ16" i="18"/>
  <c r="K14" i="9"/>
  <c r="AR14" i="9"/>
  <c r="I27" i="10"/>
  <c r="H39" i="17"/>
  <c r="BB203" i="9"/>
  <c r="BL203" i="9"/>
  <c r="CA203" i="9"/>
  <c r="BZ203" i="9" s="1"/>
  <c r="AR203" i="9"/>
  <c r="O34" i="18"/>
  <c r="N35" i="18"/>
  <c r="Q35" i="18" s="1"/>
  <c r="P34" i="18"/>
  <c r="R34" i="18" s="1"/>
  <c r="B37" i="18"/>
  <c r="AR78" i="9"/>
  <c r="EC78" i="9"/>
  <c r="BB78" i="9"/>
  <c r="DQ78" i="9"/>
  <c r="DX78" i="9"/>
  <c r="AH78" i="9"/>
  <c r="BL78" i="9" s="1"/>
  <c r="A26" i="10"/>
  <c r="EH13" i="9" s="1"/>
  <c r="A41" i="17"/>
  <c r="AN38" i="6"/>
  <c r="A41" i="5" s="1"/>
  <c r="U41" i="5" s="1"/>
  <c r="A459" i="6"/>
  <c r="AQ18" i="18"/>
  <c r="AX18" i="18" s="1"/>
  <c r="AY18" i="18" s="1"/>
  <c r="AZ18" i="18" s="1"/>
  <c r="BA18" i="18" s="1"/>
  <c r="X139" i="9"/>
  <c r="X201" i="9" s="1"/>
  <c r="AH139" i="9"/>
  <c r="X77" i="9"/>
  <c r="EH77" i="9" s="1"/>
  <c r="CA77" i="9"/>
  <c r="BZ77" i="9" s="1"/>
  <c r="BZ15" i="9"/>
  <c r="CB15" i="9" s="1"/>
  <c r="CC15" i="9" s="1"/>
  <c r="CD15" i="9" s="1"/>
  <c r="CE15" i="9" s="1"/>
  <c r="AR18" i="7"/>
  <c r="AO281" i="7" s="1"/>
  <c r="M16" i="9"/>
  <c r="AS18" i="18"/>
  <c r="AX80" i="18" s="1"/>
  <c r="AY80" i="18" s="1"/>
  <c r="AZ80" i="18" s="1"/>
  <c r="BA80" i="18" s="1"/>
  <c r="D17" i="12"/>
  <c r="E17" i="12" s="1"/>
  <c r="B156" i="13"/>
  <c r="J28" i="10"/>
  <c r="AH202" i="9"/>
  <c r="BL140" i="9"/>
  <c r="BB140" i="9"/>
  <c r="CA140" i="9"/>
  <c r="BZ140" i="9" s="1"/>
  <c r="AR140" i="9"/>
  <c r="B40" i="17"/>
  <c r="C40" i="17"/>
  <c r="F40" i="17" s="1"/>
  <c r="G40" i="17"/>
  <c r="E40" i="17"/>
  <c r="AQ17" i="18"/>
  <c r="AX17" i="18" s="1"/>
  <c r="AY17" i="18" s="1"/>
  <c r="AZ17" i="18" s="1"/>
  <c r="BA17" i="18" s="1"/>
  <c r="C208" i="13"/>
  <c r="D208" i="13" s="1"/>
  <c r="D157" i="13"/>
  <c r="AP17" i="18"/>
  <c r="AD17" i="18"/>
  <c r="AE17" i="18"/>
  <c r="AQ17" i="7"/>
  <c r="AP17" i="7"/>
  <c r="BG79" i="18"/>
  <c r="BQ79" i="18"/>
  <c r="CA79" i="18"/>
  <c r="H36" i="18" l="1"/>
  <c r="AH16" i="18" s="1"/>
  <c r="S34" i="18"/>
  <c r="E37" i="18" s="1"/>
  <c r="H37" i="18" s="1"/>
  <c r="AH15" i="18" s="1"/>
  <c r="AF17" i="18"/>
  <c r="AG17" i="18"/>
  <c r="C207" i="13"/>
  <c r="D207" i="13" s="1"/>
  <c r="D156" i="13"/>
  <c r="BC80" i="18"/>
  <c r="BB80" i="18"/>
  <c r="BB18" i="18"/>
  <c r="BC18" i="18"/>
  <c r="C41" i="17"/>
  <c r="F41" i="17" s="1"/>
  <c r="B41" i="17"/>
  <c r="E41" i="17"/>
  <c r="G41" i="17"/>
  <c r="AS17" i="7"/>
  <c r="AR17" i="7"/>
  <c r="AO280" i="7" s="1"/>
  <c r="BC17" i="18"/>
  <c r="BB17" i="18"/>
  <c r="H40" i="17"/>
  <c r="AR202" i="9"/>
  <c r="CA202" i="9"/>
  <c r="BZ202" i="9" s="1"/>
  <c r="BB202" i="9"/>
  <c r="BL202" i="9"/>
  <c r="Y78" i="9"/>
  <c r="BB77" i="9"/>
  <c r="EC77" i="9"/>
  <c r="DX77" i="9"/>
  <c r="DQ77" i="9"/>
  <c r="AR77" i="9"/>
  <c r="AH77" i="9"/>
  <c r="BL77" i="9" s="1"/>
  <c r="CA13" i="9"/>
  <c r="BL13" i="9"/>
  <c r="BQ15" i="18"/>
  <c r="A15" i="12"/>
  <c r="AB17" i="12" s="1"/>
  <c r="DX13" i="9"/>
  <c r="CA15" i="18"/>
  <c r="AO15" i="7"/>
  <c r="BB13" i="9"/>
  <c r="BH15" i="7" s="1"/>
  <c r="AR13" i="9"/>
  <c r="A154" i="13"/>
  <c r="A205" i="13" s="1"/>
  <c r="A245" i="13" s="1"/>
  <c r="AC15" i="18"/>
  <c r="BG15" i="18"/>
  <c r="AH13" i="9"/>
  <c r="DB13" i="9"/>
  <c r="X13" i="9"/>
  <c r="K13" i="9"/>
  <c r="AW15" i="18"/>
  <c r="AW77" i="18" s="1"/>
  <c r="DQ13" i="9"/>
  <c r="EC13" i="9"/>
  <c r="I26" i="10"/>
  <c r="B38" i="18"/>
  <c r="O35" i="18"/>
  <c r="P35" i="18"/>
  <c r="R35" i="18" s="1"/>
  <c r="N36" i="18"/>
  <c r="Q36" i="18" s="1"/>
  <c r="AP16" i="7"/>
  <c r="AQ16" i="7"/>
  <c r="BL139" i="9"/>
  <c r="BB139" i="9"/>
  <c r="AR139" i="9"/>
  <c r="CA139" i="9"/>
  <c r="BZ139" i="9" s="1"/>
  <c r="AH201" i="9"/>
  <c r="BQ78" i="18"/>
  <c r="BG78" i="18"/>
  <c r="CA78" i="18"/>
  <c r="CA76" i="9"/>
  <c r="BZ76" i="9" s="1"/>
  <c r="BZ14" i="9"/>
  <c r="CB14" i="9" s="1"/>
  <c r="CC14" i="9" s="1"/>
  <c r="CD14" i="9" s="1"/>
  <c r="CE14" i="9" s="1"/>
  <c r="M15" i="9"/>
  <c r="AS17" i="18"/>
  <c r="AX79" i="18" s="1"/>
  <c r="AY79" i="18" s="1"/>
  <c r="AZ79" i="18" s="1"/>
  <c r="BA79" i="18" s="1"/>
  <c r="CG15" i="9"/>
  <c r="CF15" i="9"/>
  <c r="A42" i="17"/>
  <c r="AN39" i="6"/>
  <c r="A42" i="5" s="1"/>
  <c r="U42" i="5" s="1"/>
  <c r="A25" i="10"/>
  <c r="EH12" i="9" s="1"/>
  <c r="A460" i="6"/>
  <c r="D16" i="12"/>
  <c r="E16" i="12" s="1"/>
  <c r="B155" i="13"/>
  <c r="J27" i="10"/>
  <c r="X138" i="9"/>
  <c r="X200" i="9" s="1"/>
  <c r="X76" i="9"/>
  <c r="EH76" i="9" s="1"/>
  <c r="AH138" i="9"/>
  <c r="AE16" i="18"/>
  <c r="AP16" i="18"/>
  <c r="AD16" i="18"/>
  <c r="AQ16" i="18" l="1"/>
  <c r="AX16" i="18" s="1"/>
  <c r="AY16" i="18" s="1"/>
  <c r="AZ16" i="18" s="1"/>
  <c r="BA16" i="18" s="1"/>
  <c r="BB16" i="18" s="1"/>
  <c r="G37" i="18"/>
  <c r="A43" i="17"/>
  <c r="A461" i="6"/>
  <c r="AN40" i="6"/>
  <c r="A43" i="5" s="1"/>
  <c r="U43" i="5" s="1"/>
  <c r="A24" i="10"/>
  <c r="EH11" i="9" s="1"/>
  <c r="AF16" i="18"/>
  <c r="AH76" i="9"/>
  <c r="BL76" i="9" s="1"/>
  <c r="DQ76" i="9"/>
  <c r="DX76" i="9"/>
  <c r="AR76" i="9"/>
  <c r="BB76" i="9"/>
  <c r="EC76" i="9"/>
  <c r="BC79" i="18"/>
  <c r="BB79" i="18"/>
  <c r="AR201" i="9"/>
  <c r="BB201" i="9"/>
  <c r="BL201" i="9"/>
  <c r="CA201" i="9"/>
  <c r="BZ201" i="9" s="1"/>
  <c r="S35" i="18"/>
  <c r="E38" i="18" s="1"/>
  <c r="CA77" i="18"/>
  <c r="BG77" i="18"/>
  <c r="BQ77" i="18"/>
  <c r="CA75" i="9"/>
  <c r="BZ75" i="9" s="1"/>
  <c r="BZ13" i="9"/>
  <c r="CB13" i="9" s="1"/>
  <c r="CC13" i="9" s="1"/>
  <c r="CD13" i="9" s="1"/>
  <c r="CE13" i="9" s="1"/>
  <c r="H41" i="17"/>
  <c r="M14" i="9"/>
  <c r="AS16" i="18"/>
  <c r="AX78" i="18" s="1"/>
  <c r="AY78" i="18" s="1"/>
  <c r="AZ78" i="18" s="1"/>
  <c r="BA78" i="18" s="1"/>
  <c r="O28" i="10"/>
  <c r="AT17" i="18" s="1"/>
  <c r="BH79" i="18" s="1"/>
  <c r="BI79" i="18" s="1"/>
  <c r="BJ79" i="18" s="1"/>
  <c r="BK79" i="18" s="1"/>
  <c r="CA12" i="9"/>
  <c r="BL12" i="9"/>
  <c r="BQ14" i="18"/>
  <c r="K12" i="9"/>
  <c r="AC14" i="18"/>
  <c r="A153" i="13"/>
  <c r="A204" i="13" s="1"/>
  <c r="A244" i="13" s="1"/>
  <c r="AO14" i="7"/>
  <c r="BB12" i="9"/>
  <c r="BH14" i="7" s="1"/>
  <c r="AR12" i="9"/>
  <c r="CA14" i="18"/>
  <c r="A14" i="12"/>
  <c r="AB16" i="12" s="1"/>
  <c r="DB12" i="9"/>
  <c r="X12" i="9"/>
  <c r="EC12" i="9"/>
  <c r="AH12" i="9"/>
  <c r="AW14" i="18"/>
  <c r="AW76" i="18" s="1"/>
  <c r="BG14" i="18"/>
  <c r="DX12" i="9"/>
  <c r="DQ12" i="9"/>
  <c r="I25" i="10"/>
  <c r="Y77" i="9"/>
  <c r="CG14" i="9"/>
  <c r="CF14" i="9"/>
  <c r="D15" i="12"/>
  <c r="E15" i="12" s="1"/>
  <c r="B154" i="13"/>
  <c r="J26" i="10"/>
  <c r="AQ15" i="18"/>
  <c r="AX15" i="18" s="1"/>
  <c r="AY15" i="18" s="1"/>
  <c r="AZ15" i="18" s="1"/>
  <c r="BA15" i="18" s="1"/>
  <c r="X75" i="9"/>
  <c r="EH75" i="9" s="1"/>
  <c r="AH137" i="9"/>
  <c r="X137" i="9"/>
  <c r="X199" i="9" s="1"/>
  <c r="AD15" i="18"/>
  <c r="AP15" i="18"/>
  <c r="AE15" i="18"/>
  <c r="AP15" i="7"/>
  <c r="AQ15" i="7"/>
  <c r="Y202" i="9"/>
  <c r="Z202" i="9" s="1"/>
  <c r="AA202" i="9" s="1"/>
  <c r="AB202" i="9" s="1"/>
  <c r="DS78" i="9"/>
  <c r="Z78" i="9"/>
  <c r="AA78" i="9" s="1"/>
  <c r="AB78" i="9" s="1"/>
  <c r="DR78" i="9"/>
  <c r="CA138" i="9"/>
  <c r="BZ138" i="9" s="1"/>
  <c r="AH200" i="9"/>
  <c r="BL138" i="9"/>
  <c r="BB138" i="9"/>
  <c r="AR138" i="9"/>
  <c r="C206" i="13"/>
  <c r="D206" i="13" s="1"/>
  <c r="D155" i="13"/>
  <c r="B42" i="17"/>
  <c r="C42" i="17"/>
  <c r="F42" i="17" s="1"/>
  <c r="G42" i="17"/>
  <c r="E42" i="17"/>
  <c r="AR16" i="7"/>
  <c r="AO279" i="7" s="1"/>
  <c r="B39" i="18"/>
  <c r="O36" i="18"/>
  <c r="N37" i="18"/>
  <c r="P36" i="18"/>
  <c r="R36" i="18" s="1"/>
  <c r="BC16" i="18" l="1"/>
  <c r="AF15" i="18"/>
  <c r="AQ14" i="7"/>
  <c r="AP14" i="7"/>
  <c r="AN41" i="6"/>
  <c r="A44" i="5" s="1"/>
  <c r="U44" i="5" s="1"/>
  <c r="A23" i="10"/>
  <c r="EH10" i="9" s="1"/>
  <c r="A44" i="17"/>
  <c r="A462" i="6"/>
  <c r="AD202" i="9"/>
  <c r="AC202" i="9"/>
  <c r="S36" i="18"/>
  <c r="E39" i="18" s="1"/>
  <c r="J156" i="13"/>
  <c r="AR15" i="7"/>
  <c r="AO278" i="7" s="1"/>
  <c r="AS15" i="18"/>
  <c r="AX77" i="18" s="1"/>
  <c r="AY77" i="18" s="1"/>
  <c r="AZ77" i="18" s="1"/>
  <c r="BA77" i="18" s="1"/>
  <c r="M13" i="9"/>
  <c r="O27" i="10"/>
  <c r="AT16" i="18" s="1"/>
  <c r="BH78" i="18" s="1"/>
  <c r="BI78" i="18" s="1"/>
  <c r="BJ78" i="18" s="1"/>
  <c r="BK78" i="18" s="1"/>
  <c r="BB78" i="18"/>
  <c r="BC78" i="18"/>
  <c r="BL137" i="9"/>
  <c r="AH199" i="9"/>
  <c r="AR137" i="9"/>
  <c r="CA137" i="9"/>
  <c r="BZ137" i="9" s="1"/>
  <c r="CB137" i="9" s="1"/>
  <c r="CC137" i="9" s="1"/>
  <c r="CD137" i="9" s="1"/>
  <c r="CE137" i="9" s="1"/>
  <c r="BB137" i="9"/>
  <c r="C205" i="13"/>
  <c r="D205" i="13" s="1"/>
  <c r="D154" i="13"/>
  <c r="X136" i="9"/>
  <c r="X198" i="9" s="1"/>
  <c r="AH136" i="9"/>
  <c r="X74" i="9"/>
  <c r="EH74" i="9" s="1"/>
  <c r="AD14" i="18"/>
  <c r="AE14" i="18"/>
  <c r="AP14" i="18"/>
  <c r="CA74" i="9"/>
  <c r="BZ74" i="9" s="1"/>
  <c r="BZ12" i="9"/>
  <c r="CB12" i="9" s="1"/>
  <c r="CC12" i="9" s="1"/>
  <c r="CD12" i="9" s="1"/>
  <c r="CE12" i="9" s="1"/>
  <c r="Y76" i="9"/>
  <c r="Q15" i="9"/>
  <c r="CF13" i="9"/>
  <c r="CG13" i="9"/>
  <c r="B43" i="17"/>
  <c r="C43" i="17"/>
  <c r="F43" i="17" s="1"/>
  <c r="E43" i="17"/>
  <c r="G43" i="17"/>
  <c r="N38" i="18"/>
  <c r="Q38" i="18" s="1"/>
  <c r="B40" i="18"/>
  <c r="P37" i="18"/>
  <c r="O37" i="18"/>
  <c r="H42" i="17"/>
  <c r="J208" i="13"/>
  <c r="AR200" i="9"/>
  <c r="BL200" i="9"/>
  <c r="CA200" i="9"/>
  <c r="BZ200" i="9" s="1"/>
  <c r="BB200" i="9"/>
  <c r="AD78" i="9"/>
  <c r="AC78" i="9"/>
  <c r="Q37" i="18"/>
  <c r="BB75" i="9"/>
  <c r="AR75" i="9"/>
  <c r="DQ75" i="9"/>
  <c r="EC75" i="9"/>
  <c r="DX75" i="9"/>
  <c r="AH75" i="9"/>
  <c r="BL75" i="9" s="1"/>
  <c r="BB15" i="18"/>
  <c r="BC15" i="18"/>
  <c r="Y201" i="9"/>
  <c r="Z201" i="9" s="1"/>
  <c r="AA201" i="9" s="1"/>
  <c r="AB201" i="9" s="1"/>
  <c r="DR77" i="9"/>
  <c r="DS77" i="9"/>
  <c r="Z77" i="9"/>
  <c r="AA77" i="9" s="1"/>
  <c r="AB77" i="9" s="1"/>
  <c r="B153" i="13"/>
  <c r="D14" i="12"/>
  <c r="E14" i="12" s="1"/>
  <c r="J25" i="10"/>
  <c r="BQ76" i="18"/>
  <c r="BG76" i="18"/>
  <c r="CA76" i="18"/>
  <c r="BL79" i="18"/>
  <c r="BM79" i="18"/>
  <c r="G38" i="18"/>
  <c r="H38" i="18"/>
  <c r="AH14" i="18" s="1"/>
  <c r="CA11" i="9"/>
  <c r="BL11" i="9"/>
  <c r="DX11" i="9"/>
  <c r="DQ11" i="9"/>
  <c r="CA13" i="18"/>
  <c r="EC11" i="9"/>
  <c r="AO13" i="7"/>
  <c r="X11" i="9"/>
  <c r="BG13" i="18"/>
  <c r="BB11" i="9"/>
  <c r="BH13" i="7" s="1"/>
  <c r="BQ13" i="18"/>
  <c r="K11" i="9"/>
  <c r="AH11" i="9"/>
  <c r="DB11" i="9"/>
  <c r="A152" i="13"/>
  <c r="A203" i="13" s="1"/>
  <c r="A243" i="13" s="1"/>
  <c r="AC13" i="18"/>
  <c r="A13" i="12"/>
  <c r="AB15" i="12" s="1"/>
  <c r="AR11" i="9"/>
  <c r="AW13" i="18"/>
  <c r="AW75" i="18" s="1"/>
  <c r="I24" i="10"/>
  <c r="H43" i="17" l="1"/>
  <c r="C204" i="13"/>
  <c r="D204" i="13" s="1"/>
  <c r="D153" i="13"/>
  <c r="AD77" i="9"/>
  <c r="AC77" i="9"/>
  <c r="B152" i="13"/>
  <c r="D13" i="12"/>
  <c r="E13" i="12" s="1"/>
  <c r="J24" i="10"/>
  <c r="AP13" i="18"/>
  <c r="AD13" i="18"/>
  <c r="AE13" i="18"/>
  <c r="X135" i="9"/>
  <c r="X197" i="9" s="1"/>
  <c r="AH135" i="9"/>
  <c r="X73" i="9"/>
  <c r="EH73" i="9" s="1"/>
  <c r="B41" i="18"/>
  <c r="P38" i="18"/>
  <c r="R38" i="18" s="1"/>
  <c r="O38" i="18"/>
  <c r="N39" i="18"/>
  <c r="AI77" i="9"/>
  <c r="AJ77" i="9" s="1"/>
  <c r="AK77" i="9" s="1"/>
  <c r="AL77" i="9" s="1"/>
  <c r="CB77" i="9"/>
  <c r="CC77" i="9" s="1"/>
  <c r="CD77" i="9" s="1"/>
  <c r="CE77" i="9" s="1"/>
  <c r="BB74" i="9"/>
  <c r="DQ74" i="9"/>
  <c r="AH74" i="9"/>
  <c r="BL74" i="9" s="1"/>
  <c r="EC74" i="9"/>
  <c r="AR74" i="9"/>
  <c r="DX74" i="9"/>
  <c r="BB77" i="18"/>
  <c r="BC77" i="18"/>
  <c r="B44" i="17"/>
  <c r="C44" i="17"/>
  <c r="F44" i="17" s="1"/>
  <c r="G44" i="17"/>
  <c r="E44" i="17"/>
  <c r="AS14" i="7"/>
  <c r="AR14" i="7"/>
  <c r="AO277" i="7" s="1"/>
  <c r="AQ13" i="7"/>
  <c r="AP13" i="7"/>
  <c r="AR136" i="9"/>
  <c r="AH198" i="9"/>
  <c r="BB136" i="9"/>
  <c r="CA136" i="9"/>
  <c r="BZ136" i="9" s="1"/>
  <c r="CB136" i="9" s="1"/>
  <c r="CC136" i="9" s="1"/>
  <c r="CD136" i="9" s="1"/>
  <c r="CE136" i="9" s="1"/>
  <c r="BL136" i="9"/>
  <c r="AR199" i="9"/>
  <c r="BB199" i="9"/>
  <c r="BL199" i="9"/>
  <c r="CA199" i="9"/>
  <c r="BZ199" i="9" s="1"/>
  <c r="BL78" i="18"/>
  <c r="BM78" i="18"/>
  <c r="CA10" i="9"/>
  <c r="BL10" i="9"/>
  <c r="AH10" i="9"/>
  <c r="AO12" i="7"/>
  <c r="K10" i="9"/>
  <c r="AR10" i="9"/>
  <c r="BG12" i="18"/>
  <c r="AC12" i="18"/>
  <c r="BQ12" i="18"/>
  <c r="AW12" i="18"/>
  <c r="AW74" i="18" s="1"/>
  <c r="X10" i="9"/>
  <c r="BB10" i="9"/>
  <c r="BH12" i="7" s="1"/>
  <c r="A151" i="13"/>
  <c r="A202" i="13" s="1"/>
  <c r="A242" i="13" s="1"/>
  <c r="DB10" i="9"/>
  <c r="A12" i="12"/>
  <c r="AB14" i="12" s="1"/>
  <c r="DX10" i="9"/>
  <c r="DQ10" i="9"/>
  <c r="EC10" i="9"/>
  <c r="CA12" i="18"/>
  <c r="I23" i="10"/>
  <c r="AQ14" i="18"/>
  <c r="AX14" i="18" s="1"/>
  <c r="AY14" i="18" s="1"/>
  <c r="AZ14" i="18" s="1"/>
  <c r="BA14" i="18" s="1"/>
  <c r="J155" i="13"/>
  <c r="AN42" i="6"/>
  <c r="A45" i="5" s="1"/>
  <c r="U45" i="5" s="1"/>
  <c r="A22" i="10"/>
  <c r="EH9" i="9" s="1"/>
  <c r="A45" i="17"/>
  <c r="A463" i="6"/>
  <c r="BG75" i="18"/>
  <c r="BQ75" i="18"/>
  <c r="CA75" i="18"/>
  <c r="AD201" i="9"/>
  <c r="AC201" i="9"/>
  <c r="R37" i="18"/>
  <c r="S37" i="18" s="1"/>
  <c r="E40" i="18" s="1"/>
  <c r="Y200" i="9"/>
  <c r="Z200" i="9" s="1"/>
  <c r="AA200" i="9" s="1"/>
  <c r="AB200" i="9" s="1"/>
  <c r="DR76" i="9"/>
  <c r="DS76" i="9"/>
  <c r="Z76" i="9"/>
  <c r="AA76" i="9" s="1"/>
  <c r="AB76" i="9" s="1"/>
  <c r="CA73" i="9"/>
  <c r="BZ73" i="9" s="1"/>
  <c r="BZ11" i="9"/>
  <c r="CB11" i="9" s="1"/>
  <c r="CC11" i="9" s="1"/>
  <c r="CD11" i="9" s="1"/>
  <c r="CE11" i="9" s="1"/>
  <c r="M12" i="9"/>
  <c r="AS14" i="18"/>
  <c r="AX76" i="18" s="1"/>
  <c r="AY76" i="18" s="1"/>
  <c r="AZ76" i="18" s="1"/>
  <c r="BA76" i="18" s="1"/>
  <c r="O26" i="10"/>
  <c r="AT15" i="18" s="1"/>
  <c r="BH77" i="18" s="1"/>
  <c r="BI77" i="18" s="1"/>
  <c r="BJ77" i="18" s="1"/>
  <c r="BK77" i="18" s="1"/>
  <c r="CG12" i="9"/>
  <c r="CF12" i="9"/>
  <c r="AG14" i="18"/>
  <c r="AF14" i="18"/>
  <c r="J207" i="13"/>
  <c r="CG137" i="9"/>
  <c r="CF137" i="9"/>
  <c r="Y75" i="9"/>
  <c r="Q14" i="9"/>
  <c r="H39" i="18"/>
  <c r="AH13" i="18" s="1"/>
  <c r="G39" i="18"/>
  <c r="H44" i="17" l="1"/>
  <c r="H40" i="18"/>
  <c r="AH12" i="18" s="1"/>
  <c r="G40" i="18"/>
  <c r="C45" i="17"/>
  <c r="F45" i="17" s="1"/>
  <c r="B45" i="17"/>
  <c r="G45" i="17"/>
  <c r="E45" i="17"/>
  <c r="AQ13" i="18"/>
  <c r="AX13" i="18" s="1"/>
  <c r="AY13" i="18" s="1"/>
  <c r="AZ13" i="18" s="1"/>
  <c r="BA13" i="18" s="1"/>
  <c r="AI76" i="9"/>
  <c r="AJ76" i="9" s="1"/>
  <c r="AK76" i="9" s="1"/>
  <c r="AL76" i="9" s="1"/>
  <c r="CB76" i="9"/>
  <c r="CC76" i="9" s="1"/>
  <c r="CD76" i="9" s="1"/>
  <c r="CE76" i="9" s="1"/>
  <c r="Y74" i="9"/>
  <c r="Q13" i="9"/>
  <c r="CG11" i="9"/>
  <c r="CF11" i="9"/>
  <c r="A21" i="10"/>
  <c r="EH8" i="9" s="1"/>
  <c r="A464" i="6"/>
  <c r="A46" i="17"/>
  <c r="AN43" i="6"/>
  <c r="A46" i="5" s="1"/>
  <c r="U46" i="5" s="1"/>
  <c r="CA72" i="9"/>
  <c r="BZ72" i="9" s="1"/>
  <c r="BZ10" i="9"/>
  <c r="CB10" i="9" s="1"/>
  <c r="CC10" i="9" s="1"/>
  <c r="CD10" i="9" s="1"/>
  <c r="CE10" i="9" s="1"/>
  <c r="AR198" i="9"/>
  <c r="BL198" i="9"/>
  <c r="BB198" i="9"/>
  <c r="CA198" i="9"/>
  <c r="BZ198" i="9" s="1"/>
  <c r="BL77" i="18"/>
  <c r="BM77" i="18"/>
  <c r="AC200" i="9"/>
  <c r="AD200" i="9"/>
  <c r="B151" i="13"/>
  <c r="D12" i="12"/>
  <c r="E12" i="12" s="1"/>
  <c r="J23" i="10"/>
  <c r="AD12" i="18"/>
  <c r="AP12" i="18"/>
  <c r="AE12" i="18"/>
  <c r="AP12" i="7"/>
  <c r="AQ12" i="7"/>
  <c r="CG77" i="9"/>
  <c r="CF77" i="9"/>
  <c r="N40" i="18"/>
  <c r="Q40" i="18" s="1"/>
  <c r="O39" i="18"/>
  <c r="B42" i="18"/>
  <c r="P39" i="18"/>
  <c r="AS13" i="18"/>
  <c r="AX75" i="18" s="1"/>
  <c r="AY75" i="18" s="1"/>
  <c r="AZ75" i="18" s="1"/>
  <c r="BA75" i="18" s="1"/>
  <c r="M11" i="9"/>
  <c r="R27" i="10"/>
  <c r="O25" i="10"/>
  <c r="AT14" i="18" s="1"/>
  <c r="BH76" i="18" s="1"/>
  <c r="BI76" i="18" s="1"/>
  <c r="BJ76" i="18" s="1"/>
  <c r="BK76" i="18" s="1"/>
  <c r="AD76" i="9"/>
  <c r="AC76" i="9"/>
  <c r="AH134" i="9"/>
  <c r="X134" i="9"/>
  <c r="X196" i="9" s="1"/>
  <c r="X72" i="9"/>
  <c r="EH72" i="9" s="1"/>
  <c r="CF136" i="9"/>
  <c r="CG136" i="9"/>
  <c r="AM77" i="9"/>
  <c r="AN77" i="9"/>
  <c r="J154" i="13"/>
  <c r="CA9" i="9"/>
  <c r="BL9" i="9"/>
  <c r="BB9" i="9"/>
  <c r="BH11" i="7" s="1"/>
  <c r="DB9" i="9"/>
  <c r="K9" i="9"/>
  <c r="AC11" i="18"/>
  <c r="CA11" i="18"/>
  <c r="BG11" i="18"/>
  <c r="DX9" i="9"/>
  <c r="X9" i="9"/>
  <c r="AR9" i="9"/>
  <c r="AO11" i="7"/>
  <c r="A150" i="13"/>
  <c r="A201" i="13" s="1"/>
  <c r="A241" i="13" s="1"/>
  <c r="DQ9" i="9"/>
  <c r="AW11" i="18"/>
  <c r="AW73" i="18" s="1"/>
  <c r="A11" i="12"/>
  <c r="AB13" i="12" s="1"/>
  <c r="BQ11" i="18"/>
  <c r="AH9" i="9"/>
  <c r="EC9" i="9"/>
  <c r="I22" i="10"/>
  <c r="CA74" i="18"/>
  <c r="BQ74" i="18"/>
  <c r="BG74" i="18"/>
  <c r="AR13" i="7"/>
  <c r="AO276" i="7" s="1"/>
  <c r="S38" i="18"/>
  <c r="E41" i="18" s="1"/>
  <c r="AR73" i="9"/>
  <c r="EC73" i="9"/>
  <c r="DQ73" i="9"/>
  <c r="BB73" i="9"/>
  <c r="AH73" i="9"/>
  <c r="BL73" i="9" s="1"/>
  <c r="DX73" i="9"/>
  <c r="AF13" i="18"/>
  <c r="C203" i="13"/>
  <c r="D203" i="13" s="1"/>
  <c r="D152" i="13"/>
  <c r="J206" i="13"/>
  <c r="BC76" i="18"/>
  <c r="BB76" i="18"/>
  <c r="DR75" i="9"/>
  <c r="Z75" i="9"/>
  <c r="AA75" i="9" s="1"/>
  <c r="AB75" i="9" s="1"/>
  <c r="Y199" i="9"/>
  <c r="Z199" i="9" s="1"/>
  <c r="AA199" i="9" s="1"/>
  <c r="AB199" i="9" s="1"/>
  <c r="DS75" i="9"/>
  <c r="BC14" i="18"/>
  <c r="BB14" i="18"/>
  <c r="Q39" i="18"/>
  <c r="BB135" i="9"/>
  <c r="AH197" i="9"/>
  <c r="CA135" i="9"/>
  <c r="BZ135" i="9" s="1"/>
  <c r="CB135" i="9" s="1"/>
  <c r="CC135" i="9" s="1"/>
  <c r="CD135" i="9" s="1"/>
  <c r="CE135" i="9" s="1"/>
  <c r="BL135" i="9"/>
  <c r="AR135" i="9"/>
  <c r="CF135" i="9" l="1"/>
  <c r="CG135" i="9"/>
  <c r="G41" i="18"/>
  <c r="H41" i="18"/>
  <c r="AH11" i="18" s="1"/>
  <c r="CA71" i="9"/>
  <c r="BZ71" i="9" s="1"/>
  <c r="BZ9" i="9"/>
  <c r="CB9" i="9" s="1"/>
  <c r="CC9" i="9" s="1"/>
  <c r="CD9" i="9" s="1"/>
  <c r="CE9" i="9" s="1"/>
  <c r="CA134" i="9"/>
  <c r="BZ134" i="9" s="1"/>
  <c r="CB134" i="9" s="1"/>
  <c r="CC134" i="9" s="1"/>
  <c r="CD134" i="9" s="1"/>
  <c r="CE134" i="9" s="1"/>
  <c r="BL134" i="9"/>
  <c r="AR134" i="9"/>
  <c r="BB134" i="9"/>
  <c r="AH196" i="9"/>
  <c r="R39" i="18"/>
  <c r="S39" i="18" s="1"/>
  <c r="E42" i="18" s="1"/>
  <c r="BL197" i="9"/>
  <c r="CA197" i="9"/>
  <c r="BZ197" i="9" s="1"/>
  <c r="AR197" i="9"/>
  <c r="BB197" i="9"/>
  <c r="AD199" i="9"/>
  <c r="AC199" i="9"/>
  <c r="D11" i="12"/>
  <c r="E11" i="12" s="1"/>
  <c r="B150" i="13"/>
  <c r="J22" i="10"/>
  <c r="AQ11" i="7"/>
  <c r="AP11" i="7"/>
  <c r="Y73" i="9"/>
  <c r="Q12" i="9"/>
  <c r="U13" i="9"/>
  <c r="AR12" i="7"/>
  <c r="AO275" i="7" s="1"/>
  <c r="M10" i="9"/>
  <c r="AS12" i="18"/>
  <c r="AX74" i="18" s="1"/>
  <c r="AY74" i="18" s="1"/>
  <c r="AZ74" i="18" s="1"/>
  <c r="BA74" i="18" s="1"/>
  <c r="R26" i="10"/>
  <c r="O24" i="10"/>
  <c r="AT13" i="18" s="1"/>
  <c r="BH75" i="18" s="1"/>
  <c r="BI75" i="18" s="1"/>
  <c r="BJ75" i="18" s="1"/>
  <c r="BK75" i="18" s="1"/>
  <c r="B46" i="17"/>
  <c r="C46" i="17"/>
  <c r="F46" i="17" s="1"/>
  <c r="E46" i="17"/>
  <c r="G46" i="17"/>
  <c r="AD75" i="9"/>
  <c r="AC75" i="9"/>
  <c r="BG73" i="18"/>
  <c r="BQ73" i="18"/>
  <c r="CA73" i="18"/>
  <c r="DX72" i="9"/>
  <c r="DQ72" i="9"/>
  <c r="AH72" i="9"/>
  <c r="BL72" i="9" s="1"/>
  <c r="AR72" i="9"/>
  <c r="EC72" i="9"/>
  <c r="BB72" i="9"/>
  <c r="BC75" i="18"/>
  <c r="BB75" i="18"/>
  <c r="CG10" i="9"/>
  <c r="CF10" i="9"/>
  <c r="DR74" i="9"/>
  <c r="Y198" i="9"/>
  <c r="Z198" i="9" s="1"/>
  <c r="AA198" i="9" s="1"/>
  <c r="AB198" i="9" s="1"/>
  <c r="Z74" i="9"/>
  <c r="AA74" i="9" s="1"/>
  <c r="AB74" i="9" s="1"/>
  <c r="DS74" i="9"/>
  <c r="BB13" i="18"/>
  <c r="BC13" i="18"/>
  <c r="J153" i="13"/>
  <c r="P155" i="13"/>
  <c r="X71" i="9"/>
  <c r="EH71" i="9" s="1"/>
  <c r="X133" i="9"/>
  <c r="X195" i="9" s="1"/>
  <c r="AH133" i="9"/>
  <c r="AP11" i="18"/>
  <c r="AE11" i="18"/>
  <c r="AD11" i="18"/>
  <c r="BL76" i="18"/>
  <c r="BM76" i="18"/>
  <c r="P40" i="18"/>
  <c r="R40" i="18" s="1"/>
  <c r="B43" i="18"/>
  <c r="O40" i="18"/>
  <c r="C202" i="13"/>
  <c r="D202" i="13" s="1"/>
  <c r="D151" i="13"/>
  <c r="CA8" i="9"/>
  <c r="BL8" i="9"/>
  <c r="BG10" i="18"/>
  <c r="AC10" i="18"/>
  <c r="DX8" i="9"/>
  <c r="AR8" i="9"/>
  <c r="DQ8" i="9"/>
  <c r="BQ10" i="18"/>
  <c r="BB8" i="9"/>
  <c r="BH10" i="7" s="1"/>
  <c r="A149" i="13"/>
  <c r="A200" i="13" s="1"/>
  <c r="A240" i="13" s="1"/>
  <c r="AH8" i="9"/>
  <c r="EC8" i="9"/>
  <c r="DB8" i="9"/>
  <c r="A10" i="12"/>
  <c r="AB12" i="12" s="1"/>
  <c r="K8" i="9"/>
  <c r="X8" i="9"/>
  <c r="CA10" i="18"/>
  <c r="AO10" i="7"/>
  <c r="AW10" i="18"/>
  <c r="AW72" i="18" s="1"/>
  <c r="I21" i="10"/>
  <c r="CF76" i="9"/>
  <c r="CG76" i="9"/>
  <c r="H45" i="17"/>
  <c r="P208" i="13"/>
  <c r="J205" i="13"/>
  <c r="AF12" i="18"/>
  <c r="A20" i="10"/>
  <c r="EH7" i="9" s="1"/>
  <c r="A47" i="17"/>
  <c r="A465" i="6"/>
  <c r="AI75" i="9"/>
  <c r="AJ75" i="9" s="1"/>
  <c r="AK75" i="9" s="1"/>
  <c r="AL75" i="9" s="1"/>
  <c r="CB75" i="9"/>
  <c r="CC75" i="9" s="1"/>
  <c r="CD75" i="9" s="1"/>
  <c r="CE75" i="9" s="1"/>
  <c r="AN76" i="9"/>
  <c r="AM76" i="9"/>
  <c r="AQ12" i="18"/>
  <c r="AX12" i="18" s="1"/>
  <c r="AY12" i="18" s="1"/>
  <c r="AZ12" i="18" s="1"/>
  <c r="BA12" i="18" s="1"/>
  <c r="S40" i="18" l="1"/>
  <c r="E43" i="18" s="1"/>
  <c r="H43" i="18" s="1"/>
  <c r="AH9" i="18" s="1"/>
  <c r="H42" i="18"/>
  <c r="AH10" i="18" s="1"/>
  <c r="G42" i="18"/>
  <c r="AQ11" i="18"/>
  <c r="AX11" i="18" s="1"/>
  <c r="AY11" i="18" s="1"/>
  <c r="AZ11" i="18" s="1"/>
  <c r="BA11" i="18" s="1"/>
  <c r="BB12" i="18"/>
  <c r="BC12" i="18"/>
  <c r="CG75" i="9"/>
  <c r="CF75" i="9"/>
  <c r="CA7" i="9"/>
  <c r="BL7" i="9"/>
  <c r="K7" i="9"/>
  <c r="BB7" i="9"/>
  <c r="EC7" i="9"/>
  <c r="AR7" i="9"/>
  <c r="DX7" i="9"/>
  <c r="BQ9" i="18"/>
  <c r="AW9" i="18"/>
  <c r="AW71" i="18" s="1"/>
  <c r="DQ7" i="9"/>
  <c r="BG9" i="18"/>
  <c r="CA9" i="18"/>
  <c r="X7" i="9"/>
  <c r="AH7" i="9"/>
  <c r="A148" i="13"/>
  <c r="A199" i="13" s="1"/>
  <c r="A239" i="13" s="1"/>
  <c r="AO9" i="7"/>
  <c r="DB7" i="9"/>
  <c r="A9" i="12"/>
  <c r="AC9" i="18"/>
  <c r="I20" i="10"/>
  <c r="AQ10" i="7"/>
  <c r="AP10" i="7"/>
  <c r="J204" i="13"/>
  <c r="P207" i="13"/>
  <c r="BB74" i="18"/>
  <c r="BC74" i="18"/>
  <c r="Y197" i="9"/>
  <c r="Z197" i="9" s="1"/>
  <c r="AA197" i="9" s="1"/>
  <c r="AB197" i="9" s="1"/>
  <c r="DS73" i="9"/>
  <c r="DR73" i="9"/>
  <c r="Z73" i="9"/>
  <c r="AA73" i="9" s="1"/>
  <c r="AB73" i="9" s="1"/>
  <c r="B149" i="13"/>
  <c r="J21" i="10"/>
  <c r="D10" i="12"/>
  <c r="E10" i="12" s="1"/>
  <c r="X132" i="9"/>
  <c r="X194" i="9" s="1"/>
  <c r="X70" i="9"/>
  <c r="EH70" i="9" s="1"/>
  <c r="AH132" i="9"/>
  <c r="AE10" i="18"/>
  <c r="AD10" i="18"/>
  <c r="AP10" i="18"/>
  <c r="CA133" i="9"/>
  <c r="BZ133" i="9" s="1"/>
  <c r="CB133" i="9" s="1"/>
  <c r="CC133" i="9" s="1"/>
  <c r="CD133" i="9" s="1"/>
  <c r="CE133" i="9" s="1"/>
  <c r="BB133" i="9"/>
  <c r="BL133" i="9"/>
  <c r="AH195" i="9"/>
  <c r="AR133" i="9"/>
  <c r="Y72" i="9"/>
  <c r="Q11" i="9"/>
  <c r="U12" i="9"/>
  <c r="M9" i="9"/>
  <c r="AS11" i="18"/>
  <c r="AX73" i="18" s="1"/>
  <c r="AY73" i="18" s="1"/>
  <c r="AZ73" i="18" s="1"/>
  <c r="BA73" i="18" s="1"/>
  <c r="O23" i="10"/>
  <c r="AT12" i="18" s="1"/>
  <c r="BH74" i="18" s="1"/>
  <c r="BI74" i="18" s="1"/>
  <c r="BJ74" i="18" s="1"/>
  <c r="BK74" i="18" s="1"/>
  <c r="R25" i="10"/>
  <c r="CA196" i="9"/>
  <c r="BZ196" i="9" s="1"/>
  <c r="AR196" i="9"/>
  <c r="BL196" i="9"/>
  <c r="BB196" i="9"/>
  <c r="CG134" i="9"/>
  <c r="CF134" i="9"/>
  <c r="AN75" i="9"/>
  <c r="AM75" i="9"/>
  <c r="CA70" i="9"/>
  <c r="BZ70" i="9" s="1"/>
  <c r="BZ8" i="9"/>
  <c r="CB8" i="9" s="1"/>
  <c r="CC8" i="9" s="1"/>
  <c r="CD8" i="9" s="1"/>
  <c r="CE8" i="9" s="1"/>
  <c r="C47" i="17"/>
  <c r="F47" i="17" s="1"/>
  <c r="B47" i="17"/>
  <c r="G47" i="17"/>
  <c r="E47" i="17"/>
  <c r="BG72" i="18"/>
  <c r="BQ72" i="18"/>
  <c r="CA72" i="18"/>
  <c r="J152" i="13"/>
  <c r="P154" i="13"/>
  <c r="AF11" i="18"/>
  <c r="AG11" i="18"/>
  <c r="AC74" i="9"/>
  <c r="AD74" i="9"/>
  <c r="BM75" i="18"/>
  <c r="BL75" i="18"/>
  <c r="AI199" i="9"/>
  <c r="AJ199" i="9" s="1"/>
  <c r="AK199" i="9" s="1"/>
  <c r="AL199" i="9" s="1"/>
  <c r="CB199" i="9"/>
  <c r="CC199" i="9" s="1"/>
  <c r="CD199" i="9" s="1"/>
  <c r="CE199" i="9" s="1"/>
  <c r="C201" i="13"/>
  <c r="D201" i="13" s="1"/>
  <c r="D150" i="13"/>
  <c r="CG9" i="9"/>
  <c r="CF9" i="9"/>
  <c r="AR71" i="9"/>
  <c r="DX71" i="9"/>
  <c r="AH71" i="9"/>
  <c r="BL71" i="9" s="1"/>
  <c r="DQ71" i="9"/>
  <c r="EC71" i="9"/>
  <c r="BB71" i="9"/>
  <c r="AD198" i="9"/>
  <c r="AC198" i="9"/>
  <c r="H46" i="17"/>
  <c r="AI74" i="9"/>
  <c r="AJ74" i="9" s="1"/>
  <c r="AK74" i="9" s="1"/>
  <c r="AL74" i="9" s="1"/>
  <c r="CB74" i="9"/>
  <c r="CC74" i="9" s="1"/>
  <c r="CD74" i="9" s="1"/>
  <c r="CE74" i="9" s="1"/>
  <c r="AS11" i="7"/>
  <c r="AR11" i="7"/>
  <c r="AO274" i="7" s="1"/>
  <c r="G43" i="18" l="1"/>
  <c r="DS72" i="9"/>
  <c r="Z72" i="9"/>
  <c r="AA72" i="9" s="1"/>
  <c r="AB72" i="9" s="1"/>
  <c r="DR72" i="9"/>
  <c r="Y196" i="9"/>
  <c r="Z196" i="9" s="1"/>
  <c r="AA196" i="9" s="1"/>
  <c r="AB196" i="9" s="1"/>
  <c r="CA195" i="9"/>
  <c r="BZ195" i="9" s="1"/>
  <c r="BL195" i="9"/>
  <c r="BB195" i="9"/>
  <c r="AR195" i="9"/>
  <c r="EC70" i="9"/>
  <c r="BB70" i="9"/>
  <c r="DX70" i="9"/>
  <c r="DQ70" i="9"/>
  <c r="AR70" i="9"/>
  <c r="AH70" i="9"/>
  <c r="BL70" i="9" s="1"/>
  <c r="AC197" i="9"/>
  <c r="AD197" i="9"/>
  <c r="AP9" i="18"/>
  <c r="AD9" i="18"/>
  <c r="AE9" i="18"/>
  <c r="BB11" i="18"/>
  <c r="BC11" i="18"/>
  <c r="AM74" i="9"/>
  <c r="AN74" i="9"/>
  <c r="Y71" i="9"/>
  <c r="Q10" i="9"/>
  <c r="U11" i="9"/>
  <c r="C200" i="13"/>
  <c r="D200" i="13" s="1"/>
  <c r="D149" i="13"/>
  <c r="P153" i="13"/>
  <c r="J151" i="13"/>
  <c r="AM199" i="9"/>
  <c r="AN199" i="9"/>
  <c r="H47" i="17"/>
  <c r="CG8" i="9"/>
  <c r="CF8" i="9"/>
  <c r="AF10" i="18"/>
  <c r="AD73" i="9"/>
  <c r="AC73" i="9"/>
  <c r="AB11" i="12"/>
  <c r="AA8" i="12"/>
  <c r="AA11" i="12" s="1"/>
  <c r="AA12" i="12" s="1"/>
  <c r="AA13" i="12" s="1"/>
  <c r="AA14" i="12" s="1"/>
  <c r="AA15" i="12" s="1"/>
  <c r="AA16" i="12" s="1"/>
  <c r="AA17" i="12" s="1"/>
  <c r="AA18" i="12" s="1"/>
  <c r="AA19" i="12" s="1"/>
  <c r="AA20" i="12" s="1"/>
  <c r="AA21" i="12" s="1"/>
  <c r="AA22" i="12" s="1"/>
  <c r="J203" i="13"/>
  <c r="P206" i="13"/>
  <c r="X69" i="9"/>
  <c r="EH69" i="9" s="1"/>
  <c r="AH131" i="9"/>
  <c r="X131" i="9"/>
  <c r="X193" i="9" s="1"/>
  <c r="CA71" i="18"/>
  <c r="BG71" i="18"/>
  <c r="BQ71" i="18"/>
  <c r="CA69" i="9"/>
  <c r="BZ69" i="9" s="1"/>
  <c r="BZ7" i="9"/>
  <c r="CB7" i="9" s="1"/>
  <c r="AQ10" i="18"/>
  <c r="AX10" i="18" s="1"/>
  <c r="AY10" i="18" s="1"/>
  <c r="AZ10" i="18" s="1"/>
  <c r="BA10" i="18" s="1"/>
  <c r="CG199" i="9"/>
  <c r="CF199" i="9"/>
  <c r="AQ9" i="18"/>
  <c r="AX9" i="18" s="1"/>
  <c r="BL74" i="18"/>
  <c r="BM74" i="18"/>
  <c r="AI198" i="9"/>
  <c r="AJ198" i="9" s="1"/>
  <c r="AK198" i="9" s="1"/>
  <c r="AL198" i="9" s="1"/>
  <c r="CB198" i="9"/>
  <c r="CC198" i="9" s="1"/>
  <c r="CD198" i="9" s="1"/>
  <c r="CE198" i="9" s="1"/>
  <c r="CG74" i="9"/>
  <c r="CF74" i="9"/>
  <c r="BB73" i="18"/>
  <c r="BC73" i="18"/>
  <c r="AI73" i="9"/>
  <c r="AJ73" i="9" s="1"/>
  <c r="AK73" i="9" s="1"/>
  <c r="AL73" i="9" s="1"/>
  <c r="CB73" i="9"/>
  <c r="CC73" i="9" s="1"/>
  <c r="CD73" i="9" s="1"/>
  <c r="CE73" i="9" s="1"/>
  <c r="CG133" i="9"/>
  <c r="CF133" i="9"/>
  <c r="AH194" i="9"/>
  <c r="CA132" i="9"/>
  <c r="BZ132" i="9" s="1"/>
  <c r="CB132" i="9" s="1"/>
  <c r="CC132" i="9" s="1"/>
  <c r="CD132" i="9" s="1"/>
  <c r="CE132" i="9" s="1"/>
  <c r="BL132" i="9"/>
  <c r="AR132" i="9"/>
  <c r="BB132" i="9"/>
  <c r="AS10" i="18"/>
  <c r="AX72" i="18" s="1"/>
  <c r="AY72" i="18" s="1"/>
  <c r="AZ72" i="18" s="1"/>
  <c r="BA72" i="18" s="1"/>
  <c r="M8" i="9"/>
  <c r="R24" i="10"/>
  <c r="O22" i="10"/>
  <c r="AT11" i="18" s="1"/>
  <c r="BH73" i="18" s="1"/>
  <c r="BI73" i="18" s="1"/>
  <c r="BJ73" i="18" s="1"/>
  <c r="BK73" i="18" s="1"/>
  <c r="AR10" i="7"/>
  <c r="AO273" i="7" s="1"/>
  <c r="B148" i="13"/>
  <c r="J20" i="10"/>
  <c r="D9" i="12"/>
  <c r="E9" i="12" s="1"/>
  <c r="AP9" i="7"/>
  <c r="AQ9" i="7"/>
  <c r="C199" i="13" l="1"/>
  <c r="D199" i="13" s="1"/>
  <c r="D148" i="13"/>
  <c r="CA194" i="9"/>
  <c r="BZ194" i="9" s="1"/>
  <c r="BB194" i="9"/>
  <c r="AR194" i="9"/>
  <c r="BL194" i="9"/>
  <c r="AI197" i="9"/>
  <c r="AJ197" i="9" s="1"/>
  <c r="AK197" i="9" s="1"/>
  <c r="AL197" i="9" s="1"/>
  <c r="CB197" i="9"/>
  <c r="CC197" i="9" s="1"/>
  <c r="CD197" i="9" s="1"/>
  <c r="CE197" i="9" s="1"/>
  <c r="Y70" i="9"/>
  <c r="U10" i="9"/>
  <c r="Q9" i="9"/>
  <c r="CF198" i="9"/>
  <c r="CG198" i="9"/>
  <c r="EC69" i="9"/>
  <c r="AR69" i="9"/>
  <c r="BB69" i="9"/>
  <c r="DQ69" i="9"/>
  <c r="AH69" i="9"/>
  <c r="BL69" i="9" s="1"/>
  <c r="DX69" i="9"/>
  <c r="Z71" i="9"/>
  <c r="AA71" i="9" s="1"/>
  <c r="AB71" i="9" s="1"/>
  <c r="DR71" i="9"/>
  <c r="Y195" i="9"/>
  <c r="Z195" i="9" s="1"/>
  <c r="AA195" i="9" s="1"/>
  <c r="AB195" i="9" s="1"/>
  <c r="DS71" i="9"/>
  <c r="AY9" i="18"/>
  <c r="P152" i="13"/>
  <c r="J150" i="13"/>
  <c r="AS9" i="18"/>
  <c r="AX71" i="18" s="1"/>
  <c r="M7" i="9"/>
  <c r="O21" i="10"/>
  <c r="AT10" i="18" s="1"/>
  <c r="BH72" i="18" s="1"/>
  <c r="R23" i="10"/>
  <c r="BB72" i="18"/>
  <c r="BC72" i="18"/>
  <c r="CG132" i="9"/>
  <c r="CF132" i="9"/>
  <c r="AN198" i="9"/>
  <c r="AM198" i="9"/>
  <c r="CC7" i="9"/>
  <c r="AC196" i="9"/>
  <c r="AD196" i="9"/>
  <c r="BM73" i="18"/>
  <c r="BL73" i="18"/>
  <c r="CF73" i="9"/>
  <c r="CG73" i="9"/>
  <c r="AR9" i="7"/>
  <c r="AO272" i="7" s="1"/>
  <c r="AN73" i="9"/>
  <c r="AM73" i="9"/>
  <c r="BC10" i="18"/>
  <c r="BB10" i="18"/>
  <c r="BB131" i="9"/>
  <c r="AR131" i="9"/>
  <c r="AH193" i="9"/>
  <c r="CA131" i="9"/>
  <c r="BZ131" i="9" s="1"/>
  <c r="CB131" i="9" s="1"/>
  <c r="BL131" i="9"/>
  <c r="P205" i="13"/>
  <c r="J202" i="13"/>
  <c r="AI72" i="9"/>
  <c r="AJ72" i="9" s="1"/>
  <c r="AK72" i="9" s="1"/>
  <c r="AL72" i="9" s="1"/>
  <c r="CB72" i="9"/>
  <c r="CC72" i="9" s="1"/>
  <c r="CD72" i="9" s="1"/>
  <c r="CE72" i="9" s="1"/>
  <c r="AF9" i="18"/>
  <c r="AD72" i="9"/>
  <c r="AC72" i="9"/>
  <c r="AZ9" i="18" l="1"/>
  <c r="DR70" i="9"/>
  <c r="Y194" i="9"/>
  <c r="Z194" i="9" s="1"/>
  <c r="AA194" i="9" s="1"/>
  <c r="AB194" i="9" s="1"/>
  <c r="Z70" i="9"/>
  <c r="AA70" i="9" s="1"/>
  <c r="AB70" i="9" s="1"/>
  <c r="DS70" i="9"/>
  <c r="CD7" i="9"/>
  <c r="BI72" i="18"/>
  <c r="AC71" i="9"/>
  <c r="AD71" i="9"/>
  <c r="CF197" i="9"/>
  <c r="CG197" i="9"/>
  <c r="CF72" i="9"/>
  <c r="CG72" i="9"/>
  <c r="CC131" i="9"/>
  <c r="Y69" i="9"/>
  <c r="Q7" i="9"/>
  <c r="U9" i="9"/>
  <c r="U7" i="9"/>
  <c r="AI193" i="9" s="1"/>
  <c r="Q8" i="9"/>
  <c r="U8" i="9"/>
  <c r="AI194" i="9" s="1"/>
  <c r="AJ194" i="9" s="1"/>
  <c r="AK194" i="9" s="1"/>
  <c r="AL194" i="9" s="1"/>
  <c r="AI71" i="9"/>
  <c r="AJ71" i="9" s="1"/>
  <c r="AK71" i="9" s="1"/>
  <c r="AL71" i="9" s="1"/>
  <c r="CB71" i="9"/>
  <c r="CC71" i="9" s="1"/>
  <c r="CD71" i="9" s="1"/>
  <c r="CE71" i="9" s="1"/>
  <c r="AM197" i="9"/>
  <c r="AN197" i="9"/>
  <c r="P151" i="13"/>
  <c r="J149" i="13"/>
  <c r="AN72" i="9"/>
  <c r="AM72" i="9"/>
  <c r="BB193" i="9"/>
  <c r="BL193" i="9"/>
  <c r="CA193" i="9"/>
  <c r="BZ193" i="9" s="1"/>
  <c r="AR193" i="9"/>
  <c r="AY71" i="18"/>
  <c r="AD195" i="9"/>
  <c r="AC195" i="9"/>
  <c r="AI196" i="9"/>
  <c r="AJ196" i="9" s="1"/>
  <c r="AK196" i="9" s="1"/>
  <c r="AL196" i="9" s="1"/>
  <c r="CB196" i="9"/>
  <c r="CC196" i="9" s="1"/>
  <c r="CD196" i="9" s="1"/>
  <c r="CE196" i="9" s="1"/>
  <c r="J201" i="13"/>
  <c r="P204" i="13"/>
  <c r="AJ193" i="9" l="1"/>
  <c r="CF196" i="9"/>
  <c r="CG196" i="9"/>
  <c r="AN196" i="9"/>
  <c r="AM196" i="9"/>
  <c r="AZ71" i="18"/>
  <c r="CG71" i="9"/>
  <c r="CF71" i="9"/>
  <c r="AI195" i="9"/>
  <c r="AJ195" i="9" s="1"/>
  <c r="AK195" i="9" s="1"/>
  <c r="AL195" i="9" s="1"/>
  <c r="CB195" i="9"/>
  <c r="CC195" i="9" s="1"/>
  <c r="CD195" i="9" s="1"/>
  <c r="CE195" i="9" s="1"/>
  <c r="BJ72" i="18"/>
  <c r="AM71" i="9"/>
  <c r="AN71" i="9"/>
  <c r="AN194" i="9"/>
  <c r="AM194" i="9"/>
  <c r="AI69" i="9"/>
  <c r="CB69" i="9"/>
  <c r="CD131" i="9"/>
  <c r="AC70" i="9"/>
  <c r="AD70" i="9"/>
  <c r="BA9" i="18"/>
  <c r="CB193" i="9"/>
  <c r="AI70" i="9"/>
  <c r="AJ70" i="9" s="1"/>
  <c r="AK70" i="9" s="1"/>
  <c r="AL70" i="9" s="1"/>
  <c r="CB70" i="9"/>
  <c r="CC70" i="9" s="1"/>
  <c r="CD70" i="9" s="1"/>
  <c r="CE70" i="9" s="1"/>
  <c r="DS69" i="9"/>
  <c r="Y193" i="9"/>
  <c r="Z69" i="9"/>
  <c r="DR69" i="9"/>
  <c r="CB194" i="9"/>
  <c r="CC194" i="9" s="1"/>
  <c r="CD194" i="9" s="1"/>
  <c r="CE194" i="9" s="1"/>
  <c r="CE7" i="9"/>
  <c r="AD194" i="9"/>
  <c r="AC194" i="9"/>
  <c r="Z193" i="9" l="1"/>
  <c r="BB9" i="18"/>
  <c r="BC9" i="18"/>
  <c r="CF195" i="9"/>
  <c r="CG195" i="9"/>
  <c r="AK193" i="9"/>
  <c r="CG7" i="9"/>
  <c r="CF7" i="9"/>
  <c r="CE131" i="9"/>
  <c r="AM195" i="9"/>
  <c r="AN195" i="9"/>
  <c r="CG194" i="9"/>
  <c r="CF194" i="9"/>
  <c r="CF70" i="9"/>
  <c r="CG70" i="9"/>
  <c r="CC69" i="9"/>
  <c r="BK72" i="18"/>
  <c r="BA71" i="18"/>
  <c r="AA69" i="9"/>
  <c r="AM70" i="9"/>
  <c r="AN70" i="9"/>
  <c r="CC193" i="9"/>
  <c r="AJ69" i="9"/>
  <c r="CD69" i="9" l="1"/>
  <c r="AA193" i="9"/>
  <c r="AK69" i="9"/>
  <c r="AB69" i="9"/>
  <c r="BC71" i="18"/>
  <c r="BB71" i="18"/>
  <c r="CD193" i="9"/>
  <c r="BM72" i="18"/>
  <c r="BL72" i="18"/>
  <c r="CG131" i="9"/>
  <c r="CF131" i="9"/>
  <c r="AL193" i="9"/>
  <c r="AM193" i="9" l="1"/>
  <c r="AN193" i="9"/>
  <c r="AC69" i="9"/>
  <c r="AD69" i="9"/>
  <c r="AB193" i="9"/>
  <c r="CE193" i="9"/>
  <c r="CE69" i="9"/>
  <c r="AL69" i="9"/>
  <c r="CG69" i="9" l="1"/>
  <c r="CF69" i="9"/>
  <c r="CF193" i="9"/>
  <c r="CG193" i="9"/>
  <c r="AM69" i="9"/>
  <c r="AN69" i="9"/>
  <c r="AD193" i="9"/>
  <c r="AC193" i="9"/>
  <c r="Q45" i="6" l="1"/>
  <c r="Q99" i="6"/>
  <c r="Q152" i="6" l="1"/>
  <c r="Q16" i="20" s="1"/>
  <c r="Q182" i="6"/>
  <c r="Q176" i="6"/>
  <c r="Q178" i="6"/>
  <c r="Q181" i="6"/>
  <c r="Q177" i="6"/>
  <c r="Q184" i="6"/>
  <c r="Q180" i="6"/>
  <c r="Q174" i="6"/>
  <c r="Q175" i="6"/>
  <c r="Q183" i="6"/>
  <c r="Q179" i="6"/>
  <c r="Q173" i="6"/>
  <c r="R142" i="6"/>
  <c r="Q150" i="6"/>
  <c r="Q193" i="6" s="1"/>
  <c r="F236" i="6" s="1"/>
  <c r="Q157" i="6"/>
  <c r="Q21" i="20" s="1"/>
  <c r="Q163" i="6"/>
  <c r="Q27" i="20" s="1"/>
  <c r="Q169" i="6"/>
  <c r="Q33" i="20" s="1"/>
  <c r="Q167" i="6"/>
  <c r="Q159" i="6"/>
  <c r="Q164" i="6"/>
  <c r="C451" i="6"/>
  <c r="Q171" i="6"/>
  <c r="Q35" i="20" s="1"/>
  <c r="Q155" i="6"/>
  <c r="Q165" i="6"/>
  <c r="Q156" i="6"/>
  <c r="Q151" i="6"/>
  <c r="Q172" i="6"/>
  <c r="Q36" i="20" s="1"/>
  <c r="Q38" i="20" s="1"/>
  <c r="Q41" i="20" s="1"/>
  <c r="Q153" i="6"/>
  <c r="Q158" i="6"/>
  <c r="Q160" i="6"/>
  <c r="Q162" i="6"/>
  <c r="Q135" i="6"/>
  <c r="Q168" i="6"/>
  <c r="Q212" i="6" s="1"/>
  <c r="Q170" i="6"/>
  <c r="Q161" i="6"/>
  <c r="Q166" i="6"/>
  <c r="Q154" i="6"/>
  <c r="Q206" i="6" l="1"/>
  <c r="T249" i="6" s="1"/>
  <c r="Q14" i="20"/>
  <c r="AD65" i="5"/>
  <c r="AD64" i="5"/>
  <c r="R143" i="6"/>
  <c r="S249" i="6"/>
  <c r="E249" i="6"/>
  <c r="C467" i="6"/>
  <c r="F451" i="6"/>
  <c r="Q23" i="20"/>
  <c r="Q202" i="6"/>
  <c r="Q210" i="6"/>
  <c r="Q31" i="20"/>
  <c r="Q25" i="20"/>
  <c r="Q204" i="6"/>
  <c r="Q198" i="6"/>
  <c r="F241" i="6" s="1"/>
  <c r="Q19" i="20"/>
  <c r="Q18" i="20"/>
  <c r="Q197" i="6"/>
  <c r="F240" i="6" s="1"/>
  <c r="Q34" i="20"/>
  <c r="Q213" i="6"/>
  <c r="Q24" i="20"/>
  <c r="Q203" i="6"/>
  <c r="Q15" i="20"/>
  <c r="Q194" i="6"/>
  <c r="F237" i="6" s="1"/>
  <c r="Q30" i="20"/>
  <c r="Q209" i="6"/>
  <c r="Q32" i="20"/>
  <c r="Q211" i="6"/>
  <c r="Q22" i="20"/>
  <c r="Q201" i="6"/>
  <c r="F244" i="6" s="1"/>
  <c r="Q20" i="20"/>
  <c r="Q199" i="6"/>
  <c r="F242" i="6" s="1"/>
  <c r="Q200" i="6"/>
  <c r="F243" i="6" s="1"/>
  <c r="Q195" i="6"/>
  <c r="F238" i="6" s="1"/>
  <c r="Q26" i="20"/>
  <c r="Q205" i="6"/>
  <c r="S255" i="6"/>
  <c r="M255" i="6"/>
  <c r="T255" i="6"/>
  <c r="N255" i="6"/>
  <c r="D255" i="6"/>
  <c r="F255" i="6"/>
  <c r="C255" i="6"/>
  <c r="E255" i="6"/>
  <c r="BM29" i="6"/>
  <c r="BY29" i="6"/>
  <c r="CA29" i="6" s="1"/>
  <c r="Q17" i="20"/>
  <c r="Q196" i="6"/>
  <c r="F239" i="6" s="1"/>
  <c r="Q29" i="20"/>
  <c r="Q208" i="6"/>
  <c r="Q28" i="20"/>
  <c r="Q207" i="6"/>
  <c r="H249" i="6" l="1"/>
  <c r="F249" i="6"/>
  <c r="H32" i="5"/>
  <c r="C256" i="6"/>
  <c r="X256" i="6" s="1"/>
  <c r="C302" i="6" s="1"/>
  <c r="D256" i="6"/>
  <c r="Y255" i="6" s="1"/>
  <c r="F301" i="6" s="1"/>
  <c r="N256" i="6"/>
  <c r="M256" i="6"/>
  <c r="E256" i="6"/>
  <c r="Z255" i="6" s="1"/>
  <c r="I301" i="6" s="1"/>
  <c r="T256" i="6"/>
  <c r="S256" i="6"/>
  <c r="F256" i="6"/>
  <c r="AA256" i="6" s="1"/>
  <c r="AA239" i="6"/>
  <c r="L285" i="6" s="1"/>
  <c r="AA243" i="6"/>
  <c r="L289" i="6" s="1"/>
  <c r="U255" i="6"/>
  <c r="T248" i="6"/>
  <c r="S248" i="6"/>
  <c r="F248" i="6"/>
  <c r="H248" i="6"/>
  <c r="E248" i="6"/>
  <c r="AA242" i="6"/>
  <c r="L288" i="6" s="1"/>
  <c r="T254" i="6"/>
  <c r="S254" i="6"/>
  <c r="M254" i="6"/>
  <c r="N254" i="6"/>
  <c r="E254" i="6"/>
  <c r="D254" i="6"/>
  <c r="C254" i="6"/>
  <c r="F254" i="6"/>
  <c r="AA254" i="6" s="1"/>
  <c r="L300" i="6" s="1"/>
  <c r="AA237" i="6"/>
  <c r="L283" i="6" s="1"/>
  <c r="U249" i="6"/>
  <c r="D34" i="10"/>
  <c r="O255" i="6"/>
  <c r="T250" i="6"/>
  <c r="S250" i="6"/>
  <c r="E250" i="6"/>
  <c r="H250" i="6"/>
  <c r="AE250" i="6" s="1"/>
  <c r="Z296" i="6" s="1"/>
  <c r="AA295" i="6" s="1"/>
  <c r="AB300" i="6" s="1"/>
  <c r="F250" i="6"/>
  <c r="AA241" i="6"/>
  <c r="L287" i="6" s="1"/>
  <c r="N253" i="6"/>
  <c r="S253" i="6"/>
  <c r="T253" i="6"/>
  <c r="M253" i="6"/>
  <c r="F253" i="6"/>
  <c r="G253" i="6"/>
  <c r="AD253" i="6" s="1"/>
  <c r="W299" i="6" s="1"/>
  <c r="X298" i="6" s="1"/>
  <c r="D253" i="6"/>
  <c r="E253" i="6"/>
  <c r="T251" i="6"/>
  <c r="S251" i="6"/>
  <c r="N251" i="6"/>
  <c r="M251" i="6"/>
  <c r="G251" i="6"/>
  <c r="E251" i="6"/>
  <c r="D251" i="6"/>
  <c r="F251" i="6"/>
  <c r="AA238" i="6"/>
  <c r="L284" i="6" s="1"/>
  <c r="N252" i="6"/>
  <c r="T252" i="6"/>
  <c r="M252" i="6"/>
  <c r="S252" i="6"/>
  <c r="D252" i="6"/>
  <c r="F252" i="6"/>
  <c r="E252" i="6"/>
  <c r="G252" i="6"/>
  <c r="T246" i="6"/>
  <c r="S246" i="6"/>
  <c r="E246" i="6"/>
  <c r="F246" i="6"/>
  <c r="I246" i="6"/>
  <c r="AA240" i="6"/>
  <c r="L286" i="6" s="1"/>
  <c r="T247" i="6"/>
  <c r="S247" i="6"/>
  <c r="I247" i="6"/>
  <c r="AF247" i="6" s="1"/>
  <c r="AC293" i="6" s="1"/>
  <c r="AD292" i="6" s="1"/>
  <c r="AE297" i="6" s="1"/>
  <c r="E247" i="6"/>
  <c r="F247" i="6"/>
  <c r="AA236" i="6"/>
  <c r="L282" i="6" s="1"/>
  <c r="F467" i="6"/>
  <c r="D467" i="6"/>
  <c r="T245" i="6"/>
  <c r="S245" i="6"/>
  <c r="F245" i="6"/>
  <c r="AA244" i="6" s="1"/>
  <c r="L290" i="6" s="1"/>
  <c r="I245" i="6"/>
  <c r="E245" i="6"/>
  <c r="AA249" i="6" l="1"/>
  <c r="L295" i="6" s="1"/>
  <c r="AA248" i="6"/>
  <c r="L294" i="6" s="1"/>
  <c r="Y303" i="6"/>
  <c r="D301" i="6"/>
  <c r="AN289" i="6" s="1"/>
  <c r="L302" i="6"/>
  <c r="AE249" i="6"/>
  <c r="Z295" i="6" s="1"/>
  <c r="AA294" i="6" s="1"/>
  <c r="AB299" i="6" s="1"/>
  <c r="AD252" i="6"/>
  <c r="W298" i="6" s="1"/>
  <c r="X297" i="6" s="1"/>
  <c r="AA253" i="6"/>
  <c r="L299" i="6" s="1"/>
  <c r="AA246" i="6"/>
  <c r="L292" i="6" s="1"/>
  <c r="AA247" i="6"/>
  <c r="L293" i="6" s="1"/>
  <c r="AA252" i="6"/>
  <c r="L298" i="6" s="1"/>
  <c r="AA255" i="6"/>
  <c r="Y251" i="6"/>
  <c r="F297" i="6" s="1"/>
  <c r="Y250" i="6"/>
  <c r="F296" i="6" s="1"/>
  <c r="O251" i="6"/>
  <c r="Z250" i="6"/>
  <c r="I296" i="6" s="1"/>
  <c r="U250" i="6"/>
  <c r="AC249" i="6" s="1"/>
  <c r="T295" i="6" s="1"/>
  <c r="X254" i="6"/>
  <c r="C300" i="6" s="1"/>
  <c r="X253" i="6"/>
  <c r="C299" i="6" s="1"/>
  <c r="Z248" i="6"/>
  <c r="I294" i="6" s="1"/>
  <c r="U248" i="6"/>
  <c r="AC248" i="6" s="1"/>
  <c r="T294" i="6" s="1"/>
  <c r="AF245" i="6"/>
  <c r="AC291" i="6" s="1"/>
  <c r="AF244" i="6"/>
  <c r="AC290" i="6" s="1"/>
  <c r="U246" i="6"/>
  <c r="Z246" i="6"/>
  <c r="I292" i="6" s="1"/>
  <c r="Z252" i="6"/>
  <c r="I298" i="6" s="1"/>
  <c r="U252" i="6"/>
  <c r="Z251" i="6"/>
  <c r="I297" i="6" s="1"/>
  <c r="U251" i="6"/>
  <c r="Y253" i="6"/>
  <c r="F299" i="6" s="1"/>
  <c r="O253" i="6"/>
  <c r="X255" i="6"/>
  <c r="C301" i="6" s="1"/>
  <c r="Z249" i="6"/>
  <c r="I295" i="6" s="1"/>
  <c r="Y256" i="6"/>
  <c r="O256" i="6"/>
  <c r="AB256" i="6" s="1"/>
  <c r="Q302" i="6" s="1"/>
  <c r="Y254" i="6"/>
  <c r="F300" i="6" s="1"/>
  <c r="O254" i="6"/>
  <c r="AB254" i="6" s="1"/>
  <c r="Q300" i="6" s="1"/>
  <c r="AE248" i="6"/>
  <c r="Z294" i="6" s="1"/>
  <c r="AA293" i="6" s="1"/>
  <c r="AB298" i="6" s="1"/>
  <c r="AE247" i="6"/>
  <c r="Z293" i="6" s="1"/>
  <c r="U256" i="6"/>
  <c r="AC256" i="6" s="1"/>
  <c r="T302" i="6" s="1"/>
  <c r="Z256" i="6"/>
  <c r="Z247" i="6"/>
  <c r="I293" i="6" s="1"/>
  <c r="U247" i="6"/>
  <c r="AD251" i="6"/>
  <c r="W297" i="6" s="1"/>
  <c r="AD250" i="6"/>
  <c r="W296" i="6" s="1"/>
  <c r="AP286" i="6"/>
  <c r="AA250" i="6"/>
  <c r="L296" i="6" s="1"/>
  <c r="U254" i="6"/>
  <c r="AC254" i="6" s="1"/>
  <c r="T300" i="6" s="1"/>
  <c r="Z254" i="6"/>
  <c r="I300" i="6" s="1"/>
  <c r="Z244" i="6"/>
  <c r="I290" i="6" s="1"/>
  <c r="U245" i="6"/>
  <c r="Z245" i="6"/>
  <c r="I291" i="6" s="1"/>
  <c r="Z253" i="6"/>
  <c r="I299" i="6" s="1"/>
  <c r="U253" i="6"/>
  <c r="AA245" i="6"/>
  <c r="L291" i="6" s="1"/>
  <c r="AR280" i="6"/>
  <c r="BA105" i="7" s="1"/>
  <c r="AF246" i="6"/>
  <c r="AC292" i="6" s="1"/>
  <c r="AD291" i="6" s="1"/>
  <c r="AE296" i="6" s="1"/>
  <c r="Y252" i="6"/>
  <c r="F298" i="6" s="1"/>
  <c r="O252" i="6"/>
  <c r="AA251" i="6"/>
  <c r="L297" i="6" s="1"/>
  <c r="AQ283" i="6"/>
  <c r="AB252" i="6" l="1"/>
  <c r="Q298" i="6" s="1"/>
  <c r="E306" i="6"/>
  <c r="AW33" i="6" s="1"/>
  <c r="BS33" i="6" s="1"/>
  <c r="AO289" i="6"/>
  <c r="X296" i="6"/>
  <c r="Y302" i="6"/>
  <c r="D300" i="6"/>
  <c r="D299" i="6" s="1"/>
  <c r="D298" i="6" s="1"/>
  <c r="D297" i="6" s="1"/>
  <c r="D296" i="6" s="1"/>
  <c r="D295" i="6" s="1"/>
  <c r="D294" i="6" s="1"/>
  <c r="D293" i="6" s="1"/>
  <c r="D292" i="6" s="1"/>
  <c r="D291" i="6" s="1"/>
  <c r="D290" i="6" s="1"/>
  <c r="D289" i="6" s="1"/>
  <c r="D288" i="6" s="1"/>
  <c r="D287" i="6" s="1"/>
  <c r="AA292" i="6"/>
  <c r="R301" i="6"/>
  <c r="AD290" i="6"/>
  <c r="AE295" i="6" s="1"/>
  <c r="M301" i="6"/>
  <c r="N306" i="6" s="1"/>
  <c r="AZ33" i="6" s="1"/>
  <c r="BV33" i="6" s="1"/>
  <c r="U301" i="6"/>
  <c r="V306" i="6" s="1"/>
  <c r="BB33" i="6" s="1"/>
  <c r="BW33" i="6" s="1"/>
  <c r="I302" i="6"/>
  <c r="J301" i="6" s="1"/>
  <c r="L301" i="6"/>
  <c r="F302" i="6"/>
  <c r="AP285" i="6"/>
  <c r="AQ282" i="6"/>
  <c r="AB255" i="6"/>
  <c r="Q301" i="6" s="1"/>
  <c r="AC247" i="6"/>
  <c r="T293" i="6" s="1"/>
  <c r="AC251" i="6"/>
  <c r="T297" i="6" s="1"/>
  <c r="AC255" i="6"/>
  <c r="T301" i="6" s="1"/>
  <c r="AC245" i="6"/>
  <c r="T291" i="6" s="1"/>
  <c r="AC244" i="6"/>
  <c r="T290" i="6" s="1"/>
  <c r="AB253" i="6"/>
  <c r="Q299" i="6" s="1"/>
  <c r="AC246" i="6"/>
  <c r="T292" i="6" s="1"/>
  <c r="AC250" i="6"/>
  <c r="T296" i="6" s="1"/>
  <c r="AR279" i="6"/>
  <c r="BA104" i="7" s="1"/>
  <c r="AC253" i="6"/>
  <c r="T299" i="6" s="1"/>
  <c r="AQ281" i="6"/>
  <c r="AC252" i="6"/>
  <c r="T298" i="6" s="1"/>
  <c r="AB251" i="6"/>
  <c r="Q297" i="6" s="1"/>
  <c r="AB250" i="6"/>
  <c r="Q296" i="6" s="1"/>
  <c r="D286" i="6" l="1"/>
  <c r="D285" i="6" s="1"/>
  <c r="D284" i="6" s="1"/>
  <c r="D283" i="6" s="1"/>
  <c r="D282" i="6" s="1"/>
  <c r="D281" i="6" s="1"/>
  <c r="E292" i="6"/>
  <c r="AN288" i="6"/>
  <c r="AO288" i="6"/>
  <c r="AD289" i="6"/>
  <c r="AE294" i="6" s="1"/>
  <c r="E305" i="6"/>
  <c r="AW32" i="6" s="1"/>
  <c r="BS32" i="6" s="1"/>
  <c r="R300" i="6"/>
  <c r="S306" i="6"/>
  <c r="BA33" i="6" s="1"/>
  <c r="G301" i="6"/>
  <c r="AM289" i="6" s="1"/>
  <c r="AB297" i="6"/>
  <c r="AA291" i="6"/>
  <c r="X295" i="6"/>
  <c r="Y301" i="6"/>
  <c r="AK301" i="6"/>
  <c r="M300" i="6"/>
  <c r="AK300" i="6" s="1"/>
  <c r="U300" i="6"/>
  <c r="K306" i="6"/>
  <c r="AY33" i="6" s="1"/>
  <c r="BU33" i="6" s="1"/>
  <c r="J300" i="6"/>
  <c r="E303" i="6"/>
  <c r="AW30" i="6" s="1"/>
  <c r="E304" i="6"/>
  <c r="AW31" i="6" s="1"/>
  <c r="AL301" i="6"/>
  <c r="AP284" i="6"/>
  <c r="AQ280" i="6"/>
  <c r="AZ105" i="7" s="1"/>
  <c r="AO287" i="6"/>
  <c r="AN287" i="6"/>
  <c r="AR278" i="6"/>
  <c r="BA103" i="7" s="1"/>
  <c r="AR277" i="6" l="1"/>
  <c r="BA102" i="7" s="1"/>
  <c r="AD288" i="6"/>
  <c r="AR276" i="6" s="1"/>
  <c r="BA101" i="7" s="1"/>
  <c r="R299" i="6"/>
  <c r="S305" i="6"/>
  <c r="BA32" i="6" s="1"/>
  <c r="X294" i="6"/>
  <c r="AP282" i="6" s="1"/>
  <c r="Y300" i="6"/>
  <c r="G300" i="6"/>
  <c r="AM288" i="6" s="1"/>
  <c r="H306" i="6"/>
  <c r="AX33" i="6" s="1"/>
  <c r="BT33" i="6" s="1"/>
  <c r="AA290" i="6"/>
  <c r="AB296" i="6"/>
  <c r="V305" i="6"/>
  <c r="BB32" i="6" s="1"/>
  <c r="BW32" i="6" s="1"/>
  <c r="U299" i="6"/>
  <c r="K305" i="6"/>
  <c r="AY32" i="6" s="1"/>
  <c r="BU32" i="6" s="1"/>
  <c r="J299" i="6"/>
  <c r="N305" i="6"/>
  <c r="AZ32" i="6" s="1"/>
  <c r="BV32" i="6" s="1"/>
  <c r="M299" i="6"/>
  <c r="AK299" i="6" s="1"/>
  <c r="E302" i="6"/>
  <c r="AW29" i="6" s="1"/>
  <c r="C68" i="20" s="1"/>
  <c r="AN286" i="6"/>
  <c r="AO286" i="6"/>
  <c r="BS30" i="6"/>
  <c r="C69" i="20"/>
  <c r="AL300" i="6"/>
  <c r="C70" i="20"/>
  <c r="BS31" i="6"/>
  <c r="AQ279" i="6"/>
  <c r="AZ104" i="7" s="1"/>
  <c r="AP283" i="6"/>
  <c r="AO285" i="6"/>
  <c r="AN285" i="6"/>
  <c r="E301" i="6"/>
  <c r="AW28" i="6" s="1"/>
  <c r="AE293" i="6" l="1"/>
  <c r="AD287" i="6"/>
  <c r="AE292" i="6" s="1"/>
  <c r="BN33" i="6"/>
  <c r="BO33" i="6" s="1"/>
  <c r="C33" i="18" s="1"/>
  <c r="AD286" i="6"/>
  <c r="X293" i="6"/>
  <c r="AP281" i="6" s="1"/>
  <c r="Y299" i="6"/>
  <c r="AA289" i="6"/>
  <c r="AQ277" i="6" s="1"/>
  <c r="AZ102" i="7" s="1"/>
  <c r="AB295" i="6"/>
  <c r="G299" i="6"/>
  <c r="AM287" i="6" s="1"/>
  <c r="H305" i="6"/>
  <c r="AX32" i="6" s="1"/>
  <c r="BN32" i="6" s="1"/>
  <c r="BO32" i="6" s="1"/>
  <c r="R298" i="6"/>
  <c r="S304" i="6"/>
  <c r="BA31" i="6" s="1"/>
  <c r="G70" i="20" s="1"/>
  <c r="J298" i="6"/>
  <c r="K304" i="6"/>
  <c r="AY31" i="6" s="1"/>
  <c r="M298" i="6"/>
  <c r="N304" i="6"/>
  <c r="AZ31" i="6" s="1"/>
  <c r="F70" i="20" s="1"/>
  <c r="U298" i="6"/>
  <c r="V304" i="6"/>
  <c r="BB31" i="6" s="1"/>
  <c r="BS29" i="6"/>
  <c r="BS28" i="6"/>
  <c r="C67" i="20"/>
  <c r="AQ278" i="6"/>
  <c r="AZ103" i="7" s="1"/>
  <c r="AL299" i="6"/>
  <c r="AO284" i="6"/>
  <c r="AN284" i="6"/>
  <c r="E300" i="6"/>
  <c r="AR275" i="6" l="1"/>
  <c r="BA100" i="7" s="1"/>
  <c r="BQ33" i="6"/>
  <c r="X36" i="5"/>
  <c r="C36" i="5" s="1"/>
  <c r="E36" i="5" s="1"/>
  <c r="C30" i="10"/>
  <c r="E30" i="10" s="1"/>
  <c r="G30" i="10" s="1"/>
  <c r="BP33" i="6"/>
  <c r="BT32" i="6"/>
  <c r="G298" i="6"/>
  <c r="H304" i="6"/>
  <c r="AX31" i="6" s="1"/>
  <c r="D70" i="20" s="1"/>
  <c r="X292" i="6"/>
  <c r="AP280" i="6" s="1"/>
  <c r="AY105" i="7" s="1"/>
  <c r="Y298" i="6"/>
  <c r="R297" i="6"/>
  <c r="S303" i="6"/>
  <c r="BA30" i="6" s="1"/>
  <c r="G69" i="20" s="1"/>
  <c r="AA288" i="6"/>
  <c r="AQ276" i="6" s="1"/>
  <c r="AZ101" i="7" s="1"/>
  <c r="AB294" i="6"/>
  <c r="AD285" i="6"/>
  <c r="AE291" i="6"/>
  <c r="X35" i="5"/>
  <c r="BV31" i="6"/>
  <c r="M297" i="6"/>
  <c r="N303" i="6"/>
  <c r="AZ30" i="6" s="1"/>
  <c r="F69" i="20" s="1"/>
  <c r="BW31" i="6"/>
  <c r="H70" i="20"/>
  <c r="AK298" i="6"/>
  <c r="U297" i="6"/>
  <c r="V303" i="6"/>
  <c r="BB30" i="6" s="1"/>
  <c r="H69" i="20" s="1"/>
  <c r="J297" i="6"/>
  <c r="K303" i="6"/>
  <c r="AY30" i="6" s="1"/>
  <c r="AL298" i="6"/>
  <c r="E70" i="20"/>
  <c r="BU31" i="6"/>
  <c r="BP32" i="6"/>
  <c r="C32" i="18"/>
  <c r="C31" i="10"/>
  <c r="BQ32" i="6"/>
  <c r="F33" i="18"/>
  <c r="G33" i="18"/>
  <c r="H33" i="18"/>
  <c r="AH19" i="18" s="1"/>
  <c r="AR274" i="6"/>
  <c r="BA99" i="7" s="1"/>
  <c r="AO283" i="6"/>
  <c r="AN283" i="6"/>
  <c r="E299" i="6"/>
  <c r="AW27" i="6"/>
  <c r="F30" i="10" l="1"/>
  <c r="L17" i="9" s="1"/>
  <c r="BT31" i="6"/>
  <c r="BN31" i="6"/>
  <c r="BO31" i="6" s="1"/>
  <c r="AA287" i="6"/>
  <c r="AQ275" i="6" s="1"/>
  <c r="AZ100" i="7" s="1"/>
  <c r="AB293" i="6"/>
  <c r="X291" i="6"/>
  <c r="Y297" i="6"/>
  <c r="AD284" i="6"/>
  <c r="AE290" i="6"/>
  <c r="R296" i="6"/>
  <c r="S302" i="6"/>
  <c r="BA29" i="6" s="1"/>
  <c r="G68" i="20" s="1"/>
  <c r="G297" i="6"/>
  <c r="H303" i="6"/>
  <c r="AX30" i="6" s="1"/>
  <c r="AM286" i="6"/>
  <c r="J36" i="5"/>
  <c r="F36" i="5"/>
  <c r="L36" i="5"/>
  <c r="C35" i="5"/>
  <c r="E35" i="5" s="1"/>
  <c r="BV30" i="6"/>
  <c r="BW30" i="6"/>
  <c r="J296" i="6"/>
  <c r="K302" i="6"/>
  <c r="AY29" i="6" s="1"/>
  <c r="U296" i="6"/>
  <c r="V302" i="6"/>
  <c r="BB29" i="6" s="1"/>
  <c r="M296" i="6"/>
  <c r="N302" i="6"/>
  <c r="AZ29" i="6" s="1"/>
  <c r="AK297" i="6"/>
  <c r="AQ19" i="18"/>
  <c r="AX19" i="18" s="1"/>
  <c r="AY19" i="18" s="1"/>
  <c r="AZ19" i="18" s="1"/>
  <c r="BA19" i="18" s="1"/>
  <c r="F31" i="10"/>
  <c r="E31" i="10"/>
  <c r="G31" i="10" s="1"/>
  <c r="AL19" i="18"/>
  <c r="AY19" i="7"/>
  <c r="E69" i="20"/>
  <c r="BU30" i="6"/>
  <c r="F32" i="18"/>
  <c r="H32" i="18"/>
  <c r="AH20" i="18" s="1"/>
  <c r="G32" i="18"/>
  <c r="AL297" i="6"/>
  <c r="AN282" i="6"/>
  <c r="AO282" i="6"/>
  <c r="AW26" i="6"/>
  <c r="E298" i="6"/>
  <c r="AR273" i="6"/>
  <c r="BA98" i="7" s="1"/>
  <c r="C66" i="20"/>
  <c r="BS27" i="6"/>
  <c r="F35" i="5" l="1"/>
  <c r="C32" i="10"/>
  <c r="F32" i="10" s="1"/>
  <c r="L30" i="10"/>
  <c r="M29" i="10" s="1"/>
  <c r="N29" i="10" s="1"/>
  <c r="AR18" i="18" s="1"/>
  <c r="X34" i="5"/>
  <c r="AT19" i="7"/>
  <c r="C158" i="13"/>
  <c r="O156" i="13" s="1"/>
  <c r="B19" i="12"/>
  <c r="E19" i="12" s="1"/>
  <c r="J30" i="10"/>
  <c r="AS19" i="18" s="1"/>
  <c r="AX81" i="18" s="1"/>
  <c r="AY81" i="18" s="1"/>
  <c r="AZ81" i="18" s="1"/>
  <c r="BA81" i="18" s="1"/>
  <c r="BQ31" i="6"/>
  <c r="BP31" i="6"/>
  <c r="C31" i="18"/>
  <c r="G31" i="18" s="1"/>
  <c r="R295" i="6"/>
  <c r="S301" i="6"/>
  <c r="BA28" i="6" s="1"/>
  <c r="G67" i="20" s="1"/>
  <c r="X290" i="6"/>
  <c r="Y296" i="6"/>
  <c r="AP279" i="6"/>
  <c r="AY104" i="7" s="1"/>
  <c r="BN30" i="6"/>
  <c r="BO30" i="6" s="1"/>
  <c r="BT30" i="6"/>
  <c r="D69" i="20"/>
  <c r="G296" i="6"/>
  <c r="H302" i="6"/>
  <c r="AX29" i="6" s="1"/>
  <c r="AM285" i="6"/>
  <c r="AD283" i="6"/>
  <c r="AE289" i="6"/>
  <c r="AA286" i="6"/>
  <c r="AQ274" i="6" s="1"/>
  <c r="AZ99" i="7" s="1"/>
  <c r="AB292" i="6"/>
  <c r="L35" i="5"/>
  <c r="C34" i="5"/>
  <c r="E34" i="5" s="1"/>
  <c r="J35" i="5"/>
  <c r="H68" i="20"/>
  <c r="BW29" i="6"/>
  <c r="U295" i="6"/>
  <c r="V301" i="6"/>
  <c r="BB28" i="6" s="1"/>
  <c r="F68" i="20"/>
  <c r="BV29" i="6"/>
  <c r="M295" i="6"/>
  <c r="N301" i="6"/>
  <c r="AZ28" i="6" s="1"/>
  <c r="AK296" i="6"/>
  <c r="J295" i="6"/>
  <c r="K301" i="6"/>
  <c r="AY28" i="6" s="1"/>
  <c r="D37" i="17"/>
  <c r="Y17" i="9"/>
  <c r="DR17" i="9"/>
  <c r="J17" i="9"/>
  <c r="DS17" i="9"/>
  <c r="T14" i="9"/>
  <c r="AT20" i="7"/>
  <c r="L18" i="9"/>
  <c r="C159" i="13"/>
  <c r="L31" i="10"/>
  <c r="B20" i="12"/>
  <c r="E20" i="12" s="1"/>
  <c r="J31" i="10"/>
  <c r="AL296" i="6"/>
  <c r="BB19" i="18"/>
  <c r="BC19" i="18"/>
  <c r="AQ20" i="18"/>
  <c r="AX20" i="18" s="1"/>
  <c r="AY20" i="18" s="1"/>
  <c r="AZ20" i="18" s="1"/>
  <c r="BA20" i="18" s="1"/>
  <c r="E68" i="20"/>
  <c r="BU29" i="6"/>
  <c r="AL20" i="18"/>
  <c r="AY20" i="7"/>
  <c r="AO281" i="6"/>
  <c r="AW25" i="6"/>
  <c r="AN281" i="6"/>
  <c r="AR272" i="6"/>
  <c r="BA97" i="7" s="1"/>
  <c r="BS26" i="6"/>
  <c r="C65" i="20"/>
  <c r="P28" i="10" l="1"/>
  <c r="Q28" i="10" s="1"/>
  <c r="E32" i="10"/>
  <c r="G32" i="10" s="1"/>
  <c r="AY21" i="7" s="1"/>
  <c r="I158" i="13"/>
  <c r="B209" i="13"/>
  <c r="D209" i="13" s="1"/>
  <c r="I157" i="13"/>
  <c r="D158" i="13"/>
  <c r="J157" i="13" s="1"/>
  <c r="P29" i="10"/>
  <c r="Q29" i="10" s="1"/>
  <c r="F31" i="18"/>
  <c r="M17" i="9"/>
  <c r="U14" i="9" s="1"/>
  <c r="H31" i="18"/>
  <c r="AH21" i="18" s="1"/>
  <c r="AD282" i="6"/>
  <c r="AE288" i="6"/>
  <c r="X289" i="6"/>
  <c r="Y295" i="6"/>
  <c r="AP278" i="6"/>
  <c r="AY103" i="7" s="1"/>
  <c r="AA285" i="6"/>
  <c r="AQ273" i="6" s="1"/>
  <c r="AZ98" i="7" s="1"/>
  <c r="AB291" i="6"/>
  <c r="BN29" i="6"/>
  <c r="BO29" i="6" s="1"/>
  <c r="BT29" i="6"/>
  <c r="D68" i="20"/>
  <c r="C30" i="18"/>
  <c r="C33" i="10"/>
  <c r="BP30" i="6"/>
  <c r="X33" i="5"/>
  <c r="C33" i="5" s="1"/>
  <c r="E33" i="5" s="1"/>
  <c r="BQ30" i="6"/>
  <c r="G295" i="6"/>
  <c r="H301" i="6"/>
  <c r="AX28" i="6" s="1"/>
  <c r="AM284" i="6"/>
  <c r="R294" i="6"/>
  <c r="S300" i="6"/>
  <c r="BA27" i="6" s="1"/>
  <c r="G66" i="20" s="1"/>
  <c r="J34" i="5"/>
  <c r="L34" i="5"/>
  <c r="F34" i="5"/>
  <c r="BV28" i="6"/>
  <c r="F67" i="20"/>
  <c r="BW28" i="6"/>
  <c r="H67" i="20"/>
  <c r="M294" i="6"/>
  <c r="N300" i="6"/>
  <c r="AZ27" i="6" s="1"/>
  <c r="AK295" i="6"/>
  <c r="U294" i="6"/>
  <c r="V300" i="6"/>
  <c r="BB27" i="6" s="1"/>
  <c r="J294" i="6"/>
  <c r="K300" i="6"/>
  <c r="AY27" i="6" s="1"/>
  <c r="M30" i="10"/>
  <c r="N30" i="10" s="1"/>
  <c r="AR19" i="18" s="1"/>
  <c r="O157" i="13"/>
  <c r="R28" i="10"/>
  <c r="U153" i="13"/>
  <c r="AL295" i="6"/>
  <c r="M18" i="9"/>
  <c r="Y80" i="9" s="1"/>
  <c r="AS20" i="18"/>
  <c r="AX82" i="18" s="1"/>
  <c r="AY82" i="18" s="1"/>
  <c r="AZ82" i="18" s="1"/>
  <c r="BA82" i="18" s="1"/>
  <c r="D36" i="17"/>
  <c r="J18" i="9"/>
  <c r="S16" i="9" s="1"/>
  <c r="DS18" i="9"/>
  <c r="Y18" i="9"/>
  <c r="DR18" i="9"/>
  <c r="O16" i="9"/>
  <c r="S15" i="9"/>
  <c r="E67" i="20"/>
  <c r="BU28" i="6"/>
  <c r="AI138" i="9"/>
  <c r="AJ138" i="9" s="1"/>
  <c r="AK138" i="9" s="1"/>
  <c r="AL138" i="9" s="1"/>
  <c r="CB138" i="9"/>
  <c r="CC138" i="9" s="1"/>
  <c r="CD138" i="9" s="1"/>
  <c r="CE138" i="9" s="1"/>
  <c r="Y141" i="9"/>
  <c r="Z141" i="9" s="1"/>
  <c r="AA141" i="9" s="1"/>
  <c r="AB141" i="9" s="1"/>
  <c r="Z17" i="9"/>
  <c r="AA17" i="9" s="1"/>
  <c r="AB17" i="9" s="1"/>
  <c r="BB20" i="18"/>
  <c r="BC20" i="18"/>
  <c r="B21" i="12"/>
  <c r="E21" i="12" s="1"/>
  <c r="C160" i="13"/>
  <c r="L19" i="9"/>
  <c r="AT21" i="7"/>
  <c r="L32" i="10"/>
  <c r="J32" i="10"/>
  <c r="B210" i="13"/>
  <c r="D159" i="13"/>
  <c r="E37" i="17"/>
  <c r="G37" i="17"/>
  <c r="O29" i="10"/>
  <c r="AT18" i="18" s="1"/>
  <c r="BH80" i="18" s="1"/>
  <c r="BI80" i="18" s="1"/>
  <c r="BJ80" i="18" s="1"/>
  <c r="BK80" i="18" s="1"/>
  <c r="BB81" i="18"/>
  <c r="BC81" i="18"/>
  <c r="C64" i="20"/>
  <c r="BS25" i="6"/>
  <c r="AR271" i="6"/>
  <c r="BA96" i="7" s="1"/>
  <c r="E297" i="6"/>
  <c r="AW24" i="6" s="1"/>
  <c r="AO280" i="6"/>
  <c r="AX105" i="7" s="1"/>
  <c r="AN280" i="6"/>
  <c r="AP105" i="7" s="1"/>
  <c r="E209" i="13" l="1"/>
  <c r="I209" i="13" s="1"/>
  <c r="P157" i="13"/>
  <c r="AL21" i="18"/>
  <c r="P156" i="13"/>
  <c r="AQ21" i="18"/>
  <c r="AX21" i="18" s="1"/>
  <c r="AY21" i="18" s="1"/>
  <c r="AZ21" i="18" s="1"/>
  <c r="BA21" i="18" s="1"/>
  <c r="BC21" i="18" s="1"/>
  <c r="R29" i="10"/>
  <c r="Y79" i="9"/>
  <c r="DS79" i="9" s="1"/>
  <c r="G294" i="6"/>
  <c r="H300" i="6"/>
  <c r="AX27" i="6" s="1"/>
  <c r="AM283" i="6"/>
  <c r="F33" i="10"/>
  <c r="E33" i="10"/>
  <c r="G33" i="10" s="1"/>
  <c r="X32" i="5"/>
  <c r="C32" i="5" s="1"/>
  <c r="E32" i="5" s="1"/>
  <c r="C34" i="10"/>
  <c r="T128" i="5"/>
  <c r="C29" i="18"/>
  <c r="BQ29" i="6"/>
  <c r="BP29" i="6"/>
  <c r="R293" i="6"/>
  <c r="S299" i="6"/>
  <c r="BA26" i="6" s="1"/>
  <c r="G65" i="20" s="1"/>
  <c r="G30" i="18"/>
  <c r="F30" i="18"/>
  <c r="H30" i="18"/>
  <c r="AH22" i="18" s="1"/>
  <c r="X288" i="6"/>
  <c r="Y294" i="6"/>
  <c r="AP277" i="6"/>
  <c r="AY102" i="7" s="1"/>
  <c r="L33" i="5"/>
  <c r="J33" i="5"/>
  <c r="F33" i="5"/>
  <c r="AA284" i="6"/>
  <c r="AQ272" i="6" s="1"/>
  <c r="AZ97" i="7" s="1"/>
  <c r="AB290" i="6"/>
  <c r="BN28" i="6"/>
  <c r="BT28" i="6"/>
  <c r="D67" i="20"/>
  <c r="AD281" i="6"/>
  <c r="AE287" i="6"/>
  <c r="O30" i="10"/>
  <c r="AT19" i="18" s="1"/>
  <c r="BH81" i="18" s="1"/>
  <c r="BI81" i="18" s="1"/>
  <c r="BJ81" i="18" s="1"/>
  <c r="BK81" i="18" s="1"/>
  <c r="BL81" i="18" s="1"/>
  <c r="U293" i="6"/>
  <c r="V299" i="6"/>
  <c r="BB26" i="6" s="1"/>
  <c r="J293" i="6"/>
  <c r="K299" i="6"/>
  <c r="AY26" i="6" s="1"/>
  <c r="BV27" i="6"/>
  <c r="F66" i="20"/>
  <c r="H66" i="20"/>
  <c r="BW27" i="6"/>
  <c r="M293" i="6"/>
  <c r="N299" i="6"/>
  <c r="AZ26" i="6" s="1"/>
  <c r="AK294" i="6"/>
  <c r="O17" i="9"/>
  <c r="P17" i="9" s="1"/>
  <c r="H37" i="17"/>
  <c r="V153" i="13"/>
  <c r="Y19" i="9"/>
  <c r="DS19" i="9"/>
  <c r="DZ19" i="9" s="1"/>
  <c r="D35" i="17"/>
  <c r="J19" i="9"/>
  <c r="DY19" i="9"/>
  <c r="DR19" i="9"/>
  <c r="AS21" i="18"/>
  <c r="AX83" i="18" s="1"/>
  <c r="AY83" i="18" s="1"/>
  <c r="AZ83" i="18" s="1"/>
  <c r="BA83" i="18" s="1"/>
  <c r="M19" i="9"/>
  <c r="Y81" i="9" s="1"/>
  <c r="B211" i="13"/>
  <c r="F160" i="13"/>
  <c r="D160" i="13"/>
  <c r="U154" i="13"/>
  <c r="I159" i="13"/>
  <c r="O158" i="13"/>
  <c r="DR80" i="9"/>
  <c r="Y204" i="9"/>
  <c r="Z204" i="9" s="1"/>
  <c r="AA204" i="9" s="1"/>
  <c r="AB204" i="9" s="1"/>
  <c r="Z80" i="9"/>
  <c r="AA80" i="9" s="1"/>
  <c r="AB80" i="9" s="1"/>
  <c r="DS80" i="9"/>
  <c r="M31" i="10"/>
  <c r="N31" i="10" s="1"/>
  <c r="AR20" i="18" s="1"/>
  <c r="P30" i="10"/>
  <c r="Q30" i="10" s="1"/>
  <c r="CG138" i="9"/>
  <c r="CF138" i="9"/>
  <c r="AC17" i="9"/>
  <c r="AD17" i="9"/>
  <c r="AI19" i="18" s="1"/>
  <c r="O209" i="13"/>
  <c r="P209" i="13"/>
  <c r="AI200" i="9"/>
  <c r="AJ200" i="9" s="1"/>
  <c r="AK200" i="9" s="1"/>
  <c r="AL200" i="9" s="1"/>
  <c r="CB200" i="9"/>
  <c r="CC200" i="9" s="1"/>
  <c r="CD200" i="9" s="1"/>
  <c r="CE200" i="9" s="1"/>
  <c r="AD141" i="9"/>
  <c r="AC141" i="9"/>
  <c r="T15" i="9"/>
  <c r="U15" i="9"/>
  <c r="BM80" i="18"/>
  <c r="BL80" i="18"/>
  <c r="E210" i="13"/>
  <c r="D210" i="13"/>
  <c r="AN138" i="9"/>
  <c r="AM138" i="9"/>
  <c r="J158" i="13"/>
  <c r="T16" i="9"/>
  <c r="G36" i="17"/>
  <c r="E36" i="17"/>
  <c r="AL294" i="6"/>
  <c r="P16" i="9"/>
  <c r="Q16" i="9"/>
  <c r="Z18" i="9"/>
  <c r="AA18" i="9" s="1"/>
  <c r="AB18" i="9" s="1"/>
  <c r="Y142" i="9"/>
  <c r="Z142" i="9" s="1"/>
  <c r="AA142" i="9" s="1"/>
  <c r="AB142" i="9" s="1"/>
  <c r="BB82" i="18"/>
  <c r="BC82" i="18"/>
  <c r="E66" i="20"/>
  <c r="BU27" i="6"/>
  <c r="AR258" i="6"/>
  <c r="AO279" i="6"/>
  <c r="AX104" i="7" s="1"/>
  <c r="AN279" i="6"/>
  <c r="AP104" i="7" s="1"/>
  <c r="E296" i="6"/>
  <c r="AW23" i="6" s="1"/>
  <c r="C63" i="20"/>
  <c r="BS24" i="6"/>
  <c r="I210" i="13" l="1"/>
  <c r="J209" i="13"/>
  <c r="Z79" i="9"/>
  <c r="AA79" i="9" s="1"/>
  <c r="AB79" i="9" s="1"/>
  <c r="AD79" i="9" s="1"/>
  <c r="DR79" i="9"/>
  <c r="Y203" i="9"/>
  <c r="Z203" i="9" s="1"/>
  <c r="AA203" i="9" s="1"/>
  <c r="AB203" i="9" s="1"/>
  <c r="AD203" i="9" s="1"/>
  <c r="BB21" i="18"/>
  <c r="BM81" i="18"/>
  <c r="AB289" i="6"/>
  <c r="AA283" i="6"/>
  <c r="AQ271" i="6" s="1"/>
  <c r="AZ96" i="7" s="1"/>
  <c r="F34" i="10"/>
  <c r="E34" i="10"/>
  <c r="G34" i="10" s="1"/>
  <c r="BO28" i="6"/>
  <c r="B27" i="4"/>
  <c r="L32" i="5"/>
  <c r="F32" i="5"/>
  <c r="J32" i="5"/>
  <c r="BN27" i="6"/>
  <c r="D66" i="20"/>
  <c r="BT27" i="6"/>
  <c r="AE283" i="6"/>
  <c r="AE284" i="6"/>
  <c r="AE282" i="6"/>
  <c r="AE286" i="6"/>
  <c r="AE285" i="6"/>
  <c r="AE281" i="6"/>
  <c r="X287" i="6"/>
  <c r="Y293" i="6"/>
  <c r="AP276" i="6"/>
  <c r="AY101" i="7" s="1"/>
  <c r="H29" i="18"/>
  <c r="AH23" i="18" s="1"/>
  <c r="G29" i="18"/>
  <c r="F29" i="18"/>
  <c r="AL22" i="18"/>
  <c r="AY22" i="7"/>
  <c r="G293" i="6"/>
  <c r="H299" i="6"/>
  <c r="AX26" i="6" s="1"/>
  <c r="AM282" i="6"/>
  <c r="AQ22" i="18"/>
  <c r="AX22" i="18" s="1"/>
  <c r="AY22" i="18" s="1"/>
  <c r="AZ22" i="18" s="1"/>
  <c r="BA22" i="18" s="1"/>
  <c r="R292" i="6"/>
  <c r="S298" i="6"/>
  <c r="BA25" i="6" s="1"/>
  <c r="G64" i="20" s="1"/>
  <c r="J33" i="10"/>
  <c r="L20" i="9"/>
  <c r="B22" i="12"/>
  <c r="E22" i="12" s="1"/>
  <c r="C161" i="13"/>
  <c r="L33" i="10"/>
  <c r="AT22" i="7"/>
  <c r="J292" i="6"/>
  <c r="K298" i="6"/>
  <c r="AY25" i="6" s="1"/>
  <c r="F65" i="20"/>
  <c r="BV26" i="6"/>
  <c r="BW26" i="6"/>
  <c r="H65" i="20"/>
  <c r="M292" i="6"/>
  <c r="N298" i="6"/>
  <c r="AZ25" i="6" s="1"/>
  <c r="AK293" i="6"/>
  <c r="U292" i="6"/>
  <c r="V298" i="6"/>
  <c r="BB25" i="6" s="1"/>
  <c r="Q17" i="9"/>
  <c r="AI79" i="9" s="1"/>
  <c r="O31" i="10"/>
  <c r="AT20" i="18" s="1"/>
  <c r="BH82" i="18" s="1"/>
  <c r="BI82" i="18" s="1"/>
  <c r="BJ82" i="18" s="1"/>
  <c r="BK82" i="18" s="1"/>
  <c r="BM82" i="18" s="1"/>
  <c r="V154" i="13"/>
  <c r="J210" i="13"/>
  <c r="U16" i="9"/>
  <c r="AI202" i="9" s="1"/>
  <c r="AJ202" i="9" s="1"/>
  <c r="AK202" i="9" s="1"/>
  <c r="AL202" i="9" s="1"/>
  <c r="H36" i="17"/>
  <c r="BU26" i="6"/>
  <c r="E65" i="20"/>
  <c r="AI139" i="9"/>
  <c r="AJ139" i="9" s="1"/>
  <c r="AK139" i="9" s="1"/>
  <c r="AL139" i="9" s="1"/>
  <c r="CB139" i="9"/>
  <c r="CC139" i="9" s="1"/>
  <c r="CD139" i="9" s="1"/>
  <c r="CE139" i="9" s="1"/>
  <c r="AC204" i="9"/>
  <c r="AD204" i="9"/>
  <c r="E35" i="17"/>
  <c r="G35" i="17"/>
  <c r="AC18" i="9"/>
  <c r="AD18" i="9"/>
  <c r="AI20" i="18" s="1"/>
  <c r="AI140" i="9"/>
  <c r="AJ140" i="9" s="1"/>
  <c r="AK140" i="9" s="1"/>
  <c r="AL140" i="9" s="1"/>
  <c r="CB140" i="9"/>
  <c r="CC140" i="9" s="1"/>
  <c r="CD140" i="9" s="1"/>
  <c r="CE140" i="9" s="1"/>
  <c r="P210" i="13"/>
  <c r="O210" i="13"/>
  <c r="E211" i="13"/>
  <c r="F211" i="13"/>
  <c r="F251" i="13" s="1"/>
  <c r="D211" i="13"/>
  <c r="G211" i="13" s="1"/>
  <c r="G251" i="13" s="1"/>
  <c r="AC142" i="9"/>
  <c r="AD142" i="9"/>
  <c r="BC83" i="18"/>
  <c r="BB83" i="18"/>
  <c r="CB78" i="9"/>
  <c r="CC78" i="9" s="1"/>
  <c r="CD78" i="9" s="1"/>
  <c r="CE78" i="9" s="1"/>
  <c r="AI78" i="9"/>
  <c r="AJ78" i="9" s="1"/>
  <c r="AK78" i="9" s="1"/>
  <c r="AL78" i="9" s="1"/>
  <c r="AL293" i="6"/>
  <c r="CG200" i="9"/>
  <c r="CF200" i="9"/>
  <c r="V210" i="13"/>
  <c r="U210" i="13"/>
  <c r="AI17" i="9"/>
  <c r="AJ17" i="9" s="1"/>
  <c r="AK17" i="9" s="1"/>
  <c r="AL17" i="9" s="1"/>
  <c r="AS17" i="9"/>
  <c r="AT17" i="9" s="1"/>
  <c r="AU17" i="9" s="1"/>
  <c r="AV17" i="9" s="1"/>
  <c r="CB17" i="9"/>
  <c r="CC17" i="9" s="1"/>
  <c r="CD17" i="9" s="1"/>
  <c r="CE17" i="9" s="1"/>
  <c r="Y143" i="9"/>
  <c r="Z143" i="9" s="1"/>
  <c r="AA143" i="9" s="1"/>
  <c r="AB143" i="9" s="1"/>
  <c r="Z19" i="9"/>
  <c r="AA19" i="9" s="1"/>
  <c r="AB19" i="9" s="1"/>
  <c r="AI16" i="9"/>
  <c r="AJ16" i="9" s="1"/>
  <c r="AK16" i="9" s="1"/>
  <c r="AL16" i="9" s="1"/>
  <c r="CB16" i="9"/>
  <c r="CC16" i="9" s="1"/>
  <c r="CD16" i="9" s="1"/>
  <c r="CE16" i="9" s="1"/>
  <c r="R30" i="10"/>
  <c r="AI201" i="9"/>
  <c r="AJ201" i="9" s="1"/>
  <c r="AK201" i="9" s="1"/>
  <c r="AL201" i="9" s="1"/>
  <c r="CB201" i="9"/>
  <c r="CC201" i="9" s="1"/>
  <c r="CD201" i="9" s="1"/>
  <c r="CE201" i="9" s="1"/>
  <c r="AM200" i="9"/>
  <c r="AN200" i="9"/>
  <c r="AD80" i="9"/>
  <c r="AC80" i="9"/>
  <c r="G160" i="13"/>
  <c r="P158" i="13"/>
  <c r="J159" i="13"/>
  <c r="DY81" i="9"/>
  <c r="Y205" i="9"/>
  <c r="Z205" i="9" s="1"/>
  <c r="AA205" i="9" s="1"/>
  <c r="AB205" i="9" s="1"/>
  <c r="DR81" i="9"/>
  <c r="Z81" i="9"/>
  <c r="AA81" i="9" s="1"/>
  <c r="AB81" i="9" s="1"/>
  <c r="DS81" i="9"/>
  <c r="DZ81" i="9" s="1"/>
  <c r="O18" i="9"/>
  <c r="S17" i="9"/>
  <c r="AR257" i="6"/>
  <c r="AN278" i="6"/>
  <c r="AP103" i="7" s="1"/>
  <c r="E295" i="6"/>
  <c r="AW22" i="6" s="1"/>
  <c r="AO278" i="6"/>
  <c r="AX103" i="7" s="1"/>
  <c r="C62" i="20"/>
  <c r="BS23" i="6"/>
  <c r="AC203" i="9" l="1"/>
  <c r="AC79" i="9"/>
  <c r="M32" i="10"/>
  <c r="P31" i="10"/>
  <c r="AS22" i="18"/>
  <c r="AX84" i="18" s="1"/>
  <c r="AY84" i="18" s="1"/>
  <c r="AZ84" i="18" s="1"/>
  <c r="BA84" i="18" s="1"/>
  <c r="M20" i="9"/>
  <c r="Y82" i="9" s="1"/>
  <c r="BC22" i="18"/>
  <c r="BB22" i="18"/>
  <c r="BN26" i="6"/>
  <c r="BT26" i="6"/>
  <c r="D65" i="20"/>
  <c r="AL23" i="18"/>
  <c r="AY23" i="7"/>
  <c r="D161" i="13"/>
  <c r="F161" i="13"/>
  <c r="B212" i="13"/>
  <c r="U155" i="13"/>
  <c r="O159" i="13"/>
  <c r="I160" i="13"/>
  <c r="G292" i="6"/>
  <c r="H298" i="6"/>
  <c r="AX25" i="6" s="1"/>
  <c r="AM281" i="6"/>
  <c r="X286" i="6"/>
  <c r="Y292" i="6"/>
  <c r="AP275" i="6"/>
  <c r="AY100" i="7" s="1"/>
  <c r="L34" i="10"/>
  <c r="P32" i="10" s="1"/>
  <c r="C162" i="13"/>
  <c r="I161" i="13" s="1"/>
  <c r="L161" i="13" s="1"/>
  <c r="AT23" i="7"/>
  <c r="L21" i="9"/>
  <c r="B23" i="12"/>
  <c r="E23" i="12" s="1"/>
  <c r="J34" i="10"/>
  <c r="R291" i="6"/>
  <c r="S297" i="6"/>
  <c r="BA24" i="6" s="1"/>
  <c r="G63" i="20" s="1"/>
  <c r="AQ23" i="18"/>
  <c r="AX23" i="18" s="1"/>
  <c r="AY23" i="18" s="1"/>
  <c r="AZ23" i="18" s="1"/>
  <c r="BA23" i="18" s="1"/>
  <c r="BC23" i="18" s="1"/>
  <c r="BO27" i="6"/>
  <c r="B26" i="4"/>
  <c r="AA282" i="6"/>
  <c r="AQ258" i="6" s="1"/>
  <c r="AB288" i="6"/>
  <c r="DS20" i="9"/>
  <c r="DZ20" i="9" s="1"/>
  <c r="DR20" i="9"/>
  <c r="DY20" i="9"/>
  <c r="J20" i="9"/>
  <c r="D34" i="17"/>
  <c r="Y20" i="9"/>
  <c r="T127" i="5"/>
  <c r="X31" i="5"/>
  <c r="C31" i="5" s="1"/>
  <c r="E31" i="5" s="1"/>
  <c r="BP28" i="6"/>
  <c r="C35" i="10"/>
  <c r="BQ28" i="6"/>
  <c r="C28" i="18"/>
  <c r="CB79" i="9"/>
  <c r="CC79" i="9" s="1"/>
  <c r="CD79" i="9" s="1"/>
  <c r="CE79" i="9" s="1"/>
  <c r="CF79" i="9" s="1"/>
  <c r="BV25" i="6"/>
  <c r="F64" i="20"/>
  <c r="H64" i="20"/>
  <c r="BW25" i="6"/>
  <c r="M291" i="6"/>
  <c r="N297" i="6"/>
  <c r="AZ24" i="6" s="1"/>
  <c r="AK292" i="6"/>
  <c r="AS105" i="7" s="1"/>
  <c r="U291" i="6"/>
  <c r="V297" i="6"/>
  <c r="BB24" i="6" s="1"/>
  <c r="AT105" i="7"/>
  <c r="J291" i="6"/>
  <c r="K297" i="6"/>
  <c r="AY24" i="6" s="1"/>
  <c r="BL82" i="18"/>
  <c r="CB202" i="9"/>
  <c r="CC202" i="9" s="1"/>
  <c r="CD202" i="9" s="1"/>
  <c r="CE202" i="9" s="1"/>
  <c r="CF202" i="9" s="1"/>
  <c r="H35" i="17"/>
  <c r="AD19" i="9"/>
  <c r="AI21" i="18" s="1"/>
  <c r="AC19" i="9"/>
  <c r="E64" i="20"/>
  <c r="BU25" i="6"/>
  <c r="U211" i="13"/>
  <c r="V211" i="13"/>
  <c r="O211" i="13"/>
  <c r="AS79" i="9"/>
  <c r="AT79" i="9" s="1"/>
  <c r="AU79" i="9" s="1"/>
  <c r="AV79" i="9" s="1"/>
  <c r="AJ79" i="9"/>
  <c r="AK79" i="9" s="1"/>
  <c r="AL79" i="9" s="1"/>
  <c r="T17" i="9"/>
  <c r="AD143" i="9"/>
  <c r="AC143" i="9"/>
  <c r="AM78" i="9"/>
  <c r="AN78" i="9"/>
  <c r="I211" i="13"/>
  <c r="CF140" i="9"/>
  <c r="CG140" i="9"/>
  <c r="CG139" i="9"/>
  <c r="CF139" i="9"/>
  <c r="AM201" i="9"/>
  <c r="AN201" i="9"/>
  <c r="P18" i="9"/>
  <c r="Q18" i="9"/>
  <c r="AC205" i="9"/>
  <c r="AD205" i="9"/>
  <c r="CF16" i="9"/>
  <c r="CG16" i="9"/>
  <c r="CG17" i="9"/>
  <c r="CF17" i="9"/>
  <c r="P211" i="13"/>
  <c r="AL292" i="6"/>
  <c r="AR105" i="7" s="1"/>
  <c r="CF78" i="9"/>
  <c r="CG78" i="9"/>
  <c r="AN140" i="9"/>
  <c r="AM140" i="9"/>
  <c r="AN139" i="9"/>
  <c r="AM139" i="9"/>
  <c r="AC81" i="9"/>
  <c r="AD81" i="9"/>
  <c r="AN17" i="9"/>
  <c r="AM17" i="9"/>
  <c r="CG201" i="9"/>
  <c r="CF201" i="9"/>
  <c r="AN16" i="9"/>
  <c r="AM16" i="9"/>
  <c r="AW17" i="9"/>
  <c r="AX17" i="9"/>
  <c r="J211" i="13"/>
  <c r="AN202" i="9"/>
  <c r="AM202" i="9"/>
  <c r="AN277" i="6"/>
  <c r="AP102" i="7" s="1"/>
  <c r="E294" i="6"/>
  <c r="AW21" i="6" s="1"/>
  <c r="AO277" i="6"/>
  <c r="AX102" i="7" s="1"/>
  <c r="BS22" i="6"/>
  <c r="C61" i="20"/>
  <c r="R86" i="5"/>
  <c r="CG79" i="9" l="1"/>
  <c r="U17" i="9"/>
  <c r="CB203" i="9" s="1"/>
  <c r="CC203" i="9" s="1"/>
  <c r="CD203" i="9" s="1"/>
  <c r="CE203" i="9" s="1"/>
  <c r="CG203" i="9" s="1"/>
  <c r="BB23" i="18"/>
  <c r="U156" i="13"/>
  <c r="Q32" i="10"/>
  <c r="R32" i="10"/>
  <c r="E34" i="17"/>
  <c r="G34" i="17"/>
  <c r="DR21" i="9"/>
  <c r="Y21" i="9"/>
  <c r="D33" i="17"/>
  <c r="DS21" i="9"/>
  <c r="DZ21" i="9" s="1"/>
  <c r="J21" i="9"/>
  <c r="O20" i="9" s="1"/>
  <c r="DY21" i="9"/>
  <c r="BN25" i="6"/>
  <c r="D64" i="20"/>
  <c r="BT25" i="6"/>
  <c r="E212" i="13"/>
  <c r="F212" i="13"/>
  <c r="F252" i="13" s="1"/>
  <c r="D212" i="13"/>
  <c r="G212" i="13" s="1"/>
  <c r="G252" i="13" s="1"/>
  <c r="M33" i="10"/>
  <c r="H28" i="18"/>
  <c r="AH24" i="18" s="1"/>
  <c r="G28" i="18"/>
  <c r="F28" i="18"/>
  <c r="L31" i="5"/>
  <c r="F31" i="5"/>
  <c r="J31" i="5"/>
  <c r="O19" i="9"/>
  <c r="S18" i="9"/>
  <c r="BQ27" i="6"/>
  <c r="X30" i="5"/>
  <c r="C30" i="5" s="1"/>
  <c r="E30" i="5" s="1"/>
  <c r="BP27" i="6"/>
  <c r="C27" i="18"/>
  <c r="T126" i="5"/>
  <c r="C36" i="10"/>
  <c r="R290" i="6"/>
  <c r="S296" i="6"/>
  <c r="BA23" i="6" s="1"/>
  <c r="G62" i="20" s="1"/>
  <c r="G291" i="6"/>
  <c r="H297" i="6"/>
  <c r="AX24" i="6" s="1"/>
  <c r="AM280" i="6"/>
  <c r="AQ105" i="7" s="1"/>
  <c r="Q31" i="10"/>
  <c r="R31" i="10"/>
  <c r="AS23" i="18"/>
  <c r="AX85" i="18" s="1"/>
  <c r="AY85" i="18" s="1"/>
  <c r="AZ85" i="18" s="1"/>
  <c r="BA85" i="18" s="1"/>
  <c r="BC85" i="18" s="1"/>
  <c r="M21" i="9"/>
  <c r="Y83" i="9" s="1"/>
  <c r="D162" i="13"/>
  <c r="P160" i="13" s="1"/>
  <c r="F162" i="13"/>
  <c r="B213" i="13"/>
  <c r="X285" i="6"/>
  <c r="Y291" i="6"/>
  <c r="AP274" i="6"/>
  <c r="AY99" i="7" s="1"/>
  <c r="G161" i="13"/>
  <c r="J160" i="13"/>
  <c r="V155" i="13"/>
  <c r="P159" i="13"/>
  <c r="DS82" i="9"/>
  <c r="DZ82" i="9" s="1"/>
  <c r="Y206" i="9"/>
  <c r="Z206" i="9" s="1"/>
  <c r="AA206" i="9" s="1"/>
  <c r="AB206" i="9" s="1"/>
  <c r="AC206" i="9" s="1"/>
  <c r="Z82" i="9"/>
  <c r="AA82" i="9" s="1"/>
  <c r="AB82" i="9" s="1"/>
  <c r="DY82" i="9"/>
  <c r="DR82" i="9"/>
  <c r="E35" i="10"/>
  <c r="G35" i="10" s="1"/>
  <c r="F35" i="10"/>
  <c r="Z20" i="9"/>
  <c r="AA20" i="9" s="1"/>
  <c r="AB20" i="9" s="1"/>
  <c r="Y144" i="9"/>
  <c r="Z144" i="9" s="1"/>
  <c r="AA144" i="9" s="1"/>
  <c r="AB144" i="9" s="1"/>
  <c r="AB287" i="6"/>
  <c r="AA281" i="6"/>
  <c r="AQ257" i="6" s="1"/>
  <c r="O160" i="13"/>
  <c r="BO26" i="6"/>
  <c r="B25" i="4"/>
  <c r="B23" i="8"/>
  <c r="BC84" i="18"/>
  <c r="BB84" i="18"/>
  <c r="N32" i="10"/>
  <c r="AR21" i="18" s="1"/>
  <c r="O32" i="10"/>
  <c r="AT21" i="18" s="1"/>
  <c r="BH83" i="18" s="1"/>
  <c r="U290" i="6"/>
  <c r="V296" i="6"/>
  <c r="BB23" i="6" s="1"/>
  <c r="AT104" i="7"/>
  <c r="J290" i="6"/>
  <c r="K296" i="6"/>
  <c r="AY23" i="6" s="1"/>
  <c r="F63" i="20"/>
  <c r="BV24" i="6"/>
  <c r="H63" i="20"/>
  <c r="BW24" i="6"/>
  <c r="M290" i="6"/>
  <c r="N296" i="6"/>
  <c r="AZ23" i="6" s="1"/>
  <c r="AK291" i="6"/>
  <c r="AS104" i="7" s="1"/>
  <c r="CG202" i="9"/>
  <c r="AL291" i="6"/>
  <c r="AR104" i="7" s="1"/>
  <c r="AX79" i="9"/>
  <c r="AW79" i="9"/>
  <c r="AI18" i="9"/>
  <c r="AJ18" i="9" s="1"/>
  <c r="AK18" i="9" s="1"/>
  <c r="AL18" i="9" s="1"/>
  <c r="AS18" i="9"/>
  <c r="AT18" i="9" s="1"/>
  <c r="AU18" i="9" s="1"/>
  <c r="AV18" i="9" s="1"/>
  <c r="CB18" i="9"/>
  <c r="CC18" i="9" s="1"/>
  <c r="CD18" i="9" s="1"/>
  <c r="CE18" i="9" s="1"/>
  <c r="AN79" i="9"/>
  <c r="AM79" i="9"/>
  <c r="E63" i="20"/>
  <c r="BU24" i="6"/>
  <c r="AI80" i="9"/>
  <c r="CB80" i="9"/>
  <c r="CC80" i="9" s="1"/>
  <c r="CD80" i="9" s="1"/>
  <c r="CE80" i="9" s="1"/>
  <c r="AI141" i="9"/>
  <c r="CB141" i="9"/>
  <c r="CC141" i="9" s="1"/>
  <c r="CD141" i="9" s="1"/>
  <c r="CE141" i="9" s="1"/>
  <c r="AO276" i="6"/>
  <c r="AX101" i="7" s="1"/>
  <c r="E293" i="6"/>
  <c r="AW20" i="6" s="1"/>
  <c r="AN276" i="6"/>
  <c r="AP101" i="7" s="1"/>
  <c r="BS21" i="6"/>
  <c r="C60" i="20"/>
  <c r="AI203" i="9" l="1"/>
  <c r="AJ203" i="9" s="1"/>
  <c r="AK203" i="9" s="1"/>
  <c r="AL203" i="9" s="1"/>
  <c r="BB85" i="18"/>
  <c r="AD206" i="9"/>
  <c r="V156" i="13"/>
  <c r="S19" i="9"/>
  <c r="H34" i="17"/>
  <c r="J161" i="13"/>
  <c r="M161" i="13" s="1"/>
  <c r="BI83" i="18"/>
  <c r="BJ83" i="18" s="1"/>
  <c r="BK83" i="18" s="1"/>
  <c r="BR83" i="18"/>
  <c r="BS83" i="18" s="1"/>
  <c r="BT83" i="18" s="1"/>
  <c r="BU83" i="18" s="1"/>
  <c r="AD144" i="9"/>
  <c r="AC144" i="9"/>
  <c r="G162" i="13"/>
  <c r="H27" i="18"/>
  <c r="AH25" i="18" s="1"/>
  <c r="G27" i="18"/>
  <c r="F27" i="18"/>
  <c r="T18" i="9"/>
  <c r="U18" i="9"/>
  <c r="B24" i="4"/>
  <c r="B22" i="8"/>
  <c r="BO25" i="6"/>
  <c r="E27" i="16"/>
  <c r="Y27" i="16" s="1"/>
  <c r="G33" i="17"/>
  <c r="E33" i="17"/>
  <c r="AD20" i="9"/>
  <c r="AI22" i="18" s="1"/>
  <c r="AC20" i="9"/>
  <c r="DR83" i="9"/>
  <c r="Z83" i="9"/>
  <c r="AA83" i="9" s="1"/>
  <c r="AB83" i="9" s="1"/>
  <c r="DS83" i="9"/>
  <c r="DZ83" i="9" s="1"/>
  <c r="DY83" i="9"/>
  <c r="Y207" i="9"/>
  <c r="Z207" i="9" s="1"/>
  <c r="AA207" i="9" s="1"/>
  <c r="AB207" i="9" s="1"/>
  <c r="R289" i="6"/>
  <c r="S295" i="6"/>
  <c r="BA22" i="6" s="1"/>
  <c r="G61" i="20" s="1"/>
  <c r="P19" i="9"/>
  <c r="Q19" i="9"/>
  <c r="AQ24" i="18"/>
  <c r="AX24" i="18" s="1"/>
  <c r="AY24" i="18" s="1"/>
  <c r="AZ24" i="18" s="1"/>
  <c r="BA24" i="18" s="1"/>
  <c r="BC24" i="18" s="1"/>
  <c r="P212" i="13"/>
  <c r="V212" i="13"/>
  <c r="I212" i="13"/>
  <c r="J212" i="13"/>
  <c r="O212" i="13"/>
  <c r="U212" i="13"/>
  <c r="Y145" i="9"/>
  <c r="Z145" i="9" s="1"/>
  <c r="AA145" i="9" s="1"/>
  <c r="AB145" i="9" s="1"/>
  <c r="AD145" i="9" s="1"/>
  <c r="Z21" i="9"/>
  <c r="AA21" i="9" s="1"/>
  <c r="AB21" i="9" s="1"/>
  <c r="BQ26" i="6"/>
  <c r="BP26" i="6"/>
  <c r="T125" i="5"/>
  <c r="C37" i="10"/>
  <c r="X29" i="5"/>
  <c r="C29" i="5" s="1"/>
  <c r="E29" i="5" s="1"/>
  <c r="A23" i="8"/>
  <c r="C26" i="18"/>
  <c r="AB282" i="6"/>
  <c r="AB285" i="6"/>
  <c r="AB281" i="6"/>
  <c r="AB283" i="6"/>
  <c r="AB284" i="6"/>
  <c r="AB286" i="6"/>
  <c r="AT24" i="7"/>
  <c r="L22" i="9"/>
  <c r="B24" i="12"/>
  <c r="E24" i="12" s="1"/>
  <c r="C163" i="13"/>
  <c r="L35" i="10"/>
  <c r="J35" i="10"/>
  <c r="AC82" i="9"/>
  <c r="AD82" i="9"/>
  <c r="X284" i="6"/>
  <c r="Y290" i="6"/>
  <c r="AP273" i="6"/>
  <c r="AY98" i="7" s="1"/>
  <c r="D213" i="13"/>
  <c r="G213" i="13" s="1"/>
  <c r="G253" i="13" s="1"/>
  <c r="E213" i="13"/>
  <c r="I213" i="13" s="1"/>
  <c r="L213" i="13" s="1"/>
  <c r="F213" i="13"/>
  <c r="F253" i="13" s="1"/>
  <c r="BN24" i="6"/>
  <c r="D63" i="20"/>
  <c r="BT24" i="6"/>
  <c r="E36" i="10"/>
  <c r="G36" i="10" s="1"/>
  <c r="F36" i="10"/>
  <c r="L30" i="5"/>
  <c r="F30" i="5"/>
  <c r="J30" i="5"/>
  <c r="N33" i="10"/>
  <c r="AR22" i="18" s="1"/>
  <c r="O33" i="10"/>
  <c r="AT22" i="18" s="1"/>
  <c r="BH84" i="18" s="1"/>
  <c r="AL24" i="18"/>
  <c r="AY24" i="7"/>
  <c r="G290" i="6"/>
  <c r="H296" i="6"/>
  <c r="AX23" i="6" s="1"/>
  <c r="AM279" i="6"/>
  <c r="AQ104" i="7" s="1"/>
  <c r="Q20" i="9"/>
  <c r="P20" i="9"/>
  <c r="J289" i="6"/>
  <c r="K295" i="6"/>
  <c r="AY22" i="6" s="1"/>
  <c r="F62" i="20"/>
  <c r="BV23" i="6"/>
  <c r="M289" i="6"/>
  <c r="N295" i="6"/>
  <c r="AZ22" i="6" s="1"/>
  <c r="AK290" i="6"/>
  <c r="AS103" i="7" s="1"/>
  <c r="BW23" i="6"/>
  <c r="H62" i="20"/>
  <c r="U289" i="6"/>
  <c r="V295" i="6"/>
  <c r="BB22" i="6" s="1"/>
  <c r="AT103" i="7"/>
  <c r="AS141" i="9"/>
  <c r="AT141" i="9" s="1"/>
  <c r="AU141" i="9" s="1"/>
  <c r="AV141" i="9" s="1"/>
  <c r="AJ141" i="9"/>
  <c r="AK141" i="9" s="1"/>
  <c r="AL141" i="9" s="1"/>
  <c r="CG18" i="9"/>
  <c r="CF18" i="9"/>
  <c r="CG141" i="9"/>
  <c r="CF141" i="9"/>
  <c r="CF203" i="9"/>
  <c r="CG80" i="9"/>
  <c r="CF80" i="9"/>
  <c r="AW18" i="9"/>
  <c r="AX18" i="9"/>
  <c r="BU23" i="6"/>
  <c r="E62" i="20"/>
  <c r="AS80" i="9"/>
  <c r="AT80" i="9" s="1"/>
  <c r="AU80" i="9" s="1"/>
  <c r="AV80" i="9" s="1"/>
  <c r="AJ80" i="9"/>
  <c r="AK80" i="9" s="1"/>
  <c r="AL80" i="9" s="1"/>
  <c r="AM18" i="9"/>
  <c r="AN18" i="9"/>
  <c r="AL290" i="6"/>
  <c r="AR103" i="7" s="1"/>
  <c r="AN275" i="6"/>
  <c r="AP100" i="7" s="1"/>
  <c r="AO275" i="6"/>
  <c r="AX100" i="7" s="1"/>
  <c r="AW19" i="6"/>
  <c r="BS20" i="6"/>
  <c r="C59" i="20"/>
  <c r="AS203" i="9" l="1"/>
  <c r="AT203" i="9" s="1"/>
  <c r="AU203" i="9" s="1"/>
  <c r="AV203" i="9" s="1"/>
  <c r="AW203" i="9" s="1"/>
  <c r="H33" i="17"/>
  <c r="T19" i="9"/>
  <c r="CB143" i="9" s="1"/>
  <c r="CC143" i="9" s="1"/>
  <c r="CD143" i="9" s="1"/>
  <c r="CE143" i="9" s="1"/>
  <c r="AC145" i="9"/>
  <c r="BB24" i="18"/>
  <c r="L253" i="13"/>
  <c r="E62" i="13" s="1"/>
  <c r="F111" i="13"/>
  <c r="F141" i="13" s="1"/>
  <c r="E28" i="13" s="1"/>
  <c r="BN23" i="6"/>
  <c r="BT23" i="6"/>
  <c r="D62" i="20"/>
  <c r="F163" i="13"/>
  <c r="D163" i="13"/>
  <c r="B214" i="13"/>
  <c r="I162" i="13"/>
  <c r="L162" i="13" s="1"/>
  <c r="U157" i="13"/>
  <c r="O161" i="13"/>
  <c r="J29" i="5"/>
  <c r="F29" i="5"/>
  <c r="L29" i="5"/>
  <c r="J213" i="13"/>
  <c r="M213" i="13" s="1"/>
  <c r="U213" i="13"/>
  <c r="R288" i="6"/>
  <c r="S294" i="6"/>
  <c r="BA21" i="6" s="1"/>
  <c r="G60" i="20" s="1"/>
  <c r="AD83" i="9"/>
  <c r="AC83" i="9"/>
  <c r="T124" i="5"/>
  <c r="R128" i="5" s="1"/>
  <c r="BQ25" i="6"/>
  <c r="C38" i="10"/>
  <c r="X28" i="5"/>
  <c r="A22" i="8"/>
  <c r="F22" i="8" s="1"/>
  <c r="BP25" i="6"/>
  <c r="CB142" i="9"/>
  <c r="CC142" i="9" s="1"/>
  <c r="CD142" i="9" s="1"/>
  <c r="CE142" i="9" s="1"/>
  <c r="AI142" i="9"/>
  <c r="AI20" i="9"/>
  <c r="AJ20" i="9" s="1"/>
  <c r="AK20" i="9" s="1"/>
  <c r="AL20" i="9" s="1"/>
  <c r="AS20" i="9"/>
  <c r="AT20" i="9" s="1"/>
  <c r="AU20" i="9" s="1"/>
  <c r="AV20" i="9" s="1"/>
  <c r="CB20" i="9"/>
  <c r="CC20" i="9" s="1"/>
  <c r="CD20" i="9" s="1"/>
  <c r="CE20" i="9" s="1"/>
  <c r="G289" i="6"/>
  <c r="H295" i="6"/>
  <c r="AX22" i="6" s="1"/>
  <c r="AM278" i="6"/>
  <c r="AQ103" i="7" s="1"/>
  <c r="B25" i="12"/>
  <c r="E25" i="12" s="1"/>
  <c r="J36" i="10"/>
  <c r="AT25" i="7"/>
  <c r="L23" i="9"/>
  <c r="L36" i="10"/>
  <c r="M35" i="10" s="1"/>
  <c r="C164" i="13"/>
  <c r="B23" i="4"/>
  <c r="B21" i="8"/>
  <c r="BO24" i="6"/>
  <c r="E26" i="16"/>
  <c r="Y26" i="16" s="1"/>
  <c r="E37" i="10"/>
  <c r="G37" i="10" s="1"/>
  <c r="F37" i="10"/>
  <c r="AC21" i="9"/>
  <c r="AD21" i="9"/>
  <c r="AI23" i="18" s="1"/>
  <c r="P213" i="13"/>
  <c r="V213" i="13"/>
  <c r="AI81" i="9"/>
  <c r="CB81" i="9"/>
  <c r="CC81" i="9" s="1"/>
  <c r="CD81" i="9" s="1"/>
  <c r="CE81" i="9" s="1"/>
  <c r="AD207" i="9"/>
  <c r="AC207" i="9"/>
  <c r="CB82" i="9"/>
  <c r="CC82" i="9" s="1"/>
  <c r="CD82" i="9" s="1"/>
  <c r="CE82" i="9" s="1"/>
  <c r="AI82" i="9"/>
  <c r="BI84" i="18"/>
  <c r="BJ84" i="18" s="1"/>
  <c r="BK84" i="18" s="1"/>
  <c r="BR84" i="18"/>
  <c r="BS84" i="18" s="1"/>
  <c r="BT84" i="18" s="1"/>
  <c r="BU84" i="18" s="1"/>
  <c r="BW84" i="18" s="1"/>
  <c r="AY25" i="7"/>
  <c r="AL25" i="18"/>
  <c r="AS24" i="18"/>
  <c r="AX86" i="18" s="1"/>
  <c r="AY86" i="18" s="1"/>
  <c r="AZ86" i="18" s="1"/>
  <c r="BA86" i="18" s="1"/>
  <c r="BC86" i="18" s="1"/>
  <c r="M22" i="9"/>
  <c r="DR22" i="9"/>
  <c r="Y22" i="9"/>
  <c r="D32" i="17"/>
  <c r="DY22" i="9"/>
  <c r="J22" i="9"/>
  <c r="DS22" i="9"/>
  <c r="DZ22" i="9" s="1"/>
  <c r="F26" i="18"/>
  <c r="G26" i="18"/>
  <c r="H26" i="18"/>
  <c r="AH26" i="18" s="1"/>
  <c r="CB19" i="9"/>
  <c r="CC19" i="9" s="1"/>
  <c r="CD19" i="9" s="1"/>
  <c r="CE19" i="9" s="1"/>
  <c r="AS19" i="9"/>
  <c r="AT19" i="9" s="1"/>
  <c r="AU19" i="9" s="1"/>
  <c r="AV19" i="9" s="1"/>
  <c r="AI19" i="9"/>
  <c r="AJ19" i="9" s="1"/>
  <c r="AK19" i="9" s="1"/>
  <c r="AL19" i="9" s="1"/>
  <c r="BV83" i="18"/>
  <c r="BW83" i="18"/>
  <c r="X283" i="6"/>
  <c r="Y289" i="6"/>
  <c r="AP272" i="6"/>
  <c r="AY97" i="7" s="1"/>
  <c r="P33" i="10"/>
  <c r="M34" i="10"/>
  <c r="O213" i="13"/>
  <c r="Z27" i="16"/>
  <c r="AB27" i="16"/>
  <c r="CB204" i="9"/>
  <c r="CC204" i="9" s="1"/>
  <c r="CD204" i="9" s="1"/>
  <c r="CE204" i="9" s="1"/>
  <c r="AI204" i="9"/>
  <c r="AQ25" i="18"/>
  <c r="AX25" i="18" s="1"/>
  <c r="AY25" i="18" s="1"/>
  <c r="AZ25" i="18" s="1"/>
  <c r="BA25" i="18" s="1"/>
  <c r="BM83" i="18"/>
  <c r="BL83" i="18"/>
  <c r="H61" i="20"/>
  <c r="BW22" i="6"/>
  <c r="U288" i="6"/>
  <c r="V294" i="6"/>
  <c r="BB21" i="6" s="1"/>
  <c r="AT102" i="7"/>
  <c r="BV22" i="6"/>
  <c r="F61" i="20"/>
  <c r="M288" i="6"/>
  <c r="N294" i="6"/>
  <c r="AZ21" i="6" s="1"/>
  <c r="AK289" i="6"/>
  <c r="AS102" i="7" s="1"/>
  <c r="J288" i="6"/>
  <c r="K294" i="6"/>
  <c r="AY21" i="6" s="1"/>
  <c r="E61" i="20"/>
  <c r="BU22" i="6"/>
  <c r="AM203" i="9"/>
  <c r="AN203" i="9"/>
  <c r="AM80" i="9"/>
  <c r="AN80" i="9"/>
  <c r="AM141" i="9"/>
  <c r="AN141" i="9"/>
  <c r="AX80" i="9"/>
  <c r="AW80" i="9"/>
  <c r="AW141" i="9"/>
  <c r="AX141" i="9"/>
  <c r="AL289" i="6"/>
  <c r="AR102" i="7" s="1"/>
  <c r="C58" i="20"/>
  <c r="BS19" i="6"/>
  <c r="AN274" i="6"/>
  <c r="AP99" i="7" s="1"/>
  <c r="E291" i="6"/>
  <c r="AW18" i="6" s="1"/>
  <c r="AO274" i="6"/>
  <c r="AX99" i="7" s="1"/>
  <c r="H102" i="8" l="1"/>
  <c r="J102" i="8" s="1"/>
  <c r="CZ4" i="9" s="1"/>
  <c r="DC25" i="9" s="1"/>
  <c r="AP311" i="7" s="1"/>
  <c r="AQ311" i="7" s="1"/>
  <c r="J22" i="8"/>
  <c r="U22" i="8" s="1"/>
  <c r="AX203" i="9"/>
  <c r="BB86" i="18"/>
  <c r="AI143" i="9"/>
  <c r="AS143" i="9" s="1"/>
  <c r="AT143" i="9" s="1"/>
  <c r="AU143" i="9" s="1"/>
  <c r="AV143" i="9" s="1"/>
  <c r="BV84" i="18"/>
  <c r="BC25" i="18"/>
  <c r="BB25" i="18"/>
  <c r="Q33" i="10"/>
  <c r="R33" i="10"/>
  <c r="AW19" i="9"/>
  <c r="AX19" i="9"/>
  <c r="E32" i="17"/>
  <c r="G32" i="17"/>
  <c r="BM84" i="18"/>
  <c r="BL84" i="18"/>
  <c r="AY26" i="7"/>
  <c r="AL26" i="18"/>
  <c r="CF142" i="9"/>
  <c r="CG142" i="9"/>
  <c r="AS183" i="7"/>
  <c r="F38" i="10"/>
  <c r="E38" i="10"/>
  <c r="G38" i="10" s="1"/>
  <c r="M253" i="13"/>
  <c r="L62" i="13" s="1"/>
  <c r="L111" i="13"/>
  <c r="W141" i="13" s="1"/>
  <c r="W28" i="13" s="1"/>
  <c r="F214" i="13"/>
  <c r="F254" i="13" s="1"/>
  <c r="E214" i="13"/>
  <c r="D214" i="13"/>
  <c r="G214" i="13" s="1"/>
  <c r="G254" i="13" s="1"/>
  <c r="CG19" i="9"/>
  <c r="CF19" i="9"/>
  <c r="Z22" i="9"/>
  <c r="AA22" i="9" s="1"/>
  <c r="AB22" i="9" s="1"/>
  <c r="Y146" i="9"/>
  <c r="Z146" i="9" s="1"/>
  <c r="AA146" i="9" s="1"/>
  <c r="AB146" i="9" s="1"/>
  <c r="AC146" i="9" s="1"/>
  <c r="AS82" i="9"/>
  <c r="AT82" i="9" s="1"/>
  <c r="AU82" i="9" s="1"/>
  <c r="AV82" i="9" s="1"/>
  <c r="AJ82" i="9"/>
  <c r="AK82" i="9" s="1"/>
  <c r="AL82" i="9" s="1"/>
  <c r="AM82" i="9" s="1"/>
  <c r="CG81" i="9"/>
  <c r="CF81" i="9"/>
  <c r="Z26" i="16"/>
  <c r="AB26" i="16"/>
  <c r="B215" i="13"/>
  <c r="D164" i="13"/>
  <c r="J163" i="13" s="1"/>
  <c r="M163" i="13" s="1"/>
  <c r="F164" i="13"/>
  <c r="M23" i="9"/>
  <c r="Y85" i="9" s="1"/>
  <c r="AS25" i="18"/>
  <c r="AX87" i="18" s="1"/>
  <c r="AY87" i="18" s="1"/>
  <c r="AZ87" i="18" s="1"/>
  <c r="BA87" i="18" s="1"/>
  <c r="U158" i="13"/>
  <c r="G163" i="13"/>
  <c r="P161" i="13"/>
  <c r="V157" i="13"/>
  <c r="J162" i="13"/>
  <c r="M162" i="13" s="1"/>
  <c r="B20" i="8"/>
  <c r="B22" i="4"/>
  <c r="BO23" i="6"/>
  <c r="E25" i="16"/>
  <c r="Y25" i="16" s="1"/>
  <c r="AJ204" i="9"/>
  <c r="AK204" i="9" s="1"/>
  <c r="AL204" i="9" s="1"/>
  <c r="AS204" i="9"/>
  <c r="AT204" i="9" s="1"/>
  <c r="AU204" i="9" s="1"/>
  <c r="AV204" i="9" s="1"/>
  <c r="X282" i="6"/>
  <c r="Y288" i="6"/>
  <c r="AP271" i="6"/>
  <c r="AY96" i="7" s="1"/>
  <c r="AQ26" i="18"/>
  <c r="AX26" i="18" s="1"/>
  <c r="AY26" i="18" s="1"/>
  <c r="AZ26" i="18" s="1"/>
  <c r="BA26" i="18" s="1"/>
  <c r="S20" i="9"/>
  <c r="O21" i="9"/>
  <c r="AJ81" i="9"/>
  <c r="AK81" i="9" s="1"/>
  <c r="AL81" i="9" s="1"/>
  <c r="AS81" i="9"/>
  <c r="AT81" i="9" s="1"/>
  <c r="AU81" i="9" s="1"/>
  <c r="AV81" i="9" s="1"/>
  <c r="BQ24" i="6"/>
  <c r="BP24" i="6"/>
  <c r="C39" i="10"/>
  <c r="A21" i="8"/>
  <c r="F21" i="8" s="1"/>
  <c r="X27" i="5"/>
  <c r="T123" i="5"/>
  <c r="R127" i="5" s="1"/>
  <c r="P34" i="10"/>
  <c r="BN22" i="6"/>
  <c r="BT22" i="6"/>
  <c r="D61" i="20"/>
  <c r="DD25" i="9"/>
  <c r="R287" i="6"/>
  <c r="S293" i="6"/>
  <c r="BA20" i="6" s="1"/>
  <c r="G59" i="20" s="1"/>
  <c r="O162" i="13"/>
  <c r="CG204" i="9"/>
  <c r="CF204" i="9"/>
  <c r="N34" i="10"/>
  <c r="AR23" i="18" s="1"/>
  <c r="O34" i="10"/>
  <c r="AT23" i="18" s="1"/>
  <c r="BH85" i="18" s="1"/>
  <c r="N35" i="10"/>
  <c r="AR24" i="18" s="1"/>
  <c r="O35" i="10"/>
  <c r="AT24" i="18" s="1"/>
  <c r="BH86" i="18" s="1"/>
  <c r="AN19" i="9"/>
  <c r="AM19" i="9"/>
  <c r="Y84" i="9"/>
  <c r="U19" i="9"/>
  <c r="AT26" i="7"/>
  <c r="C165" i="13"/>
  <c r="I164" i="13" s="1"/>
  <c r="L164" i="13" s="1"/>
  <c r="L37" i="10"/>
  <c r="L24" i="9"/>
  <c r="B26" i="12"/>
  <c r="E26" i="12" s="1"/>
  <c r="J37" i="10"/>
  <c r="DS23" i="9"/>
  <c r="DZ23" i="9" s="1"/>
  <c r="D31" i="17"/>
  <c r="DR23" i="9"/>
  <c r="Y23" i="9"/>
  <c r="J23" i="9"/>
  <c r="DY23" i="9"/>
  <c r="G288" i="6"/>
  <c r="H294" i="6"/>
  <c r="AX21" i="6" s="1"/>
  <c r="AM277" i="6"/>
  <c r="AQ102" i="7" s="1"/>
  <c r="AJ142" i="9"/>
  <c r="AK142" i="9" s="1"/>
  <c r="AL142" i="9" s="1"/>
  <c r="AS142" i="9"/>
  <c r="AT142" i="9" s="1"/>
  <c r="AU142" i="9" s="1"/>
  <c r="AV142" i="9" s="1"/>
  <c r="C28" i="5"/>
  <c r="C25" i="18"/>
  <c r="I163" i="13"/>
  <c r="L163" i="13" s="1"/>
  <c r="M287" i="6"/>
  <c r="N293" i="6"/>
  <c r="AZ20" i="6" s="1"/>
  <c r="AK288" i="6"/>
  <c r="AS101" i="7" s="1"/>
  <c r="BW21" i="6"/>
  <c r="H60" i="20"/>
  <c r="J287" i="6"/>
  <c r="K293" i="6"/>
  <c r="AY20" i="6" s="1"/>
  <c r="U287" i="6"/>
  <c r="V293" i="6"/>
  <c r="BB20" i="6" s="1"/>
  <c r="AT101" i="7"/>
  <c r="BV21" i="6"/>
  <c r="F60" i="20"/>
  <c r="AL288" i="6"/>
  <c r="AR101" i="7" s="1"/>
  <c r="E60" i="20"/>
  <c r="BU21" i="6"/>
  <c r="CG143" i="9"/>
  <c r="CF143" i="9"/>
  <c r="AM20" i="9"/>
  <c r="AN20" i="9"/>
  <c r="CF20" i="9"/>
  <c r="CG20" i="9"/>
  <c r="AX20" i="9"/>
  <c r="AW20" i="9"/>
  <c r="CG82" i="9"/>
  <c r="CF82" i="9"/>
  <c r="BS18" i="6"/>
  <c r="C57" i="20"/>
  <c r="AO273" i="6"/>
  <c r="AX98" i="7" s="1"/>
  <c r="E290" i="6"/>
  <c r="AW17" i="6" s="1"/>
  <c r="AN273" i="6"/>
  <c r="AP98" i="7" s="1"/>
  <c r="H101" i="8" l="1"/>
  <c r="J101" i="8" s="1"/>
  <c r="CZ5" i="9" s="1"/>
  <c r="DC26" i="9" s="1"/>
  <c r="DD26" i="9" s="1"/>
  <c r="DE26" i="9" s="1"/>
  <c r="DF26" i="9" s="1"/>
  <c r="J21" i="8"/>
  <c r="U21" i="8" s="1"/>
  <c r="W22" i="8"/>
  <c r="V22" i="8"/>
  <c r="AN82" i="9"/>
  <c r="H32" i="17"/>
  <c r="AJ143" i="9"/>
  <c r="AK143" i="9" s="1"/>
  <c r="AL143" i="9" s="1"/>
  <c r="AM143" i="9" s="1"/>
  <c r="AD146" i="9"/>
  <c r="U38" i="20"/>
  <c r="U41" i="20" s="1"/>
  <c r="E28" i="5"/>
  <c r="C95" i="5"/>
  <c r="BN21" i="6"/>
  <c r="D60" i="20"/>
  <c r="BT21" i="6"/>
  <c r="E31" i="17"/>
  <c r="G31" i="17"/>
  <c r="D30" i="17"/>
  <c r="Y24" i="9"/>
  <c r="J24" i="9"/>
  <c r="S22" i="9" s="1"/>
  <c r="DY24" i="9"/>
  <c r="DS24" i="9"/>
  <c r="DZ24" i="9" s="1"/>
  <c r="DR24" i="9"/>
  <c r="CB205" i="9"/>
  <c r="CC205" i="9" s="1"/>
  <c r="CD205" i="9" s="1"/>
  <c r="CE205" i="9" s="1"/>
  <c r="AI205" i="9"/>
  <c r="BI86" i="18"/>
  <c r="BJ86" i="18" s="1"/>
  <c r="BK86" i="18" s="1"/>
  <c r="BR86" i="18"/>
  <c r="BS86" i="18" s="1"/>
  <c r="BT86" i="18" s="1"/>
  <c r="BU86" i="18" s="1"/>
  <c r="B19" i="8"/>
  <c r="B21" i="4"/>
  <c r="BO22" i="6"/>
  <c r="E24" i="16"/>
  <c r="Y24" i="16" s="1"/>
  <c r="C27" i="5"/>
  <c r="C24" i="18"/>
  <c r="BB26" i="18"/>
  <c r="BC26" i="18"/>
  <c r="X281" i="6"/>
  <c r="Y287" i="6"/>
  <c r="AP258" i="6"/>
  <c r="BQ23" i="6"/>
  <c r="T122" i="5"/>
  <c r="R126" i="5" s="1"/>
  <c r="A20" i="8"/>
  <c r="F20" i="8" s="1"/>
  <c r="C40" i="10"/>
  <c r="X26" i="5"/>
  <c r="BP23" i="6"/>
  <c r="DR85" i="9"/>
  <c r="Y209" i="9"/>
  <c r="Z209" i="9" s="1"/>
  <c r="AA209" i="9" s="1"/>
  <c r="AB209" i="9" s="1"/>
  <c r="DS85" i="9"/>
  <c r="DZ85" i="9" s="1"/>
  <c r="Z85" i="9"/>
  <c r="AA85" i="9" s="1"/>
  <c r="AB85" i="9" s="1"/>
  <c r="DY85" i="9"/>
  <c r="AW142" i="9"/>
  <c r="AX142" i="9"/>
  <c r="G287" i="6"/>
  <c r="H293" i="6"/>
  <c r="AX20" i="6" s="1"/>
  <c r="AM276" i="6"/>
  <c r="AQ101" i="7" s="1"/>
  <c r="S21" i="9"/>
  <c r="M36" i="10"/>
  <c r="P35" i="10"/>
  <c r="DY84" i="9"/>
  <c r="Z84" i="9"/>
  <c r="AA84" i="9" s="1"/>
  <c r="AB84" i="9" s="1"/>
  <c r="DR84" i="9"/>
  <c r="DS84" i="9"/>
  <c r="DZ84" i="9" s="1"/>
  <c r="Y208" i="9"/>
  <c r="Z208" i="9" s="1"/>
  <c r="AA208" i="9" s="1"/>
  <c r="AB208" i="9" s="1"/>
  <c r="R286" i="6"/>
  <c r="S292" i="6"/>
  <c r="BA19" i="6" s="1"/>
  <c r="G58" i="20" s="1"/>
  <c r="DE25" i="9"/>
  <c r="AW81" i="9"/>
  <c r="AX81" i="9"/>
  <c r="T20" i="9"/>
  <c r="U20" i="9"/>
  <c r="AW204" i="9"/>
  <c r="AX204" i="9"/>
  <c r="G164" i="13"/>
  <c r="AM142" i="9"/>
  <c r="AN142" i="9"/>
  <c r="Z23" i="9"/>
  <c r="AA23" i="9" s="1"/>
  <c r="AB23" i="9" s="1"/>
  <c r="Y147" i="9"/>
  <c r="Z147" i="9" s="1"/>
  <c r="AA147" i="9" s="1"/>
  <c r="AB147" i="9" s="1"/>
  <c r="M24" i="9"/>
  <c r="Y86" i="9" s="1"/>
  <c r="AS26" i="18"/>
  <c r="AX88" i="18" s="1"/>
  <c r="AY88" i="18" s="1"/>
  <c r="AZ88" i="18" s="1"/>
  <c r="BA88" i="18" s="1"/>
  <c r="U159" i="13"/>
  <c r="F165" i="13"/>
  <c r="B216" i="13"/>
  <c r="D165" i="13"/>
  <c r="P163" i="13" s="1"/>
  <c r="S163" i="13" s="1"/>
  <c r="BI85" i="18"/>
  <c r="BJ85" i="18" s="1"/>
  <c r="BK85" i="18" s="1"/>
  <c r="BR85" i="18"/>
  <c r="BS85" i="18" s="1"/>
  <c r="BT85" i="18" s="1"/>
  <c r="BU85" i="18" s="1"/>
  <c r="BV85" i="18" s="1"/>
  <c r="Q34" i="10"/>
  <c r="R34" i="10"/>
  <c r="AS184" i="7"/>
  <c r="F39" i="10"/>
  <c r="E39" i="10"/>
  <c r="G39" i="10" s="1"/>
  <c r="AM81" i="9"/>
  <c r="AN81" i="9"/>
  <c r="AN204" i="9"/>
  <c r="AM204" i="9"/>
  <c r="P162" i="13"/>
  <c r="O163" i="13"/>
  <c r="R163" i="13" s="1"/>
  <c r="E215" i="13"/>
  <c r="D215" i="13"/>
  <c r="G215" i="13" s="1"/>
  <c r="G255" i="13" s="1"/>
  <c r="F215" i="13"/>
  <c r="F255" i="13" s="1"/>
  <c r="AD22" i="9"/>
  <c r="AI24" i="18" s="1"/>
  <c r="AC22" i="9"/>
  <c r="J214" i="13"/>
  <c r="M214" i="13" s="1"/>
  <c r="I214" i="13"/>
  <c r="L214" i="13" s="1"/>
  <c r="V214" i="13"/>
  <c r="O214" i="13"/>
  <c r="U214" i="13"/>
  <c r="P214" i="13"/>
  <c r="AY27" i="7"/>
  <c r="AP51" i="7" s="1"/>
  <c r="AQ51" i="7" s="1"/>
  <c r="AR51" i="7" s="1"/>
  <c r="AL27" i="18"/>
  <c r="H25" i="18"/>
  <c r="AH27" i="18" s="1"/>
  <c r="G25" i="18"/>
  <c r="F25" i="18"/>
  <c r="Q21" i="9"/>
  <c r="P21" i="9"/>
  <c r="O22" i="9"/>
  <c r="AB25" i="16"/>
  <c r="Z25" i="16"/>
  <c r="V158" i="13"/>
  <c r="BC87" i="18"/>
  <c r="BB87" i="18"/>
  <c r="L38" i="10"/>
  <c r="J38" i="10"/>
  <c r="AT27" i="7"/>
  <c r="C166" i="13"/>
  <c r="I165" i="13" s="1"/>
  <c r="L165" i="13" s="1"/>
  <c r="B27" i="12"/>
  <c r="E27" i="12" s="1"/>
  <c r="L25" i="9"/>
  <c r="U286" i="6"/>
  <c r="V292" i="6"/>
  <c r="BB19" i="6" s="1"/>
  <c r="AT100" i="7"/>
  <c r="J286" i="6"/>
  <c r="K292" i="6"/>
  <c r="AY19" i="6" s="1"/>
  <c r="BV20" i="6"/>
  <c r="F59" i="20"/>
  <c r="BW20" i="6"/>
  <c r="H59" i="20"/>
  <c r="M286" i="6"/>
  <c r="N292" i="6"/>
  <c r="AZ19" i="6" s="1"/>
  <c r="AK287" i="6"/>
  <c r="AS100" i="7" s="1"/>
  <c r="BU20" i="6"/>
  <c r="E59" i="20"/>
  <c r="AL287" i="6"/>
  <c r="AR100" i="7" s="1"/>
  <c r="AW143" i="9"/>
  <c r="AX143" i="9"/>
  <c r="AW82" i="9"/>
  <c r="AX82" i="9"/>
  <c r="AN272" i="6"/>
  <c r="AP97" i="7" s="1"/>
  <c r="AO272" i="6"/>
  <c r="AX97" i="7" s="1"/>
  <c r="E289" i="6"/>
  <c r="AW16" i="6" s="1"/>
  <c r="BS17" i="6"/>
  <c r="C56" i="20"/>
  <c r="AP312" i="7" l="1"/>
  <c r="AQ312" i="7" s="1"/>
  <c r="H100" i="8"/>
  <c r="J100" i="8" s="1"/>
  <c r="CZ6" i="9" s="1"/>
  <c r="DC27" i="9" s="1"/>
  <c r="DD27" i="9" s="1"/>
  <c r="DE27" i="9" s="1"/>
  <c r="DF27" i="9" s="1"/>
  <c r="J20" i="8"/>
  <c r="U20" i="8" s="1"/>
  <c r="V21" i="8"/>
  <c r="W21" i="8"/>
  <c r="O23" i="9"/>
  <c r="P23" i="9" s="1"/>
  <c r="AN143" i="9"/>
  <c r="V215" i="13"/>
  <c r="BW85" i="18"/>
  <c r="H31" i="17"/>
  <c r="O215" i="13"/>
  <c r="I215" i="13"/>
  <c r="L215" i="13" s="1"/>
  <c r="L255" i="13" s="1"/>
  <c r="E64" i="13" s="1"/>
  <c r="P215" i="13"/>
  <c r="T22" i="9"/>
  <c r="DR25" i="9"/>
  <c r="Y25" i="9"/>
  <c r="DS25" i="9"/>
  <c r="DZ25" i="9" s="1"/>
  <c r="EE25" i="9" s="1"/>
  <c r="ED25" i="9"/>
  <c r="DY25" i="9"/>
  <c r="J25" i="9"/>
  <c r="AS27" i="18"/>
  <c r="AX89" i="18" s="1"/>
  <c r="AY89" i="18" s="1"/>
  <c r="AZ89" i="18" s="1"/>
  <c r="BA89" i="18" s="1"/>
  <c r="M25" i="9"/>
  <c r="Y87" i="9" s="1"/>
  <c r="L110" i="13"/>
  <c r="W140" i="13" s="1"/>
  <c r="W27" i="13" s="1"/>
  <c r="M254" i="13"/>
  <c r="L63" i="13" s="1"/>
  <c r="J215" i="13"/>
  <c r="M215" i="13" s="1"/>
  <c r="AL28" i="18"/>
  <c r="AY28" i="7"/>
  <c r="AP52" i="7" s="1"/>
  <c r="AQ52" i="7" s="1"/>
  <c r="AR52" i="7" s="1"/>
  <c r="F216" i="13"/>
  <c r="F256" i="13" s="1"/>
  <c r="E216" i="13"/>
  <c r="O216" i="13" s="1"/>
  <c r="R216" i="13" s="1"/>
  <c r="D216" i="13"/>
  <c r="G216" i="13" s="1"/>
  <c r="G256" i="13" s="1"/>
  <c r="DR86" i="9"/>
  <c r="DY86" i="9"/>
  <c r="Z86" i="9"/>
  <c r="AA86" i="9" s="1"/>
  <c r="AB86" i="9" s="1"/>
  <c r="DS86" i="9"/>
  <c r="DZ86" i="9" s="1"/>
  <c r="Y210" i="9"/>
  <c r="Z210" i="9" s="1"/>
  <c r="AA210" i="9" s="1"/>
  <c r="AB210" i="9" s="1"/>
  <c r="CB144" i="9"/>
  <c r="CC144" i="9" s="1"/>
  <c r="CD144" i="9" s="1"/>
  <c r="CE144" i="9" s="1"/>
  <c r="CF144" i="9" s="1"/>
  <c r="AI144" i="9"/>
  <c r="DG26" i="9"/>
  <c r="DH26" i="9"/>
  <c r="Q35" i="10"/>
  <c r="R35" i="10"/>
  <c r="AC209" i="9"/>
  <c r="AD209" i="9"/>
  <c r="AS185" i="7"/>
  <c r="E40" i="10"/>
  <c r="G40" i="10" s="1"/>
  <c r="F40" i="10"/>
  <c r="T121" i="5"/>
  <c r="R125" i="5" s="1"/>
  <c r="C41" i="10"/>
  <c r="BQ22" i="6"/>
  <c r="D21" i="4" s="1"/>
  <c r="A19" i="8"/>
  <c r="F19" i="8" s="1"/>
  <c r="BP22" i="6"/>
  <c r="X25" i="5"/>
  <c r="BM86" i="18"/>
  <c r="BL86" i="18"/>
  <c r="G30" i="17"/>
  <c r="E30" i="17"/>
  <c r="E95" i="5"/>
  <c r="J28" i="5"/>
  <c r="L28" i="5"/>
  <c r="F28" i="5"/>
  <c r="F95" i="5" s="1"/>
  <c r="P36" i="10"/>
  <c r="P22" i="9"/>
  <c r="Q22" i="9"/>
  <c r="J39" i="10"/>
  <c r="B28" i="12"/>
  <c r="E28" i="12" s="1"/>
  <c r="L39" i="10"/>
  <c r="C167" i="13"/>
  <c r="U161" i="13" s="1"/>
  <c r="L26" i="9"/>
  <c r="AT28" i="7"/>
  <c r="AD147" i="9"/>
  <c r="AC147" i="9"/>
  <c r="N36" i="10"/>
  <c r="AR25" i="18" s="1"/>
  <c r="O36" i="10"/>
  <c r="AT25" i="18" s="1"/>
  <c r="BH87" i="18" s="1"/>
  <c r="BN20" i="6"/>
  <c r="D59" i="20"/>
  <c r="BT20" i="6"/>
  <c r="F24" i="18"/>
  <c r="H24" i="18"/>
  <c r="AH28" i="18" s="1"/>
  <c r="G24" i="18"/>
  <c r="AJ205" i="9"/>
  <c r="AK205" i="9" s="1"/>
  <c r="AL205" i="9" s="1"/>
  <c r="AS205" i="9"/>
  <c r="AT205" i="9" s="1"/>
  <c r="AU205" i="9" s="1"/>
  <c r="AV205" i="9" s="1"/>
  <c r="F166" i="13"/>
  <c r="B217" i="13"/>
  <c r="D166" i="13"/>
  <c r="P164" i="13" s="1"/>
  <c r="S164" i="13" s="1"/>
  <c r="U160" i="13"/>
  <c r="CB21" i="9"/>
  <c r="CC21" i="9" s="1"/>
  <c r="CD21" i="9" s="1"/>
  <c r="CE21" i="9" s="1"/>
  <c r="CF21" i="9" s="1"/>
  <c r="AI21" i="9"/>
  <c r="AJ21" i="9" s="1"/>
  <c r="AK21" i="9" s="1"/>
  <c r="AL21" i="9" s="1"/>
  <c r="AN21" i="9" s="1"/>
  <c r="AS21" i="9"/>
  <c r="AT21" i="9" s="1"/>
  <c r="AU21" i="9" s="1"/>
  <c r="AV21" i="9" s="1"/>
  <c r="AW21" i="9" s="1"/>
  <c r="AQ27" i="18"/>
  <c r="AX27" i="18" s="1"/>
  <c r="AY27" i="18" s="1"/>
  <c r="AZ27" i="18" s="1"/>
  <c r="BA27" i="18" s="1"/>
  <c r="BB27" i="18" s="1"/>
  <c r="U215" i="13"/>
  <c r="BL85" i="18"/>
  <c r="BM85" i="18"/>
  <c r="AD23" i="9"/>
  <c r="AI25" i="18" s="1"/>
  <c r="AC23" i="9"/>
  <c r="M37" i="10"/>
  <c r="R285" i="6"/>
  <c r="S291" i="6"/>
  <c r="BA18" i="6" s="1"/>
  <c r="G57" i="20" s="1"/>
  <c r="AD84" i="9"/>
  <c r="AC84" i="9"/>
  <c r="G286" i="6"/>
  <c r="H292" i="6"/>
  <c r="AX19" i="6" s="1"/>
  <c r="AM275" i="6"/>
  <c r="AQ100" i="7" s="1"/>
  <c r="AD85" i="9"/>
  <c r="AC85" i="9"/>
  <c r="Y281" i="6"/>
  <c r="Y284" i="6"/>
  <c r="Y282" i="6"/>
  <c r="Y286" i="6"/>
  <c r="Y285" i="6"/>
  <c r="Y283" i="6"/>
  <c r="AP257" i="6"/>
  <c r="V38" i="20"/>
  <c r="V41" i="20" s="1"/>
  <c r="E27" i="5"/>
  <c r="C94" i="5"/>
  <c r="CF205" i="9"/>
  <c r="CG205" i="9"/>
  <c r="E23" i="16"/>
  <c r="Y23" i="16" s="1"/>
  <c r="BO21" i="6"/>
  <c r="B20" i="4"/>
  <c r="B18" i="8"/>
  <c r="AS51" i="7"/>
  <c r="CB83" i="9"/>
  <c r="CC83" i="9" s="1"/>
  <c r="CD83" i="9" s="1"/>
  <c r="CE83" i="9" s="1"/>
  <c r="CF83" i="9" s="1"/>
  <c r="AI83" i="9"/>
  <c r="L254" i="13"/>
  <c r="E63" i="13" s="1"/>
  <c r="F110" i="13"/>
  <c r="F140" i="13" s="1"/>
  <c r="E27" i="13" s="1"/>
  <c r="G165" i="13"/>
  <c r="J164" i="13"/>
  <c r="M164" i="13" s="1"/>
  <c r="V159" i="13"/>
  <c r="BC88" i="18"/>
  <c r="BB88" i="18"/>
  <c r="CB206" i="9"/>
  <c r="CC206" i="9" s="1"/>
  <c r="CD206" i="9" s="1"/>
  <c r="CE206" i="9" s="1"/>
  <c r="CG206" i="9" s="1"/>
  <c r="AI206" i="9"/>
  <c r="DF25" i="9"/>
  <c r="AD208" i="9"/>
  <c r="AC208" i="9"/>
  <c r="T21" i="9"/>
  <c r="U21" i="9"/>
  <c r="C26" i="5"/>
  <c r="C23" i="18"/>
  <c r="Z24" i="16"/>
  <c r="AB24" i="16"/>
  <c r="BW86" i="18"/>
  <c r="BV86" i="18"/>
  <c r="Z24" i="9"/>
  <c r="AA24" i="9" s="1"/>
  <c r="AB24" i="9" s="1"/>
  <c r="Y148" i="9"/>
  <c r="Z148" i="9" s="1"/>
  <c r="AA148" i="9" s="1"/>
  <c r="AB148" i="9" s="1"/>
  <c r="O164" i="13"/>
  <c r="R164" i="13" s="1"/>
  <c r="J285" i="6"/>
  <c r="K291" i="6"/>
  <c r="AY18" i="6" s="1"/>
  <c r="F58" i="20"/>
  <c r="BV19" i="6"/>
  <c r="M285" i="6"/>
  <c r="N291" i="6"/>
  <c r="AZ18" i="6" s="1"/>
  <c r="AK286" i="6"/>
  <c r="AS99" i="7" s="1"/>
  <c r="H58" i="20"/>
  <c r="BW19" i="6"/>
  <c r="U285" i="6"/>
  <c r="V291" i="6"/>
  <c r="BB18" i="6" s="1"/>
  <c r="AT99" i="7"/>
  <c r="AL286" i="6"/>
  <c r="AR99" i="7" s="1"/>
  <c r="E58" i="20"/>
  <c r="BU19" i="6"/>
  <c r="C55" i="20"/>
  <c r="BS16" i="6"/>
  <c r="E288" i="6"/>
  <c r="AW15" i="6" s="1"/>
  <c r="AN271" i="6"/>
  <c r="AP96" i="7" s="1"/>
  <c r="AO271" i="6"/>
  <c r="AX96" i="7" s="1"/>
  <c r="AP313" i="7" l="1"/>
  <c r="AQ313" i="7" s="1"/>
  <c r="H99" i="8"/>
  <c r="J99" i="8" s="1"/>
  <c r="CZ7" i="9" s="1"/>
  <c r="DC28" i="9" s="1"/>
  <c r="AP314" i="7" s="1"/>
  <c r="AQ314" i="7" s="1"/>
  <c r="J19" i="8"/>
  <c r="V20" i="8"/>
  <c r="W20" i="8"/>
  <c r="Q23" i="9"/>
  <c r="AI85" i="9" s="1"/>
  <c r="AM21" i="9"/>
  <c r="CG21" i="9"/>
  <c r="V216" i="13"/>
  <c r="I166" i="13"/>
  <c r="L166" i="13" s="1"/>
  <c r="CG83" i="9"/>
  <c r="BC27" i="18"/>
  <c r="CF206" i="9"/>
  <c r="AX21" i="9"/>
  <c r="P216" i="13"/>
  <c r="S216" i="13" s="1"/>
  <c r="M108" i="13" s="1"/>
  <c r="X138" i="13" s="1"/>
  <c r="X25" i="13" s="1"/>
  <c r="CG144" i="9"/>
  <c r="F109" i="13"/>
  <c r="F139" i="13" s="1"/>
  <c r="E26" i="13" s="1"/>
  <c r="H30" i="17"/>
  <c r="G23" i="18"/>
  <c r="H23" i="18"/>
  <c r="AH29" i="18" s="1"/>
  <c r="F23" i="18"/>
  <c r="AJ206" i="9"/>
  <c r="AK206" i="9" s="1"/>
  <c r="AL206" i="9" s="1"/>
  <c r="AS206" i="9"/>
  <c r="AT206" i="9" s="1"/>
  <c r="AU206" i="9" s="1"/>
  <c r="AV206" i="9" s="1"/>
  <c r="AW206" i="9" s="1"/>
  <c r="T120" i="5"/>
  <c r="R124" i="5" s="1"/>
  <c r="A18" i="8"/>
  <c r="F18" i="8" s="1"/>
  <c r="X24" i="5"/>
  <c r="C42" i="10"/>
  <c r="BP21" i="6"/>
  <c r="BQ21" i="6"/>
  <c r="D20" i="4" s="1"/>
  <c r="G166" i="13"/>
  <c r="V160" i="13"/>
  <c r="AM205" i="9"/>
  <c r="AN205" i="9"/>
  <c r="O165" i="13"/>
  <c r="R165" i="13" s="1"/>
  <c r="D167" i="13"/>
  <c r="V161" i="13" s="1"/>
  <c r="F167" i="13"/>
  <c r="B218" i="13"/>
  <c r="AS23" i="9"/>
  <c r="AT23" i="9" s="1"/>
  <c r="AU23" i="9" s="1"/>
  <c r="AV23" i="9" s="1"/>
  <c r="BC23" i="9"/>
  <c r="BD23" i="9" s="1"/>
  <c r="BE23" i="9" s="1"/>
  <c r="BF23" i="9" s="1"/>
  <c r="CB23" i="9"/>
  <c r="CC23" i="9" s="1"/>
  <c r="CD23" i="9" s="1"/>
  <c r="CE23" i="9" s="1"/>
  <c r="AI23" i="9"/>
  <c r="AJ23" i="9" s="1"/>
  <c r="AK23" i="9" s="1"/>
  <c r="AL23" i="9" s="1"/>
  <c r="M28" i="5"/>
  <c r="I95" i="5"/>
  <c r="L95" i="5" s="1"/>
  <c r="M95" i="5" s="1"/>
  <c r="C22" i="18"/>
  <c r="C25" i="5"/>
  <c r="AS186" i="7"/>
  <c r="E41" i="10"/>
  <c r="G41" i="10" s="1"/>
  <c r="F41" i="10"/>
  <c r="W38" i="20"/>
  <c r="W41" i="20" s="1"/>
  <c r="C93" i="5"/>
  <c r="E26" i="5"/>
  <c r="AB23" i="16"/>
  <c r="Z23" i="16"/>
  <c r="E94" i="5"/>
  <c r="J27" i="5"/>
  <c r="F27" i="5"/>
  <c r="F94" i="5" s="1"/>
  <c r="L27" i="5"/>
  <c r="BN19" i="6"/>
  <c r="BT19" i="6"/>
  <c r="D58" i="20"/>
  <c r="R256" i="13"/>
  <c r="F65" i="13" s="1"/>
  <c r="G108" i="13"/>
  <c r="G138" i="13" s="1"/>
  <c r="F25" i="13" s="1"/>
  <c r="E217" i="13"/>
  <c r="D217" i="13"/>
  <c r="G217" i="13" s="1"/>
  <c r="G257" i="13" s="1"/>
  <c r="F217" i="13"/>
  <c r="F257" i="13" s="1"/>
  <c r="E22" i="16"/>
  <c r="Y22" i="16" s="1"/>
  <c r="B17" i="8"/>
  <c r="B19" i="4"/>
  <c r="BO20" i="6"/>
  <c r="M38" i="10"/>
  <c r="P37" i="10"/>
  <c r="D29" i="17"/>
  <c r="AJ144" i="9"/>
  <c r="AK144" i="9" s="1"/>
  <c r="AL144" i="9" s="1"/>
  <c r="AS144" i="9"/>
  <c r="AT144" i="9" s="1"/>
  <c r="AU144" i="9" s="1"/>
  <c r="AV144" i="9" s="1"/>
  <c r="AW144" i="9" s="1"/>
  <c r="AD86" i="9"/>
  <c r="AC86" i="9"/>
  <c r="U216" i="13"/>
  <c r="I216" i="13"/>
  <c r="L216" i="13" s="1"/>
  <c r="J216" i="13"/>
  <c r="M216" i="13" s="1"/>
  <c r="M255" i="13"/>
  <c r="L64" i="13" s="1"/>
  <c r="L109" i="13"/>
  <c r="W139" i="13" s="1"/>
  <c r="W26" i="13" s="1"/>
  <c r="ED87" i="9"/>
  <c r="DS87" i="9"/>
  <c r="DZ87" i="9" s="1"/>
  <c r="EE87" i="9" s="1"/>
  <c r="Z87" i="9"/>
  <c r="AA87" i="9" s="1"/>
  <c r="AB87" i="9" s="1"/>
  <c r="DY87" i="9"/>
  <c r="DR87" i="9"/>
  <c r="Y211" i="9"/>
  <c r="Z211" i="9" s="1"/>
  <c r="AA211" i="9" s="1"/>
  <c r="AB211" i="9" s="1"/>
  <c r="J165" i="13"/>
  <c r="M165" i="13" s="1"/>
  <c r="AC148" i="9"/>
  <c r="AD148" i="9"/>
  <c r="AI207" i="9"/>
  <c r="CB207" i="9"/>
  <c r="CC207" i="9" s="1"/>
  <c r="CD207" i="9" s="1"/>
  <c r="CE207" i="9" s="1"/>
  <c r="DG25" i="9"/>
  <c r="DH25" i="9"/>
  <c r="AJ83" i="9"/>
  <c r="AK83" i="9" s="1"/>
  <c r="AL83" i="9" s="1"/>
  <c r="AS83" i="9"/>
  <c r="AT83" i="9" s="1"/>
  <c r="AU83" i="9" s="1"/>
  <c r="AV83" i="9" s="1"/>
  <c r="AW83" i="9" s="1"/>
  <c r="G285" i="6"/>
  <c r="H291" i="6"/>
  <c r="AX18" i="6" s="1"/>
  <c r="AM274" i="6"/>
  <c r="AQ99" i="7" s="1"/>
  <c r="R284" i="6"/>
  <c r="S290" i="6"/>
  <c r="BA17" i="6" s="1"/>
  <c r="G56" i="20" s="1"/>
  <c r="AQ28" i="18"/>
  <c r="AX28" i="18" s="1"/>
  <c r="AY28" i="18" s="1"/>
  <c r="AZ28" i="18" s="1"/>
  <c r="BA28" i="18" s="1"/>
  <c r="DG27" i="9"/>
  <c r="DH27" i="9"/>
  <c r="BI87" i="18"/>
  <c r="BJ87" i="18" s="1"/>
  <c r="BK87" i="18" s="1"/>
  <c r="BR87" i="18"/>
  <c r="BS87" i="18" s="1"/>
  <c r="BT87" i="18" s="1"/>
  <c r="BU87" i="18" s="1"/>
  <c r="BW87" i="18" s="1"/>
  <c r="AS52" i="7"/>
  <c r="AI84" i="9"/>
  <c r="CB84" i="9"/>
  <c r="CC84" i="9" s="1"/>
  <c r="CD84" i="9" s="1"/>
  <c r="CE84" i="9" s="1"/>
  <c r="Q36" i="10"/>
  <c r="R36" i="10"/>
  <c r="L27" i="9"/>
  <c r="B29" i="12"/>
  <c r="E29" i="12" s="1"/>
  <c r="J40" i="10"/>
  <c r="AT29" i="7"/>
  <c r="C168" i="13"/>
  <c r="L40" i="10"/>
  <c r="M39" i="10" s="1"/>
  <c r="BB89" i="18"/>
  <c r="BC89" i="18"/>
  <c r="U22" i="9"/>
  <c r="AC24" i="9"/>
  <c r="AD24" i="9"/>
  <c r="AI26" i="18" s="1"/>
  <c r="CB145" i="9"/>
  <c r="CC145" i="9" s="1"/>
  <c r="CD145" i="9" s="1"/>
  <c r="CE145" i="9" s="1"/>
  <c r="AI145" i="9"/>
  <c r="N37" i="10"/>
  <c r="AR26" i="18" s="1"/>
  <c r="O37" i="10"/>
  <c r="AT26" i="18" s="1"/>
  <c r="BH88" i="18" s="1"/>
  <c r="AW205" i="9"/>
  <c r="AX205" i="9"/>
  <c r="DS26" i="9"/>
  <c r="DZ26" i="9" s="1"/>
  <c r="EE26" i="9" s="1"/>
  <c r="DR26" i="9"/>
  <c r="ED26" i="9"/>
  <c r="J26" i="9"/>
  <c r="S24" i="9" s="1"/>
  <c r="DY26" i="9"/>
  <c r="Y26" i="9"/>
  <c r="M26" i="9"/>
  <c r="Y88" i="9" s="1"/>
  <c r="AS28" i="18"/>
  <c r="AX90" i="18" s="1"/>
  <c r="AY90" i="18" s="1"/>
  <c r="AZ90" i="18" s="1"/>
  <c r="BA90" i="18" s="1"/>
  <c r="AS22" i="9"/>
  <c r="AT22" i="9" s="1"/>
  <c r="AU22" i="9" s="1"/>
  <c r="AV22" i="9" s="1"/>
  <c r="CB22" i="9"/>
  <c r="CC22" i="9" s="1"/>
  <c r="CD22" i="9" s="1"/>
  <c r="CE22" i="9" s="1"/>
  <c r="AI22" i="9"/>
  <c r="AJ22" i="9" s="1"/>
  <c r="AK22" i="9" s="1"/>
  <c r="AL22" i="9" s="1"/>
  <c r="AL29" i="18"/>
  <c r="AY29" i="7"/>
  <c r="AP53" i="7" s="1"/>
  <c r="AQ53" i="7" s="1"/>
  <c r="AR53" i="7" s="1"/>
  <c r="AC210" i="9"/>
  <c r="AD210" i="9"/>
  <c r="S23" i="9"/>
  <c r="O24" i="9"/>
  <c r="Y149" i="9"/>
  <c r="Z149" i="9" s="1"/>
  <c r="AA149" i="9" s="1"/>
  <c r="AB149" i="9" s="1"/>
  <c r="Z25" i="9"/>
  <c r="AA25" i="9" s="1"/>
  <c r="AB25" i="9" s="1"/>
  <c r="CB146" i="9"/>
  <c r="CC146" i="9" s="1"/>
  <c r="CD146" i="9" s="1"/>
  <c r="CE146" i="9" s="1"/>
  <c r="AI146" i="9"/>
  <c r="BW18" i="6"/>
  <c r="H57" i="20"/>
  <c r="U284" i="6"/>
  <c r="V290" i="6"/>
  <c r="BB17" i="6" s="1"/>
  <c r="AT98" i="7"/>
  <c r="F57" i="20"/>
  <c r="BV18" i="6"/>
  <c r="M284" i="6"/>
  <c r="N290" i="6"/>
  <c r="AZ17" i="6" s="1"/>
  <c r="AK285" i="6"/>
  <c r="AS98" i="7" s="1"/>
  <c r="J284" i="6"/>
  <c r="K290" i="6"/>
  <c r="AY17" i="6" s="1"/>
  <c r="AL285" i="6"/>
  <c r="AR98" i="7" s="1"/>
  <c r="E57" i="20"/>
  <c r="BU18" i="6"/>
  <c r="AN258" i="6"/>
  <c r="AO258" i="6"/>
  <c r="E287" i="6"/>
  <c r="AW14" i="6" s="1"/>
  <c r="C54" i="20"/>
  <c r="BS15" i="6"/>
  <c r="DD28" i="9" l="1"/>
  <c r="DE28" i="9" s="1"/>
  <c r="DF28" i="9" s="1"/>
  <c r="DH28" i="9" s="1"/>
  <c r="H98" i="8"/>
  <c r="J98" i="8" s="1"/>
  <c r="CZ8" i="9" s="1"/>
  <c r="DC29" i="9" s="1"/>
  <c r="AP315" i="7" s="1"/>
  <c r="AQ315" i="7" s="1"/>
  <c r="J18" i="8"/>
  <c r="N19" i="8"/>
  <c r="P19" i="8" s="1"/>
  <c r="Q19" i="8" s="1"/>
  <c r="U19" i="8"/>
  <c r="CB85" i="9"/>
  <c r="CC85" i="9" s="1"/>
  <c r="CD85" i="9" s="1"/>
  <c r="CE85" i="9" s="1"/>
  <c r="CF85" i="9" s="1"/>
  <c r="S256" i="13"/>
  <c r="M65" i="13" s="1"/>
  <c r="AX206" i="9"/>
  <c r="AX83" i="9"/>
  <c r="BV87" i="18"/>
  <c r="AX144" i="9"/>
  <c r="D28" i="17"/>
  <c r="G28" i="17" s="1"/>
  <c r="U23" i="9"/>
  <c r="CB209" i="9" s="1"/>
  <c r="CC209" i="9" s="1"/>
  <c r="CD209" i="9" s="1"/>
  <c r="CE209" i="9" s="1"/>
  <c r="O25" i="9"/>
  <c r="P25" i="9" s="1"/>
  <c r="AM22" i="9"/>
  <c r="AN22" i="9"/>
  <c r="DY88" i="9"/>
  <c r="DS88" i="9"/>
  <c r="DZ88" i="9" s="1"/>
  <c r="EE88" i="9" s="1"/>
  <c r="DR88" i="9"/>
  <c r="Y212" i="9"/>
  <c r="Z212" i="9" s="1"/>
  <c r="AA212" i="9" s="1"/>
  <c r="AB212" i="9" s="1"/>
  <c r="Z88" i="9"/>
  <c r="AA88" i="9" s="1"/>
  <c r="AB88" i="9" s="1"/>
  <c r="ED88" i="9"/>
  <c r="AJ145" i="9"/>
  <c r="AK145" i="9" s="1"/>
  <c r="AL145" i="9" s="1"/>
  <c r="AS145" i="9"/>
  <c r="AT145" i="9" s="1"/>
  <c r="AU145" i="9" s="1"/>
  <c r="AV145" i="9" s="1"/>
  <c r="CB208" i="9"/>
  <c r="CC208" i="9" s="1"/>
  <c r="CD208" i="9" s="1"/>
  <c r="CE208" i="9" s="1"/>
  <c r="CF208" i="9" s="1"/>
  <c r="AI208" i="9"/>
  <c r="N39" i="10"/>
  <c r="AR28" i="18" s="1"/>
  <c r="O39" i="10"/>
  <c r="AT28" i="18" s="1"/>
  <c r="BH90" i="18" s="1"/>
  <c r="AS84" i="9"/>
  <c r="AT84" i="9" s="1"/>
  <c r="AU84" i="9" s="1"/>
  <c r="AV84" i="9" s="1"/>
  <c r="AJ84" i="9"/>
  <c r="AK84" i="9" s="1"/>
  <c r="AL84" i="9" s="1"/>
  <c r="BM87" i="18"/>
  <c r="BL87" i="18"/>
  <c r="BN18" i="6"/>
  <c r="D57" i="20"/>
  <c r="BT18" i="6"/>
  <c r="AJ207" i="9"/>
  <c r="AK207" i="9" s="1"/>
  <c r="AL207" i="9" s="1"/>
  <c r="AS207" i="9"/>
  <c r="AT207" i="9" s="1"/>
  <c r="AU207" i="9" s="1"/>
  <c r="AV207" i="9" s="1"/>
  <c r="AC211" i="9"/>
  <c r="AD211" i="9"/>
  <c r="M256" i="13"/>
  <c r="L65" i="13" s="1"/>
  <c r="L108" i="13"/>
  <c r="W138" i="13" s="1"/>
  <c r="W25" i="13" s="1"/>
  <c r="G29" i="17"/>
  <c r="E29" i="17"/>
  <c r="L41" i="10"/>
  <c r="P39" i="10" s="1"/>
  <c r="B30" i="12"/>
  <c r="E30" i="12" s="1"/>
  <c r="AT30" i="7"/>
  <c r="L28" i="9"/>
  <c r="C169" i="13"/>
  <c r="I168" i="13" s="1"/>
  <c r="L168" i="13" s="1"/>
  <c r="J41" i="10"/>
  <c r="H22" i="18"/>
  <c r="AH30" i="18" s="1"/>
  <c r="G22" i="18"/>
  <c r="F22" i="18"/>
  <c r="F218" i="13"/>
  <c r="F258" i="13" s="1"/>
  <c r="E218" i="13"/>
  <c r="O218" i="13" s="1"/>
  <c r="R218" i="13" s="1"/>
  <c r="D218" i="13"/>
  <c r="G218" i="13" s="1"/>
  <c r="G258" i="13" s="1"/>
  <c r="E42" i="10"/>
  <c r="G42" i="10" s="1"/>
  <c r="AS187" i="7"/>
  <c r="F42" i="10"/>
  <c r="AC25" i="9"/>
  <c r="AD25" i="9"/>
  <c r="AI27" i="18" s="1"/>
  <c r="CG22" i="9"/>
  <c r="CF22" i="9"/>
  <c r="Z26" i="9"/>
  <c r="AA26" i="9" s="1"/>
  <c r="AB26" i="9" s="1"/>
  <c r="Y150" i="9"/>
  <c r="Z150" i="9" s="1"/>
  <c r="AA150" i="9" s="1"/>
  <c r="AB150" i="9" s="1"/>
  <c r="CG145" i="9"/>
  <c r="CF145" i="9"/>
  <c r="U162" i="13"/>
  <c r="B219" i="13"/>
  <c r="D168" i="13"/>
  <c r="V162" i="13" s="1"/>
  <c r="F168" i="13"/>
  <c r="O166" i="13"/>
  <c r="R166" i="13" s="1"/>
  <c r="DY27" i="9"/>
  <c r="ED27" i="9"/>
  <c r="Y27" i="9"/>
  <c r="DR27" i="9"/>
  <c r="J27" i="9"/>
  <c r="O26" i="9" s="1"/>
  <c r="DS27" i="9"/>
  <c r="DZ27" i="9" s="1"/>
  <c r="EE27" i="9" s="1"/>
  <c r="G284" i="6"/>
  <c r="H290" i="6"/>
  <c r="AX17" i="6" s="1"/>
  <c r="AM273" i="6"/>
  <c r="AQ98" i="7" s="1"/>
  <c r="F108" i="13"/>
  <c r="F138" i="13" s="1"/>
  <c r="E25" i="13" s="1"/>
  <c r="L256" i="13"/>
  <c r="E65" i="13" s="1"/>
  <c r="Q37" i="10"/>
  <c r="R37" i="10"/>
  <c r="J217" i="13"/>
  <c r="M217" i="13" s="1"/>
  <c r="V217" i="13"/>
  <c r="U217" i="13"/>
  <c r="O217" i="13"/>
  <c r="R217" i="13" s="1"/>
  <c r="I217" i="13"/>
  <c r="L217" i="13" s="1"/>
  <c r="P217" i="13"/>
  <c r="S217" i="13" s="1"/>
  <c r="J26" i="5"/>
  <c r="F26" i="5"/>
  <c r="F93" i="5" s="1"/>
  <c r="E93" i="5"/>
  <c r="L26" i="5"/>
  <c r="AY30" i="7"/>
  <c r="AP54" i="7" s="1"/>
  <c r="AQ54" i="7" s="1"/>
  <c r="AR54" i="7" s="1"/>
  <c r="AL30" i="18"/>
  <c r="C24" i="5"/>
  <c r="C21" i="18"/>
  <c r="AN206" i="9"/>
  <c r="AM206" i="9"/>
  <c r="P38" i="10"/>
  <c r="AC149" i="9"/>
  <c r="AD149" i="9"/>
  <c r="Q24" i="9"/>
  <c r="P24" i="9"/>
  <c r="AX22" i="9"/>
  <c r="AW22" i="9"/>
  <c r="BR88" i="18"/>
  <c r="BS88" i="18" s="1"/>
  <c r="BT88" i="18" s="1"/>
  <c r="BU88" i="18" s="1"/>
  <c r="BI88" i="18"/>
  <c r="BJ88" i="18" s="1"/>
  <c r="BK88" i="18" s="1"/>
  <c r="AS53" i="7"/>
  <c r="DG28" i="9"/>
  <c r="R283" i="6"/>
  <c r="S289" i="6"/>
  <c r="BA16" i="6" s="1"/>
  <c r="G55" i="20" s="1"/>
  <c r="AM144" i="9"/>
  <c r="AN144" i="9"/>
  <c r="N38" i="10"/>
  <c r="AR27" i="18" s="1"/>
  <c r="O38" i="10"/>
  <c r="AT27" i="18" s="1"/>
  <c r="BH89" i="18" s="1"/>
  <c r="AB22" i="16"/>
  <c r="Z22" i="16"/>
  <c r="E21" i="16"/>
  <c r="Y21" i="16" s="1"/>
  <c r="B16" i="8"/>
  <c r="BB105" i="7"/>
  <c r="BO19" i="6"/>
  <c r="S42" i="4"/>
  <c r="D69" i="8" s="1"/>
  <c r="B18" i="4"/>
  <c r="P165" i="13"/>
  <c r="S165" i="13" s="1"/>
  <c r="G167" i="13"/>
  <c r="AJ146" i="9"/>
  <c r="AK146" i="9" s="1"/>
  <c r="AL146" i="9" s="1"/>
  <c r="AN146" i="9" s="1"/>
  <c r="AS146" i="9"/>
  <c r="AT146" i="9" s="1"/>
  <c r="AU146" i="9" s="1"/>
  <c r="AV146" i="9" s="1"/>
  <c r="BB90" i="18"/>
  <c r="BC90" i="18"/>
  <c r="T24" i="9"/>
  <c r="T23" i="9"/>
  <c r="AS29" i="18"/>
  <c r="AX91" i="18" s="1"/>
  <c r="AY91" i="18" s="1"/>
  <c r="AZ91" i="18" s="1"/>
  <c r="BA91" i="18" s="1"/>
  <c r="M27" i="9"/>
  <c r="Y89" i="9" s="1"/>
  <c r="CG84" i="9"/>
  <c r="CF84" i="9"/>
  <c r="BB28" i="18"/>
  <c r="BC28" i="18"/>
  <c r="AM83" i="9"/>
  <c r="AN83" i="9"/>
  <c r="CF207" i="9"/>
  <c r="CG207" i="9"/>
  <c r="AC87" i="9"/>
  <c r="AD87" i="9"/>
  <c r="AS85" i="9"/>
  <c r="AT85" i="9" s="1"/>
  <c r="AU85" i="9" s="1"/>
  <c r="AV85" i="9" s="1"/>
  <c r="BC85" i="9"/>
  <c r="BD85" i="9" s="1"/>
  <c r="BE85" i="9" s="1"/>
  <c r="BF85" i="9" s="1"/>
  <c r="AJ85" i="9"/>
  <c r="AK85" i="9" s="1"/>
  <c r="AL85" i="9" s="1"/>
  <c r="AM85" i="9" s="1"/>
  <c r="T119" i="5"/>
  <c r="X23" i="5"/>
  <c r="BQ20" i="6"/>
  <c r="D19" i="4" s="1"/>
  <c r="A17" i="8"/>
  <c r="F17" i="8" s="1"/>
  <c r="C43" i="10"/>
  <c r="BP20" i="6"/>
  <c r="M27" i="5"/>
  <c r="I94" i="5"/>
  <c r="L94" i="5" s="1"/>
  <c r="M94" i="5" s="1"/>
  <c r="X38" i="20"/>
  <c r="X41" i="20" s="1"/>
  <c r="C92" i="5"/>
  <c r="E25" i="5"/>
  <c r="I167" i="13"/>
  <c r="L167" i="13" s="1"/>
  <c r="J166" i="13"/>
  <c r="M166" i="13" s="1"/>
  <c r="AQ29" i="18"/>
  <c r="AX29" i="18" s="1"/>
  <c r="AY29" i="18" s="1"/>
  <c r="AZ29" i="18" s="1"/>
  <c r="BA29" i="18" s="1"/>
  <c r="M283" i="6"/>
  <c r="N289" i="6"/>
  <c r="AZ16" i="6" s="1"/>
  <c r="AK284" i="6"/>
  <c r="AS97" i="7" s="1"/>
  <c r="BW17" i="6"/>
  <c r="H56" i="20"/>
  <c r="J283" i="6"/>
  <c r="K289" i="6"/>
  <c r="AY16" i="6" s="1"/>
  <c r="U283" i="6"/>
  <c r="V289" i="6"/>
  <c r="BB16" i="6" s="1"/>
  <c r="AT97" i="7"/>
  <c r="BV17" i="6"/>
  <c r="F56" i="20"/>
  <c r="BU17" i="6"/>
  <c r="E56" i="20"/>
  <c r="AL284" i="6"/>
  <c r="AR97" i="7" s="1"/>
  <c r="CG23" i="9"/>
  <c r="CF23" i="9"/>
  <c r="AM23" i="9"/>
  <c r="AN23" i="9"/>
  <c r="CG146" i="9"/>
  <c r="CF146" i="9"/>
  <c r="AX23" i="9"/>
  <c r="AW23" i="9"/>
  <c r="BG23" i="9"/>
  <c r="BH23" i="9"/>
  <c r="AN257" i="6"/>
  <c r="AO257" i="6"/>
  <c r="E281" i="6"/>
  <c r="AW8" i="6" s="1"/>
  <c r="E282" i="6"/>
  <c r="AW9" i="6" s="1"/>
  <c r="E286" i="6"/>
  <c r="AW13" i="6" s="1"/>
  <c r="E284" i="6"/>
  <c r="AW11" i="6" s="1"/>
  <c r="E283" i="6"/>
  <c r="AW10" i="6" s="1"/>
  <c r="E285" i="6"/>
  <c r="AW12" i="6" s="1"/>
  <c r="C53" i="20"/>
  <c r="BS14" i="6"/>
  <c r="DD29" i="9" l="1"/>
  <c r="DE29" i="9" s="1"/>
  <c r="DF29" i="9" s="1"/>
  <c r="DG29" i="9" s="1"/>
  <c r="H97" i="8"/>
  <c r="J97" i="8" s="1"/>
  <c r="CZ9" i="9" s="1"/>
  <c r="DC30" i="9" s="1"/>
  <c r="DD30" i="9" s="1"/>
  <c r="DE30" i="9" s="1"/>
  <c r="DF30" i="9" s="1"/>
  <c r="J17" i="8"/>
  <c r="W19" i="8"/>
  <c r="V19" i="8"/>
  <c r="N18" i="8"/>
  <c r="P18" i="8" s="1"/>
  <c r="Q18" i="8" s="1"/>
  <c r="U18" i="8"/>
  <c r="CG85" i="9"/>
  <c r="H29" i="17"/>
  <c r="P166" i="13"/>
  <c r="S166" i="13" s="1"/>
  <c r="U218" i="13"/>
  <c r="E28" i="17"/>
  <c r="H28" i="17" s="1"/>
  <c r="AM146" i="9"/>
  <c r="CG208" i="9"/>
  <c r="AI209" i="9"/>
  <c r="BC209" i="9" s="1"/>
  <c r="BD209" i="9" s="1"/>
  <c r="BE209" i="9" s="1"/>
  <c r="BF209" i="9" s="1"/>
  <c r="BH209" i="9" s="1"/>
  <c r="M40" i="10"/>
  <c r="N40" i="10" s="1"/>
  <c r="AR29" i="18" s="1"/>
  <c r="U163" i="13"/>
  <c r="J218" i="13"/>
  <c r="M218" i="13" s="1"/>
  <c r="M258" i="13" s="1"/>
  <c r="L67" i="13" s="1"/>
  <c r="P218" i="13"/>
  <c r="S218" i="13" s="1"/>
  <c r="M106" i="13" s="1"/>
  <c r="X136" i="13" s="1"/>
  <c r="X23" i="13" s="1"/>
  <c r="V218" i="13"/>
  <c r="AN85" i="9"/>
  <c r="I218" i="13"/>
  <c r="L218" i="13" s="1"/>
  <c r="L258" i="13" s="1"/>
  <c r="E67" i="13" s="1"/>
  <c r="Q25" i="9"/>
  <c r="CB87" i="9" s="1"/>
  <c r="CC87" i="9" s="1"/>
  <c r="CD87" i="9" s="1"/>
  <c r="CE87" i="9" s="1"/>
  <c r="P26" i="9"/>
  <c r="Q26" i="9"/>
  <c r="F43" i="10"/>
  <c r="E43" i="10"/>
  <c r="G43" i="10" s="1"/>
  <c r="AS188" i="7"/>
  <c r="R123" i="5"/>
  <c r="U119" i="5"/>
  <c r="BW88" i="18"/>
  <c r="BV88" i="18"/>
  <c r="AI86" i="9"/>
  <c r="CB86" i="9"/>
  <c r="CC86" i="9" s="1"/>
  <c r="CD86" i="9" s="1"/>
  <c r="CE86" i="9" s="1"/>
  <c r="S257" i="13"/>
  <c r="M66" i="13" s="1"/>
  <c r="M107" i="13"/>
  <c r="X137" i="13" s="1"/>
  <c r="X24" i="13" s="1"/>
  <c r="BN17" i="6"/>
  <c r="BT17" i="6"/>
  <c r="D56" i="20"/>
  <c r="J167" i="13"/>
  <c r="M167" i="13" s="1"/>
  <c r="G168" i="13"/>
  <c r="L29" i="9"/>
  <c r="AT31" i="7"/>
  <c r="C170" i="13"/>
  <c r="I169" i="13" s="1"/>
  <c r="L169" i="13" s="1"/>
  <c r="J42" i="10"/>
  <c r="B31" i="12"/>
  <c r="E31" i="12" s="1"/>
  <c r="L42" i="10"/>
  <c r="P40" i="10" s="1"/>
  <c r="R258" i="13"/>
  <c r="F67" i="13" s="1"/>
  <c r="G106" i="13"/>
  <c r="G136" i="13" s="1"/>
  <c r="F23" i="13" s="1"/>
  <c r="AQ30" i="18"/>
  <c r="AX30" i="18" s="1"/>
  <c r="AY30" i="18" s="1"/>
  <c r="AZ30" i="18" s="1"/>
  <c r="BA30" i="18" s="1"/>
  <c r="AS54" i="7"/>
  <c r="BR90" i="18"/>
  <c r="BI90" i="18"/>
  <c r="BJ90" i="18" s="1"/>
  <c r="BK90" i="18" s="1"/>
  <c r="AW145" i="9"/>
  <c r="AX145" i="9"/>
  <c r="AC212" i="9"/>
  <c r="AD212" i="9"/>
  <c r="AI147" i="9"/>
  <c r="CB147" i="9"/>
  <c r="CC147" i="9" s="1"/>
  <c r="CD147" i="9" s="1"/>
  <c r="CE147" i="9" s="1"/>
  <c r="BI89" i="18"/>
  <c r="BJ89" i="18" s="1"/>
  <c r="BK89" i="18" s="1"/>
  <c r="BR89" i="18"/>
  <c r="D27" i="17"/>
  <c r="L257" i="13"/>
  <c r="E66" i="13" s="1"/>
  <c r="F107" i="13"/>
  <c r="F137" i="13" s="1"/>
  <c r="E24" i="13" s="1"/>
  <c r="R257" i="13"/>
  <c r="F66" i="13" s="1"/>
  <c r="G107" i="13"/>
  <c r="G137" i="13" s="1"/>
  <c r="F24" i="13" s="1"/>
  <c r="L107" i="13"/>
  <c r="W137" i="13" s="1"/>
  <c r="W24" i="13" s="1"/>
  <c r="M257" i="13"/>
  <c r="L66" i="13" s="1"/>
  <c r="G283" i="6"/>
  <c r="H289" i="6"/>
  <c r="AX16" i="6" s="1"/>
  <c r="AM272" i="6"/>
  <c r="AQ97" i="7" s="1"/>
  <c r="Z27" i="9"/>
  <c r="AA27" i="9" s="1"/>
  <c r="AB27" i="9" s="1"/>
  <c r="Y151" i="9"/>
  <c r="Z151" i="9" s="1"/>
  <c r="AA151" i="9" s="1"/>
  <c r="AB151" i="9" s="1"/>
  <c r="F219" i="13"/>
  <c r="F259" i="13" s="1"/>
  <c r="D219" i="13"/>
  <c r="G219" i="13" s="1"/>
  <c r="G259" i="13" s="1"/>
  <c r="E219" i="13"/>
  <c r="AC150" i="9"/>
  <c r="AD150" i="9"/>
  <c r="AS30" i="18"/>
  <c r="AX92" i="18" s="1"/>
  <c r="AY92" i="18" s="1"/>
  <c r="AZ92" i="18" s="1"/>
  <c r="BA92" i="18" s="1"/>
  <c r="M28" i="9"/>
  <c r="Y90" i="9" s="1"/>
  <c r="AN145" i="9"/>
  <c r="AM145" i="9"/>
  <c r="J25" i="5"/>
  <c r="F25" i="5"/>
  <c r="F92" i="5" s="1"/>
  <c r="E92" i="5"/>
  <c r="L25" i="5"/>
  <c r="DY89" i="9"/>
  <c r="Z89" i="9"/>
  <c r="AA89" i="9" s="1"/>
  <c r="AB89" i="9" s="1"/>
  <c r="ED89" i="9"/>
  <c r="DS89" i="9"/>
  <c r="DZ89" i="9" s="1"/>
  <c r="EE89" i="9" s="1"/>
  <c r="DR89" i="9"/>
  <c r="Y213" i="9"/>
  <c r="Z213" i="9" s="1"/>
  <c r="AA213" i="9" s="1"/>
  <c r="AB213" i="9" s="1"/>
  <c r="U24" i="9"/>
  <c r="CG209" i="9"/>
  <c r="CF209" i="9"/>
  <c r="Z21" i="16"/>
  <c r="AB21" i="16"/>
  <c r="R282" i="6"/>
  <c r="S288" i="6"/>
  <c r="BA15" i="6" s="1"/>
  <c r="G54" i="20" s="1"/>
  <c r="G21" i="18"/>
  <c r="F21" i="18"/>
  <c r="H21" i="18"/>
  <c r="AH31" i="18" s="1"/>
  <c r="I93" i="5"/>
  <c r="L93" i="5" s="1"/>
  <c r="M93" i="5" s="1"/>
  <c r="M26" i="5"/>
  <c r="AC26" i="9"/>
  <c r="AD26" i="9"/>
  <c r="AI28" i="18" s="1"/>
  <c r="AL31" i="18"/>
  <c r="AY31" i="7"/>
  <c r="AP55" i="7" s="1"/>
  <c r="AQ55" i="7" s="1"/>
  <c r="AR55" i="7" s="1"/>
  <c r="O167" i="13"/>
  <c r="R167" i="13" s="1"/>
  <c r="F169" i="13"/>
  <c r="B220" i="13"/>
  <c r="D169" i="13"/>
  <c r="AW207" i="9"/>
  <c r="AX207" i="9"/>
  <c r="AM84" i="9"/>
  <c r="AN84" i="9"/>
  <c r="AJ208" i="9"/>
  <c r="AK208" i="9" s="1"/>
  <c r="AL208" i="9" s="1"/>
  <c r="AS208" i="9"/>
  <c r="AT208" i="9" s="1"/>
  <c r="AU208" i="9" s="1"/>
  <c r="AV208" i="9" s="1"/>
  <c r="AX208" i="9" s="1"/>
  <c r="BB29" i="18"/>
  <c r="BC29" i="18"/>
  <c r="C20" i="18"/>
  <c r="C23" i="5"/>
  <c r="BC91" i="18"/>
  <c r="BB91" i="18"/>
  <c r="AI148" i="9"/>
  <c r="CB148" i="9"/>
  <c r="CC148" i="9" s="1"/>
  <c r="CD148" i="9" s="1"/>
  <c r="CE148" i="9" s="1"/>
  <c r="BP19" i="6"/>
  <c r="BQ19" i="6"/>
  <c r="D18" i="4" s="1"/>
  <c r="O42" i="4"/>
  <c r="A16" i="8"/>
  <c r="F16" i="8" s="1"/>
  <c r="BM88" i="18"/>
  <c r="BL88" i="18"/>
  <c r="AI24" i="9"/>
  <c r="AJ24" i="9" s="1"/>
  <c r="AK24" i="9" s="1"/>
  <c r="AL24" i="9" s="1"/>
  <c r="AS24" i="9"/>
  <c r="AT24" i="9" s="1"/>
  <c r="AU24" i="9" s="1"/>
  <c r="AV24" i="9" s="1"/>
  <c r="CB24" i="9"/>
  <c r="CC24" i="9" s="1"/>
  <c r="CD24" i="9" s="1"/>
  <c r="CE24" i="9" s="1"/>
  <c r="BC24" i="9"/>
  <c r="BD24" i="9" s="1"/>
  <c r="BE24" i="9" s="1"/>
  <c r="BF24" i="9" s="1"/>
  <c r="Q38" i="10"/>
  <c r="R38" i="10"/>
  <c r="C91" i="5"/>
  <c r="Y38" i="20"/>
  <c r="Y41" i="20" s="1"/>
  <c r="E24" i="5"/>
  <c r="S25" i="9"/>
  <c r="DY28" i="9"/>
  <c r="Y28" i="9"/>
  <c r="J28" i="9"/>
  <c r="ED28" i="9"/>
  <c r="DR28" i="9"/>
  <c r="DS28" i="9"/>
  <c r="DZ28" i="9" s="1"/>
  <c r="EE28" i="9" s="1"/>
  <c r="Q39" i="10"/>
  <c r="R39" i="10"/>
  <c r="AN207" i="9"/>
  <c r="AM207" i="9"/>
  <c r="B17" i="4"/>
  <c r="E20" i="16"/>
  <c r="Y20" i="16" s="1"/>
  <c r="BO18" i="6"/>
  <c r="BB104" i="7"/>
  <c r="B15" i="8"/>
  <c r="S41" i="4"/>
  <c r="D68" i="8" s="1"/>
  <c r="AX84" i="9"/>
  <c r="AW84" i="9"/>
  <c r="AD88" i="9"/>
  <c r="AC88" i="9"/>
  <c r="AI25" i="9"/>
  <c r="AJ25" i="9" s="1"/>
  <c r="AK25" i="9" s="1"/>
  <c r="AL25" i="9" s="1"/>
  <c r="BC25" i="9"/>
  <c r="BD25" i="9" s="1"/>
  <c r="BE25" i="9" s="1"/>
  <c r="BF25" i="9" s="1"/>
  <c r="CB25" i="9"/>
  <c r="CC25" i="9" s="1"/>
  <c r="CD25" i="9" s="1"/>
  <c r="CE25" i="9" s="1"/>
  <c r="AS25" i="9"/>
  <c r="AT25" i="9" s="1"/>
  <c r="AU25" i="9" s="1"/>
  <c r="AV25" i="9" s="1"/>
  <c r="U282" i="6"/>
  <c r="V288" i="6"/>
  <c r="BB15" i="6" s="1"/>
  <c r="AT96" i="7"/>
  <c r="J282" i="6"/>
  <c r="K288" i="6"/>
  <c r="AY15" i="6" s="1"/>
  <c r="F55" i="20"/>
  <c r="BV16" i="6"/>
  <c r="BW16" i="6"/>
  <c r="H55" i="20"/>
  <c r="M282" i="6"/>
  <c r="N288" i="6"/>
  <c r="AZ15" i="6" s="1"/>
  <c r="AK283" i="6"/>
  <c r="AS96" i="7" s="1"/>
  <c r="BU16" i="6"/>
  <c r="E55" i="20"/>
  <c r="AL283" i="6"/>
  <c r="AR96" i="7" s="1"/>
  <c r="AW146" i="9"/>
  <c r="AX146" i="9"/>
  <c r="AW85" i="9"/>
  <c r="AX85" i="9"/>
  <c r="C49" i="20"/>
  <c r="BS10" i="6"/>
  <c r="BS8" i="6"/>
  <c r="C47" i="20"/>
  <c r="BS11" i="6"/>
  <c r="C50" i="20"/>
  <c r="BG85" i="9"/>
  <c r="BH85" i="9"/>
  <c r="BS13" i="6"/>
  <c r="C52" i="20"/>
  <c r="BS12" i="6"/>
  <c r="C51" i="20"/>
  <c r="C48" i="20"/>
  <c r="BS9" i="6"/>
  <c r="DH29" i="9" l="1"/>
  <c r="AP316" i="7"/>
  <c r="AQ316" i="7" s="1"/>
  <c r="W18" i="8"/>
  <c r="V18" i="8"/>
  <c r="H96" i="8"/>
  <c r="J96" i="8" s="1"/>
  <c r="CZ10" i="9" s="1"/>
  <c r="DC31" i="9" s="1"/>
  <c r="AP317" i="7" s="1"/>
  <c r="AQ317" i="7" s="1"/>
  <c r="J16" i="8"/>
  <c r="N17" i="8"/>
  <c r="P17" i="8" s="1"/>
  <c r="Q17" i="8" s="1"/>
  <c r="U17" i="8"/>
  <c r="AJ209" i="9"/>
  <c r="AK209" i="9" s="1"/>
  <c r="AL209" i="9" s="1"/>
  <c r="AN209" i="9" s="1"/>
  <c r="F106" i="13"/>
  <c r="F136" i="13" s="1"/>
  <c r="E23" i="13" s="1"/>
  <c r="O168" i="13"/>
  <c r="R168" i="13" s="1"/>
  <c r="AS209" i="9"/>
  <c r="AT209" i="9" s="1"/>
  <c r="AU209" i="9" s="1"/>
  <c r="AV209" i="9" s="1"/>
  <c r="AW209" i="9" s="1"/>
  <c r="S258" i="13"/>
  <c r="M67" i="13" s="1"/>
  <c r="O40" i="10"/>
  <c r="AT29" i="18" s="1"/>
  <c r="BH91" i="18" s="1"/>
  <c r="BR91" i="18" s="1"/>
  <c r="BG209" i="9"/>
  <c r="L106" i="13"/>
  <c r="W136" i="13" s="1"/>
  <c r="W23" i="13" s="1"/>
  <c r="AW208" i="9"/>
  <c r="AI87" i="9"/>
  <c r="AJ87" i="9" s="1"/>
  <c r="AK87" i="9" s="1"/>
  <c r="AL87" i="9" s="1"/>
  <c r="M41" i="10"/>
  <c r="O41" i="10" s="1"/>
  <c r="AT30" i="18" s="1"/>
  <c r="BH92" i="18" s="1"/>
  <c r="D26" i="17"/>
  <c r="E26" i="17" s="1"/>
  <c r="AW25" i="9"/>
  <c r="AX25" i="9"/>
  <c r="AB20" i="16"/>
  <c r="Z20" i="16"/>
  <c r="CF24" i="9"/>
  <c r="CG24" i="9"/>
  <c r="CF148" i="9"/>
  <c r="CG148" i="9"/>
  <c r="C90" i="5"/>
  <c r="E23" i="5"/>
  <c r="Z38" i="20"/>
  <c r="Z41" i="20" s="1"/>
  <c r="V163" i="13"/>
  <c r="G169" i="13"/>
  <c r="AQ31" i="18"/>
  <c r="AX31" i="18" s="1"/>
  <c r="AY31" i="18" s="1"/>
  <c r="AZ31" i="18" s="1"/>
  <c r="BA31" i="18" s="1"/>
  <c r="R281" i="6"/>
  <c r="S287" i="6"/>
  <c r="BA14" i="6" s="1"/>
  <c r="G53" i="20" s="1"/>
  <c r="AD213" i="9"/>
  <c r="AC213" i="9"/>
  <c r="AC89" i="9"/>
  <c r="AD89" i="9"/>
  <c r="DY90" i="9"/>
  <c r="ED90" i="9"/>
  <c r="Y214" i="9"/>
  <c r="Z214" i="9" s="1"/>
  <c r="AA214" i="9" s="1"/>
  <c r="AB214" i="9" s="1"/>
  <c r="DR90" i="9"/>
  <c r="DS90" i="9"/>
  <c r="DZ90" i="9" s="1"/>
  <c r="EE90" i="9" s="1"/>
  <c r="Z90" i="9"/>
  <c r="AA90" i="9" s="1"/>
  <c r="AB90" i="9" s="1"/>
  <c r="V219" i="13"/>
  <c r="O219" i="13"/>
  <c r="R219" i="13" s="1"/>
  <c r="P219" i="13"/>
  <c r="S219" i="13" s="1"/>
  <c r="J219" i="13"/>
  <c r="M219" i="13" s="1"/>
  <c r="I219" i="13"/>
  <c r="L219" i="13" s="1"/>
  <c r="U219" i="13"/>
  <c r="AD27" i="9"/>
  <c r="AI29" i="18" s="1"/>
  <c r="AC27" i="9"/>
  <c r="G27" i="17"/>
  <c r="E27" i="17"/>
  <c r="AJ147" i="9"/>
  <c r="AK147" i="9" s="1"/>
  <c r="AL147" i="9" s="1"/>
  <c r="BC147" i="9"/>
  <c r="BD147" i="9" s="1"/>
  <c r="BE147" i="9" s="1"/>
  <c r="BF147" i="9" s="1"/>
  <c r="AS147" i="9"/>
  <c r="AT147" i="9" s="1"/>
  <c r="AU147" i="9" s="1"/>
  <c r="AV147" i="9" s="1"/>
  <c r="BL90" i="18"/>
  <c r="BM90" i="18"/>
  <c r="BB30" i="18"/>
  <c r="BC30" i="18"/>
  <c r="Q40" i="10"/>
  <c r="R40" i="10"/>
  <c r="AS55" i="7"/>
  <c r="B14" i="8"/>
  <c r="S40" i="4"/>
  <c r="D67" i="8" s="1"/>
  <c r="B16" i="4"/>
  <c r="B49" i="8"/>
  <c r="BO17" i="6"/>
  <c r="E19" i="16"/>
  <c r="Y19" i="16" s="1"/>
  <c r="BB103" i="7"/>
  <c r="AY32" i="7"/>
  <c r="AP56" i="7" s="1"/>
  <c r="AQ56" i="7" s="1"/>
  <c r="AR56" i="7" s="1"/>
  <c r="AL32" i="18"/>
  <c r="CG25" i="9"/>
  <c r="CF25" i="9"/>
  <c r="O27" i="9"/>
  <c r="AW24" i="9"/>
  <c r="AX24" i="9"/>
  <c r="DD31" i="9"/>
  <c r="DE31" i="9" s="1"/>
  <c r="DF31" i="9" s="1"/>
  <c r="BC148" i="9"/>
  <c r="BD148" i="9" s="1"/>
  <c r="BE148" i="9" s="1"/>
  <c r="BF148" i="9" s="1"/>
  <c r="AJ148" i="9"/>
  <c r="AK148" i="9" s="1"/>
  <c r="AL148" i="9" s="1"/>
  <c r="AS148" i="9"/>
  <c r="AT148" i="9" s="1"/>
  <c r="AU148" i="9" s="1"/>
  <c r="AV148" i="9" s="1"/>
  <c r="H20" i="18"/>
  <c r="AH32" i="18" s="1"/>
  <c r="F20" i="18"/>
  <c r="G20" i="18"/>
  <c r="CF87" i="9"/>
  <c r="CG87" i="9"/>
  <c r="D220" i="13"/>
  <c r="G220" i="13" s="1"/>
  <c r="G260" i="13" s="1"/>
  <c r="E220" i="13"/>
  <c r="F220" i="13"/>
  <c r="F260" i="13" s="1"/>
  <c r="BB92" i="18"/>
  <c r="BC92" i="18"/>
  <c r="CB89" i="18"/>
  <c r="CC89" i="18" s="1"/>
  <c r="CD89" i="18" s="1"/>
  <c r="CE89" i="18" s="1"/>
  <c r="CF89" i="18" s="1"/>
  <c r="BS89" i="18"/>
  <c r="BT89" i="18" s="1"/>
  <c r="BU89" i="18" s="1"/>
  <c r="CB90" i="18"/>
  <c r="CC90" i="18" s="1"/>
  <c r="CD90" i="18" s="1"/>
  <c r="CE90" i="18" s="1"/>
  <c r="BS90" i="18"/>
  <c r="BT90" i="18" s="1"/>
  <c r="BU90" i="18" s="1"/>
  <c r="J29" i="9"/>
  <c r="S27" i="9" s="1"/>
  <c r="ED29" i="9"/>
  <c r="DS29" i="9"/>
  <c r="DZ29" i="9" s="1"/>
  <c r="EE29" i="9" s="1"/>
  <c r="DY29" i="9"/>
  <c r="Y29" i="9"/>
  <c r="DR29" i="9"/>
  <c r="CF86" i="9"/>
  <c r="CG86" i="9"/>
  <c r="AT32" i="7"/>
  <c r="C171" i="13"/>
  <c r="L43" i="10"/>
  <c r="J43" i="10"/>
  <c r="B32" i="12"/>
  <c r="E32" i="12" s="1"/>
  <c r="L30" i="9"/>
  <c r="BH25" i="9"/>
  <c r="BG25" i="9"/>
  <c r="Z28" i="9"/>
  <c r="AA28" i="9" s="1"/>
  <c r="AB28" i="9" s="1"/>
  <c r="Y152" i="9"/>
  <c r="Z152" i="9" s="1"/>
  <c r="AA152" i="9" s="1"/>
  <c r="AB152" i="9" s="1"/>
  <c r="S26" i="9"/>
  <c r="E91" i="5"/>
  <c r="L24" i="5"/>
  <c r="J24" i="5"/>
  <c r="F24" i="5"/>
  <c r="F91" i="5" s="1"/>
  <c r="AN24" i="9"/>
  <c r="AM24" i="9"/>
  <c r="M25" i="5"/>
  <c r="I92" i="5"/>
  <c r="L92" i="5" s="1"/>
  <c r="M92" i="5" s="1"/>
  <c r="BN16" i="6"/>
  <c r="D55" i="20"/>
  <c r="BT16" i="6"/>
  <c r="BM89" i="18"/>
  <c r="BL89" i="18"/>
  <c r="DH30" i="9"/>
  <c r="DG30" i="9"/>
  <c r="AS31" i="18"/>
  <c r="AX93" i="18" s="1"/>
  <c r="AY93" i="18" s="1"/>
  <c r="AZ93" i="18" s="1"/>
  <c r="BA93" i="18" s="1"/>
  <c r="M29" i="9"/>
  <c r="Y91" i="9" s="1"/>
  <c r="J168" i="13"/>
  <c r="M168" i="13" s="1"/>
  <c r="AS86" i="9"/>
  <c r="AT86" i="9" s="1"/>
  <c r="AU86" i="9" s="1"/>
  <c r="AV86" i="9" s="1"/>
  <c r="AJ86" i="9"/>
  <c r="AK86" i="9" s="1"/>
  <c r="AL86" i="9" s="1"/>
  <c r="BC86" i="9"/>
  <c r="BD86" i="9" s="1"/>
  <c r="BE86" i="9" s="1"/>
  <c r="BF86" i="9" s="1"/>
  <c r="AI88" i="9"/>
  <c r="CB88" i="9"/>
  <c r="CC88" i="9" s="1"/>
  <c r="CD88" i="9" s="1"/>
  <c r="CE88" i="9" s="1"/>
  <c r="AN25" i="9"/>
  <c r="AM25" i="9"/>
  <c r="BQ18" i="6"/>
  <c r="D17" i="4" s="1"/>
  <c r="O41" i="4"/>
  <c r="BP18" i="6"/>
  <c r="A15" i="8"/>
  <c r="F15" i="8" s="1"/>
  <c r="T25" i="9"/>
  <c r="U25" i="9"/>
  <c r="BH24" i="9"/>
  <c r="BG24" i="9"/>
  <c r="AM208" i="9"/>
  <c r="AN208" i="9"/>
  <c r="CB210" i="9"/>
  <c r="CC210" i="9" s="1"/>
  <c r="CD210" i="9" s="1"/>
  <c r="CE210" i="9" s="1"/>
  <c r="AI210" i="9"/>
  <c r="AD151" i="9"/>
  <c r="AC151" i="9"/>
  <c r="G282" i="6"/>
  <c r="H288" i="6"/>
  <c r="AX15" i="6" s="1"/>
  <c r="AM271" i="6"/>
  <c r="AQ96" i="7" s="1"/>
  <c r="AP108" i="7" s="1"/>
  <c r="AQ108" i="7" s="1"/>
  <c r="AR108" i="7" s="1"/>
  <c r="CG147" i="9"/>
  <c r="CF147" i="9"/>
  <c r="U164" i="13"/>
  <c r="B221" i="13"/>
  <c r="D170" i="13"/>
  <c r="F170" i="13"/>
  <c r="P167" i="13"/>
  <c r="S167" i="13" s="1"/>
  <c r="CB26" i="9"/>
  <c r="CC26" i="9" s="1"/>
  <c r="CD26" i="9" s="1"/>
  <c r="CE26" i="9" s="1"/>
  <c r="AS26" i="9"/>
  <c r="AT26" i="9" s="1"/>
  <c r="AU26" i="9" s="1"/>
  <c r="AV26" i="9" s="1"/>
  <c r="AI26" i="9"/>
  <c r="AJ26" i="9" s="1"/>
  <c r="AK26" i="9" s="1"/>
  <c r="AL26" i="9" s="1"/>
  <c r="BC26" i="9"/>
  <c r="BD26" i="9" s="1"/>
  <c r="BE26" i="9" s="1"/>
  <c r="BF26" i="9" s="1"/>
  <c r="J281" i="6"/>
  <c r="K287" i="6"/>
  <c r="AY14" i="6" s="1"/>
  <c r="F54" i="20"/>
  <c r="BV15" i="6"/>
  <c r="M281" i="6"/>
  <c r="N287" i="6"/>
  <c r="AZ14" i="6" s="1"/>
  <c r="AK282" i="6"/>
  <c r="H54" i="20"/>
  <c r="BW15" i="6"/>
  <c r="U281" i="6"/>
  <c r="V287" i="6"/>
  <c r="BB14" i="6" s="1"/>
  <c r="BU15" i="6"/>
  <c r="E54" i="20"/>
  <c r="AL282" i="6"/>
  <c r="V17" i="8" l="1"/>
  <c r="W17" i="8"/>
  <c r="H95" i="8"/>
  <c r="J95" i="8" s="1"/>
  <c r="CZ11" i="9" s="1"/>
  <c r="DC32" i="9" s="1"/>
  <c r="DD32" i="9" s="1"/>
  <c r="DE32" i="9" s="1"/>
  <c r="DF32" i="9" s="1"/>
  <c r="J15" i="8"/>
  <c r="U16" i="8"/>
  <c r="N16" i="8"/>
  <c r="P16" i="8" s="1"/>
  <c r="Q16" i="8" s="1"/>
  <c r="AM209" i="9"/>
  <c r="BI91" i="18"/>
  <c r="BJ91" i="18" s="1"/>
  <c r="BK91" i="18" s="1"/>
  <c r="BM91" i="18" s="1"/>
  <c r="AX209" i="9"/>
  <c r="G26" i="17"/>
  <c r="H26" i="17" s="1"/>
  <c r="N41" i="10"/>
  <c r="AR30" i="18" s="1"/>
  <c r="AS87" i="9"/>
  <c r="AT87" i="9" s="1"/>
  <c r="AU87" i="9" s="1"/>
  <c r="AV87" i="9" s="1"/>
  <c r="AW87" i="9" s="1"/>
  <c r="BC87" i="9"/>
  <c r="BD87" i="9" s="1"/>
  <c r="BE87" i="9" s="1"/>
  <c r="BF87" i="9" s="1"/>
  <c r="BG87" i="9" s="1"/>
  <c r="J220" i="13"/>
  <c r="M220" i="13" s="1"/>
  <c r="L104" i="13" s="1"/>
  <c r="W134" i="13" s="1"/>
  <c r="W21" i="13" s="1"/>
  <c r="CG89" i="18"/>
  <c r="D25" i="17"/>
  <c r="E25" i="17" s="1"/>
  <c r="T27" i="9"/>
  <c r="V164" i="13"/>
  <c r="G170" i="13"/>
  <c r="AI211" i="9"/>
  <c r="CB211" i="9"/>
  <c r="CC211" i="9" s="1"/>
  <c r="CD211" i="9" s="1"/>
  <c r="CE211" i="9" s="1"/>
  <c r="AW86" i="9"/>
  <c r="AX86" i="9"/>
  <c r="B15" i="4"/>
  <c r="BO16" i="6"/>
  <c r="E18" i="16"/>
  <c r="Y18" i="16" s="1"/>
  <c r="B48" i="8"/>
  <c r="S39" i="4"/>
  <c r="D66" i="8" s="1"/>
  <c r="BB102" i="7"/>
  <c r="B13" i="8"/>
  <c r="AS32" i="18"/>
  <c r="AX94" i="18" s="1"/>
  <c r="AY94" i="18" s="1"/>
  <c r="AZ94" i="18" s="1"/>
  <c r="BA94" i="18" s="1"/>
  <c r="M30" i="9"/>
  <c r="Y92" i="9" s="1"/>
  <c r="BW90" i="18"/>
  <c r="BV90" i="18"/>
  <c r="AW148" i="9"/>
  <c r="AX148" i="9"/>
  <c r="Q27" i="9"/>
  <c r="P27" i="9"/>
  <c r="AX147" i="9"/>
  <c r="AW147" i="9"/>
  <c r="G105" i="13"/>
  <c r="G135" i="13" s="1"/>
  <c r="F22" i="13" s="1"/>
  <c r="R259" i="13"/>
  <c r="F68" i="13" s="1"/>
  <c r="BS91" i="18"/>
  <c r="BT91" i="18" s="1"/>
  <c r="BU91" i="18" s="1"/>
  <c r="CB91" i="18"/>
  <c r="CC91" i="18" s="1"/>
  <c r="CD91" i="18" s="1"/>
  <c r="CE91" i="18" s="1"/>
  <c r="D221" i="13"/>
  <c r="G221" i="13" s="1"/>
  <c r="G261" i="13" s="1"/>
  <c r="E221" i="13"/>
  <c r="U221" i="13" s="1"/>
  <c r="F221" i="13"/>
  <c r="F261" i="13" s="1"/>
  <c r="AI149" i="9"/>
  <c r="CB149" i="9"/>
  <c r="CC149" i="9" s="1"/>
  <c r="CD149" i="9" s="1"/>
  <c r="CE149" i="9" s="1"/>
  <c r="BC88" i="9"/>
  <c r="BD88" i="9" s="1"/>
  <c r="BE88" i="9" s="1"/>
  <c r="BF88" i="9" s="1"/>
  <c r="AS88" i="9"/>
  <c r="AT88" i="9" s="1"/>
  <c r="AU88" i="9" s="1"/>
  <c r="AV88" i="9" s="1"/>
  <c r="AJ88" i="9"/>
  <c r="AK88" i="9" s="1"/>
  <c r="AL88" i="9" s="1"/>
  <c r="AM88" i="9" s="1"/>
  <c r="T26" i="9"/>
  <c r="U26" i="9"/>
  <c r="M42" i="10"/>
  <c r="P41" i="10"/>
  <c r="CG90" i="18"/>
  <c r="CF90" i="18"/>
  <c r="O220" i="13"/>
  <c r="R220" i="13" s="1"/>
  <c r="AN148" i="9"/>
  <c r="AM148" i="9"/>
  <c r="BG147" i="9"/>
  <c r="BH147" i="9"/>
  <c r="V220" i="13"/>
  <c r="L105" i="13"/>
  <c r="W135" i="13" s="1"/>
  <c r="W22" i="13" s="1"/>
  <c r="M259" i="13"/>
  <c r="L68" i="13" s="1"/>
  <c r="AC214" i="9"/>
  <c r="AD214" i="9"/>
  <c r="S284" i="6"/>
  <c r="BA11" i="6" s="1"/>
  <c r="G50" i="20" s="1"/>
  <c r="S283" i="6"/>
  <c r="BA10" i="6" s="1"/>
  <c r="G49" i="20" s="1"/>
  <c r="S282" i="6"/>
  <c r="BA9" i="6" s="1"/>
  <c r="G48" i="20" s="1"/>
  <c r="S286" i="6"/>
  <c r="BA13" i="6" s="1"/>
  <c r="G52" i="20" s="1"/>
  <c r="S285" i="6"/>
  <c r="BA12" i="6" s="1"/>
  <c r="G51" i="20" s="1"/>
  <c r="S281" i="6"/>
  <c r="BA8" i="6" s="1"/>
  <c r="G47" i="20" s="1"/>
  <c r="E90" i="5"/>
  <c r="F23" i="5"/>
  <c r="F90" i="5" s="1"/>
  <c r="L23" i="5"/>
  <c r="J23" i="5"/>
  <c r="AS210" i="9"/>
  <c r="AT210" i="9" s="1"/>
  <c r="AU210" i="9" s="1"/>
  <c r="AV210" i="9" s="1"/>
  <c r="BC210" i="9"/>
  <c r="BD210" i="9" s="1"/>
  <c r="BE210" i="9" s="1"/>
  <c r="BF210" i="9" s="1"/>
  <c r="AJ210" i="9"/>
  <c r="AK210" i="9" s="1"/>
  <c r="AL210" i="9" s="1"/>
  <c r="BG86" i="9"/>
  <c r="BH86" i="9"/>
  <c r="DS91" i="9"/>
  <c r="DZ91" i="9" s="1"/>
  <c r="EE91" i="9" s="1"/>
  <c r="DR91" i="9"/>
  <c r="DY91" i="9"/>
  <c r="Y215" i="9"/>
  <c r="Z215" i="9" s="1"/>
  <c r="AA215" i="9" s="1"/>
  <c r="AB215" i="9" s="1"/>
  <c r="Z91" i="9"/>
  <c r="AA91" i="9" s="1"/>
  <c r="AB91" i="9" s="1"/>
  <c r="ED91" i="9"/>
  <c r="AC152" i="9"/>
  <c r="AD152" i="9"/>
  <c r="DS30" i="9"/>
  <c r="DZ30" i="9" s="1"/>
  <c r="EE30" i="9" s="1"/>
  <c r="DR30" i="9"/>
  <c r="Y30" i="9"/>
  <c r="ED30" i="9"/>
  <c r="J30" i="9"/>
  <c r="S28" i="9" s="1"/>
  <c r="DY30" i="9"/>
  <c r="B222" i="13"/>
  <c r="F171" i="13"/>
  <c r="D171" i="13"/>
  <c r="G171" i="13" s="1"/>
  <c r="I170" i="13"/>
  <c r="L170" i="13" s="1"/>
  <c r="O169" i="13"/>
  <c r="R169" i="13" s="1"/>
  <c r="U165" i="13"/>
  <c r="X165" i="13" s="1"/>
  <c r="BW89" i="18"/>
  <c r="BV89" i="18"/>
  <c r="BG148" i="9"/>
  <c r="BH148" i="9"/>
  <c r="O28" i="9"/>
  <c r="Z19" i="16"/>
  <c r="AB19" i="16"/>
  <c r="AM147" i="9"/>
  <c r="AN147" i="9"/>
  <c r="F105" i="13"/>
  <c r="F135" i="13" s="1"/>
  <c r="E22" i="13" s="1"/>
  <c r="L259" i="13"/>
  <c r="E68" i="13" s="1"/>
  <c r="M105" i="13"/>
  <c r="X135" i="13" s="1"/>
  <c r="X22" i="13" s="1"/>
  <c r="S259" i="13"/>
  <c r="M68" i="13" s="1"/>
  <c r="AC90" i="9"/>
  <c r="AD90" i="9"/>
  <c r="J169" i="13"/>
  <c r="M169" i="13" s="1"/>
  <c r="AN87" i="9"/>
  <c r="AM87" i="9"/>
  <c r="BN15" i="6"/>
  <c r="D54" i="20"/>
  <c r="BT15" i="6"/>
  <c r="G281" i="6"/>
  <c r="H287" i="6"/>
  <c r="AX14" i="6" s="1"/>
  <c r="AM258" i="6"/>
  <c r="CF210" i="9"/>
  <c r="CG210" i="9"/>
  <c r="AN86" i="9"/>
  <c r="AM86" i="9"/>
  <c r="BC93" i="18"/>
  <c r="BB93" i="18"/>
  <c r="BR92" i="18"/>
  <c r="BI92" i="18"/>
  <c r="BJ92" i="18" s="1"/>
  <c r="BK92" i="18" s="1"/>
  <c r="I91" i="5"/>
  <c r="L91" i="5" s="1"/>
  <c r="M91" i="5" s="1"/>
  <c r="M24" i="5"/>
  <c r="AC28" i="9"/>
  <c r="AD28" i="9"/>
  <c r="AI30" i="18" s="1"/>
  <c r="AS56" i="7"/>
  <c r="Y153" i="9"/>
  <c r="Z153" i="9" s="1"/>
  <c r="AA153" i="9" s="1"/>
  <c r="AB153" i="9" s="1"/>
  <c r="Z29" i="9"/>
  <c r="AA29" i="9" s="1"/>
  <c r="AB29" i="9" s="1"/>
  <c r="AQ32" i="18"/>
  <c r="AX32" i="18" s="1"/>
  <c r="AY32" i="18" s="1"/>
  <c r="AZ32" i="18" s="1"/>
  <c r="BA32" i="18" s="1"/>
  <c r="DH31" i="9"/>
  <c r="DG31" i="9"/>
  <c r="K49" i="8"/>
  <c r="BQ17" i="6"/>
  <c r="D16" i="4" s="1"/>
  <c r="O40" i="4"/>
  <c r="BP17" i="6"/>
  <c r="A14" i="8"/>
  <c r="F14" i="8" s="1"/>
  <c r="J14" i="8" s="1"/>
  <c r="H27" i="17"/>
  <c r="U220" i="13"/>
  <c r="P220" i="13"/>
  <c r="S220" i="13" s="1"/>
  <c r="I220" i="13"/>
  <c r="L220" i="13" s="1"/>
  <c r="BC31" i="18"/>
  <c r="BB31" i="18"/>
  <c r="P168" i="13"/>
  <c r="S168" i="13" s="1"/>
  <c r="AQ109" i="7"/>
  <c r="AP112" i="7" s="1"/>
  <c r="AP109" i="7"/>
  <c r="AP110" i="7" s="1"/>
  <c r="AP111" i="7" s="1"/>
  <c r="AP113" i="7"/>
  <c r="H53" i="20"/>
  <c r="BW14" i="6"/>
  <c r="V282" i="6"/>
  <c r="BB9" i="6" s="1"/>
  <c r="V285" i="6"/>
  <c r="BB12" i="6" s="1"/>
  <c r="V283" i="6"/>
  <c r="BB10" i="6" s="1"/>
  <c r="V281" i="6"/>
  <c r="BB8" i="6" s="1"/>
  <c r="V286" i="6"/>
  <c r="BB13" i="6" s="1"/>
  <c r="V284" i="6"/>
  <c r="BB11" i="6" s="1"/>
  <c r="F53" i="20"/>
  <c r="BV14" i="6"/>
  <c r="N285" i="6"/>
  <c r="AZ12" i="6" s="1"/>
  <c r="N281" i="6"/>
  <c r="AZ8" i="6" s="1"/>
  <c r="N284" i="6"/>
  <c r="AZ11" i="6" s="1"/>
  <c r="N283" i="6"/>
  <c r="AZ10" i="6" s="1"/>
  <c r="N286" i="6"/>
  <c r="AZ13" i="6" s="1"/>
  <c r="N282" i="6"/>
  <c r="AZ9" i="6" s="1"/>
  <c r="AK281" i="6"/>
  <c r="K286" i="6"/>
  <c r="AY13" i="6" s="1"/>
  <c r="K285" i="6"/>
  <c r="AY12" i="6" s="1"/>
  <c r="K283" i="6"/>
  <c r="AY10" i="6" s="1"/>
  <c r="K284" i="6"/>
  <c r="AY11" i="6" s="1"/>
  <c r="K282" i="6"/>
  <c r="AY9" i="6" s="1"/>
  <c r="K281" i="6"/>
  <c r="AY8" i="6" s="1"/>
  <c r="AL281" i="6"/>
  <c r="BU14" i="6"/>
  <c r="E53" i="20"/>
  <c r="CG88" i="9"/>
  <c r="CF88" i="9"/>
  <c r="BH26" i="9"/>
  <c r="BG26" i="9"/>
  <c r="AN26" i="9"/>
  <c r="AM26" i="9"/>
  <c r="CG26" i="9"/>
  <c r="CF26" i="9"/>
  <c r="AW26" i="9"/>
  <c r="AX26" i="9"/>
  <c r="AP318" i="7" l="1"/>
  <c r="AQ318" i="7" s="1"/>
  <c r="N15" i="8"/>
  <c r="P15" i="8" s="1"/>
  <c r="Q15" i="8" s="1"/>
  <c r="U15" i="8"/>
  <c r="N14" i="8"/>
  <c r="P14" i="8" s="1"/>
  <c r="Q14" i="8" s="1"/>
  <c r="U14" i="8"/>
  <c r="W16" i="8"/>
  <c r="V16" i="8"/>
  <c r="BL91" i="18"/>
  <c r="BH87" i="9"/>
  <c r="AX87" i="9"/>
  <c r="G25" i="17"/>
  <c r="H25" i="17" s="1"/>
  <c r="O29" i="9"/>
  <c r="Q29" i="9" s="1"/>
  <c r="AN88" i="9"/>
  <c r="M260" i="13"/>
  <c r="L69" i="13" s="1"/>
  <c r="P221" i="13"/>
  <c r="S221" i="13" s="1"/>
  <c r="S261" i="13" s="1"/>
  <c r="M70" i="13" s="1"/>
  <c r="J221" i="13"/>
  <c r="M221" i="13" s="1"/>
  <c r="M261" i="13" s="1"/>
  <c r="L70" i="13" s="1"/>
  <c r="V221" i="13"/>
  <c r="I221" i="13"/>
  <c r="L221" i="13" s="1"/>
  <c r="F103" i="13" s="1"/>
  <c r="F133" i="13" s="1"/>
  <c r="E20" i="13" s="1"/>
  <c r="D24" i="17"/>
  <c r="E24" i="17" s="1"/>
  <c r="O221" i="13"/>
  <c r="R221" i="13" s="1"/>
  <c r="R261" i="13" s="1"/>
  <c r="F70" i="13" s="1"/>
  <c r="AC153" i="9"/>
  <c r="AD153" i="9"/>
  <c r="BS92" i="18"/>
  <c r="BT92" i="18" s="1"/>
  <c r="BU92" i="18" s="1"/>
  <c r="CB92" i="18"/>
  <c r="CC92" i="18" s="1"/>
  <c r="CD92" i="18" s="1"/>
  <c r="CE92" i="18" s="1"/>
  <c r="BN14" i="6"/>
  <c r="BT14" i="6"/>
  <c r="D53" i="20"/>
  <c r="E17" i="16"/>
  <c r="Y17" i="16" s="1"/>
  <c r="BO15" i="6"/>
  <c r="B47" i="8"/>
  <c r="BB101" i="7"/>
  <c r="S38" i="4"/>
  <c r="D65" i="8" s="1"/>
  <c r="B14" i="4"/>
  <c r="B12" i="8"/>
  <c r="J170" i="13"/>
  <c r="M170" i="13" s="1"/>
  <c r="AM210" i="9"/>
  <c r="AN210" i="9"/>
  <c r="M23" i="5"/>
  <c r="I90" i="5"/>
  <c r="L90" i="5" s="1"/>
  <c r="M90" i="5" s="1"/>
  <c r="AI150" i="9"/>
  <c r="CB150" i="9"/>
  <c r="CC150" i="9" s="1"/>
  <c r="CD150" i="9" s="1"/>
  <c r="CE150" i="9" s="1"/>
  <c r="CF149" i="9"/>
  <c r="CG149" i="9"/>
  <c r="AS27" i="9"/>
  <c r="AT27" i="9" s="1"/>
  <c r="AU27" i="9" s="1"/>
  <c r="AV27" i="9" s="1"/>
  <c r="CB27" i="9"/>
  <c r="CC27" i="9" s="1"/>
  <c r="CD27" i="9" s="1"/>
  <c r="CE27" i="9" s="1"/>
  <c r="BC27" i="9"/>
  <c r="BD27" i="9" s="1"/>
  <c r="BE27" i="9" s="1"/>
  <c r="BF27" i="9" s="1"/>
  <c r="AI27" i="9"/>
  <c r="AJ27" i="9" s="1"/>
  <c r="AK27" i="9" s="1"/>
  <c r="AL27" i="9" s="1"/>
  <c r="Z18" i="16"/>
  <c r="AB18" i="16"/>
  <c r="CG211" i="9"/>
  <c r="CF211" i="9"/>
  <c r="F104" i="13"/>
  <c r="F134" i="13" s="1"/>
  <c r="E21" i="13" s="1"/>
  <c r="L260" i="13"/>
  <c r="E69" i="13" s="1"/>
  <c r="BC32" i="18"/>
  <c r="BB32" i="18"/>
  <c r="H285" i="6"/>
  <c r="AX12" i="6" s="1"/>
  <c r="H282" i="6"/>
  <c r="AX9" i="6" s="1"/>
  <c r="H281" i="6"/>
  <c r="AX8" i="6" s="1"/>
  <c r="BT8" i="6" s="1"/>
  <c r="H283" i="6"/>
  <c r="AX10" i="6" s="1"/>
  <c r="H284" i="6"/>
  <c r="AX11" i="6" s="1"/>
  <c r="H286" i="6"/>
  <c r="AX13" i="6" s="1"/>
  <c r="AM257" i="6"/>
  <c r="E222" i="13"/>
  <c r="D222" i="13"/>
  <c r="G222" i="13" s="1"/>
  <c r="G262" i="13" s="1"/>
  <c r="F222" i="13"/>
  <c r="F262" i="13" s="1"/>
  <c r="Y154" i="9"/>
  <c r="Z154" i="9" s="1"/>
  <c r="AA154" i="9" s="1"/>
  <c r="AB154" i="9" s="1"/>
  <c r="Z30" i="9"/>
  <c r="AA30" i="9" s="1"/>
  <c r="AB30" i="9" s="1"/>
  <c r="DG32" i="9"/>
  <c r="DH32" i="9"/>
  <c r="BH210" i="9"/>
  <c r="BG210" i="9"/>
  <c r="V165" i="13"/>
  <c r="Y165" i="13" s="1"/>
  <c r="Q41" i="10"/>
  <c r="R41" i="10"/>
  <c r="AJ149" i="9"/>
  <c r="AK149" i="9" s="1"/>
  <c r="AL149" i="9" s="1"/>
  <c r="BC149" i="9"/>
  <c r="BD149" i="9" s="1"/>
  <c r="BE149" i="9" s="1"/>
  <c r="BF149" i="9" s="1"/>
  <c r="BG149" i="9" s="1"/>
  <c r="AS149" i="9"/>
  <c r="AT149" i="9" s="1"/>
  <c r="AU149" i="9" s="1"/>
  <c r="AV149" i="9" s="1"/>
  <c r="P169" i="13"/>
  <c r="S169" i="13" s="1"/>
  <c r="CB89" i="9"/>
  <c r="CC89" i="9" s="1"/>
  <c r="CD89" i="9" s="1"/>
  <c r="CE89" i="9" s="1"/>
  <c r="AI89" i="9"/>
  <c r="O39" i="4"/>
  <c r="BQ16" i="6"/>
  <c r="D15" i="4" s="1"/>
  <c r="K48" i="8"/>
  <c r="BP16" i="6"/>
  <c r="A13" i="8"/>
  <c r="F13" i="8" s="1"/>
  <c r="J13" i="8" s="1"/>
  <c r="BC211" i="9"/>
  <c r="BD211" i="9" s="1"/>
  <c r="BE211" i="9" s="1"/>
  <c r="BF211" i="9" s="1"/>
  <c r="BG211" i="9" s="1"/>
  <c r="AS211" i="9"/>
  <c r="AT211" i="9" s="1"/>
  <c r="AU211" i="9" s="1"/>
  <c r="AV211" i="9" s="1"/>
  <c r="AW211" i="9" s="1"/>
  <c r="AJ211" i="9"/>
  <c r="AK211" i="9" s="1"/>
  <c r="AL211" i="9" s="1"/>
  <c r="S260" i="13"/>
  <c r="M69" i="13" s="1"/>
  <c r="M104" i="13"/>
  <c r="X134" i="13" s="1"/>
  <c r="X21" i="13" s="1"/>
  <c r="AC91" i="9"/>
  <c r="AD91" i="9"/>
  <c r="AW210" i="9"/>
  <c r="AX210" i="9"/>
  <c r="R260" i="13"/>
  <c r="F69" i="13" s="1"/>
  <c r="G104" i="13"/>
  <c r="G134" i="13" s="1"/>
  <c r="F21" i="13" s="1"/>
  <c r="N42" i="10"/>
  <c r="AR31" i="18" s="1"/>
  <c r="O42" i="10"/>
  <c r="AT31" i="18" s="1"/>
  <c r="BH93" i="18" s="1"/>
  <c r="CF91" i="18"/>
  <c r="CG91" i="18"/>
  <c r="DY92" i="9"/>
  <c r="DS92" i="9"/>
  <c r="DZ92" i="9" s="1"/>
  <c r="EE92" i="9" s="1"/>
  <c r="ED92" i="9"/>
  <c r="Y216" i="9"/>
  <c r="Z216" i="9" s="1"/>
  <c r="AA216" i="9" s="1"/>
  <c r="AB216" i="9" s="1"/>
  <c r="DR92" i="9"/>
  <c r="Z92" i="9"/>
  <c r="AA92" i="9" s="1"/>
  <c r="AB92" i="9" s="1"/>
  <c r="U27" i="9"/>
  <c r="AC29" i="9"/>
  <c r="AD29" i="9"/>
  <c r="AI31" i="18" s="1"/>
  <c r="BL92" i="18"/>
  <c r="BM92" i="18"/>
  <c r="Q28" i="9"/>
  <c r="P28" i="9"/>
  <c r="AC215" i="9"/>
  <c r="AD215" i="9"/>
  <c r="CB212" i="9"/>
  <c r="CC212" i="9" s="1"/>
  <c r="CD212" i="9" s="1"/>
  <c r="CE212" i="9" s="1"/>
  <c r="AI212" i="9"/>
  <c r="BV91" i="18"/>
  <c r="BW91" i="18"/>
  <c r="BC94" i="18"/>
  <c r="BB94" i="18"/>
  <c r="CB151" i="9"/>
  <c r="CC151" i="9" s="1"/>
  <c r="CD151" i="9" s="1"/>
  <c r="CE151" i="9" s="1"/>
  <c r="AI151" i="9"/>
  <c r="F48" i="20"/>
  <c r="BV9" i="6"/>
  <c r="F47" i="20"/>
  <c r="BV8" i="6"/>
  <c r="H50" i="20"/>
  <c r="BW11" i="6"/>
  <c r="BW12" i="6"/>
  <c r="H51" i="20"/>
  <c r="BV13" i="6"/>
  <c r="F52" i="20"/>
  <c r="BV12" i="6"/>
  <c r="F51" i="20"/>
  <c r="H52" i="20"/>
  <c r="BW13" i="6"/>
  <c r="H48" i="20"/>
  <c r="BW9" i="6"/>
  <c r="F49" i="20"/>
  <c r="BV10" i="6"/>
  <c r="BW8" i="6"/>
  <c r="H47" i="20"/>
  <c r="F50" i="20"/>
  <c r="BV11" i="6"/>
  <c r="H49" i="20"/>
  <c r="BW10" i="6"/>
  <c r="BU9" i="6"/>
  <c r="E48" i="20"/>
  <c r="E52" i="20"/>
  <c r="BU13" i="6"/>
  <c r="E49" i="20"/>
  <c r="BU10" i="6"/>
  <c r="BU12" i="6"/>
  <c r="E51" i="20"/>
  <c r="BU11" i="6"/>
  <c r="E50" i="20"/>
  <c r="BU8" i="6"/>
  <c r="E47" i="20"/>
  <c r="BH88" i="9"/>
  <c r="BG88" i="9"/>
  <c r="AW88" i="9"/>
  <c r="AX88" i="9"/>
  <c r="W14" i="8" l="1"/>
  <c r="V14" i="8"/>
  <c r="U13" i="8"/>
  <c r="N13" i="8"/>
  <c r="P13" i="8" s="1"/>
  <c r="Q13" i="8" s="1"/>
  <c r="W15" i="8"/>
  <c r="V15" i="8"/>
  <c r="G24" i="17"/>
  <c r="H24" i="17" s="1"/>
  <c r="P29" i="9"/>
  <c r="AI29" i="9" s="1"/>
  <c r="AJ29" i="9" s="1"/>
  <c r="AK29" i="9" s="1"/>
  <c r="AL29" i="9" s="1"/>
  <c r="BH211" i="9"/>
  <c r="L261" i="13"/>
  <c r="E70" i="13" s="1"/>
  <c r="AX211" i="9"/>
  <c r="M103" i="13"/>
  <c r="X133" i="13" s="1"/>
  <c r="X20" i="13" s="1"/>
  <c r="L103" i="13"/>
  <c r="W133" i="13" s="1"/>
  <c r="W20" i="13" s="1"/>
  <c r="BH149" i="9"/>
  <c r="G103" i="13"/>
  <c r="G133" i="13" s="1"/>
  <c r="F20" i="13" s="1"/>
  <c r="AJ212" i="9"/>
  <c r="AK212" i="9" s="1"/>
  <c r="AL212" i="9" s="1"/>
  <c r="BC212" i="9"/>
  <c r="BD212" i="9" s="1"/>
  <c r="BE212" i="9" s="1"/>
  <c r="BF212" i="9" s="1"/>
  <c r="AS212" i="9"/>
  <c r="AT212" i="9" s="1"/>
  <c r="AU212" i="9" s="1"/>
  <c r="AV212" i="9" s="1"/>
  <c r="CB90" i="9"/>
  <c r="CC90" i="9" s="1"/>
  <c r="CD90" i="9" s="1"/>
  <c r="CE90" i="9" s="1"/>
  <c r="AI90" i="9"/>
  <c r="AD216" i="9"/>
  <c r="AC216" i="9"/>
  <c r="AN211" i="9"/>
  <c r="AM211" i="9"/>
  <c r="AJ89" i="9"/>
  <c r="AK89" i="9" s="1"/>
  <c r="AL89" i="9" s="1"/>
  <c r="AS89" i="9"/>
  <c r="AT89" i="9" s="1"/>
  <c r="AU89" i="9" s="1"/>
  <c r="AV89" i="9" s="1"/>
  <c r="BC89" i="9"/>
  <c r="BD89" i="9" s="1"/>
  <c r="BE89" i="9" s="1"/>
  <c r="BF89" i="9" s="1"/>
  <c r="BN11" i="6"/>
  <c r="D50" i="20"/>
  <c r="BT11" i="6"/>
  <c r="BN12" i="6"/>
  <c r="D51" i="20"/>
  <c r="BT12" i="6"/>
  <c r="BH27" i="9"/>
  <c r="BG27" i="9"/>
  <c r="AB17" i="16"/>
  <c r="Z17" i="16"/>
  <c r="CF212" i="9"/>
  <c r="CG212" i="9"/>
  <c r="CB213" i="9"/>
  <c r="CC213" i="9" s="1"/>
  <c r="CD213" i="9" s="1"/>
  <c r="CE213" i="9" s="1"/>
  <c r="AI213" i="9"/>
  <c r="AI91" i="9"/>
  <c r="CB91" i="9"/>
  <c r="CC91" i="9" s="1"/>
  <c r="CD91" i="9" s="1"/>
  <c r="CE91" i="9" s="1"/>
  <c r="CF89" i="9"/>
  <c r="CG89" i="9"/>
  <c r="AM149" i="9"/>
  <c r="AN149" i="9"/>
  <c r="AD30" i="9"/>
  <c r="AI32" i="18" s="1"/>
  <c r="AC30" i="9"/>
  <c r="I222" i="13"/>
  <c r="L222" i="13" s="1"/>
  <c r="V222" i="13"/>
  <c r="Y222" i="13" s="1"/>
  <c r="P222" i="13"/>
  <c r="S222" i="13" s="1"/>
  <c r="U222" i="13"/>
  <c r="X222" i="13" s="1"/>
  <c r="O222" i="13"/>
  <c r="R222" i="13" s="1"/>
  <c r="J222" i="13"/>
  <c r="M222" i="13" s="1"/>
  <c r="BN10" i="6"/>
  <c r="BT10" i="6"/>
  <c r="D49" i="20"/>
  <c r="CG27" i="9"/>
  <c r="CF27" i="9"/>
  <c r="CG150" i="9"/>
  <c r="CF150" i="9"/>
  <c r="BW92" i="18"/>
  <c r="BV92" i="18"/>
  <c r="AJ151" i="9"/>
  <c r="AK151" i="9" s="1"/>
  <c r="AL151" i="9" s="1"/>
  <c r="BC151" i="9"/>
  <c r="BD151" i="9" s="1"/>
  <c r="BE151" i="9" s="1"/>
  <c r="BF151" i="9" s="1"/>
  <c r="AS151" i="9"/>
  <c r="AT151" i="9" s="1"/>
  <c r="AU151" i="9" s="1"/>
  <c r="AV151" i="9" s="1"/>
  <c r="AD92" i="9"/>
  <c r="AC92" i="9"/>
  <c r="BI93" i="18"/>
  <c r="BJ93" i="18" s="1"/>
  <c r="BK93" i="18" s="1"/>
  <c r="BR93" i="18"/>
  <c r="AD154" i="9"/>
  <c r="AC154" i="9"/>
  <c r="BN8" i="6"/>
  <c r="D47" i="20"/>
  <c r="AX27" i="9"/>
  <c r="AW27" i="9"/>
  <c r="AJ150" i="9"/>
  <c r="AK150" i="9" s="1"/>
  <c r="AL150" i="9" s="1"/>
  <c r="BC150" i="9"/>
  <c r="BD150" i="9" s="1"/>
  <c r="BE150" i="9" s="1"/>
  <c r="BF150" i="9" s="1"/>
  <c r="AS150" i="9"/>
  <c r="AT150" i="9" s="1"/>
  <c r="AU150" i="9" s="1"/>
  <c r="AV150" i="9" s="1"/>
  <c r="CG151" i="9"/>
  <c r="CF151" i="9"/>
  <c r="AS28" i="9"/>
  <c r="AT28" i="9" s="1"/>
  <c r="AU28" i="9" s="1"/>
  <c r="AV28" i="9" s="1"/>
  <c r="CB28" i="9"/>
  <c r="CC28" i="9" s="1"/>
  <c r="CD28" i="9" s="1"/>
  <c r="CE28" i="9" s="1"/>
  <c r="AI28" i="9"/>
  <c r="AJ28" i="9" s="1"/>
  <c r="AK28" i="9" s="1"/>
  <c r="AL28" i="9" s="1"/>
  <c r="BC28" i="9"/>
  <c r="BD28" i="9" s="1"/>
  <c r="BE28" i="9" s="1"/>
  <c r="BF28" i="9" s="1"/>
  <c r="AW149" i="9"/>
  <c r="AX149" i="9"/>
  <c r="BN13" i="6"/>
  <c r="D52" i="20"/>
  <c r="BT13" i="6"/>
  <c r="BN9" i="6"/>
  <c r="D48" i="20"/>
  <c r="BT9" i="6"/>
  <c r="AN27" i="9"/>
  <c r="AM27" i="9"/>
  <c r="BP15" i="6"/>
  <c r="A12" i="8"/>
  <c r="F12" i="8" s="1"/>
  <c r="J12" i="8" s="1"/>
  <c r="K47" i="8"/>
  <c r="O38" i="4"/>
  <c r="BQ15" i="6"/>
  <c r="D14" i="4" s="1"/>
  <c r="B46" i="8"/>
  <c r="E16" i="16"/>
  <c r="Y16" i="16" s="1"/>
  <c r="B13" i="4"/>
  <c r="BO14" i="6"/>
  <c r="BB100" i="7"/>
  <c r="B11" i="8"/>
  <c r="S37" i="4"/>
  <c r="D64" i="8" s="1"/>
  <c r="CF92" i="18"/>
  <c r="CG92" i="18"/>
  <c r="U12" i="8" l="1"/>
  <c r="N12" i="8"/>
  <c r="P12" i="8" s="1"/>
  <c r="Q12" i="8" s="1"/>
  <c r="W13" i="8"/>
  <c r="V13" i="8"/>
  <c r="BM29" i="9"/>
  <c r="BN29" i="9" s="1"/>
  <c r="BO29" i="9" s="1"/>
  <c r="BP29" i="9" s="1"/>
  <c r="BR29" i="9" s="1"/>
  <c r="CB29" i="9"/>
  <c r="CC29" i="9" s="1"/>
  <c r="CD29" i="9" s="1"/>
  <c r="CE29" i="9" s="1"/>
  <c r="CF29" i="9" s="1"/>
  <c r="BC29" i="9"/>
  <c r="BD29" i="9" s="1"/>
  <c r="BE29" i="9" s="1"/>
  <c r="BF29" i="9" s="1"/>
  <c r="BG29" i="9" s="1"/>
  <c r="AS29" i="9"/>
  <c r="AT29" i="9" s="1"/>
  <c r="AU29" i="9" s="1"/>
  <c r="AV29" i="9" s="1"/>
  <c r="AW29" i="9" s="1"/>
  <c r="AB16" i="16"/>
  <c r="Z16" i="16"/>
  <c r="O37" i="4"/>
  <c r="BP14" i="6"/>
  <c r="A11" i="8"/>
  <c r="F11" i="8" s="1"/>
  <c r="J11" i="8" s="1"/>
  <c r="BQ14" i="6"/>
  <c r="D13" i="4" s="1"/>
  <c r="K46" i="8"/>
  <c r="S32" i="4"/>
  <c r="D59" i="8" s="1"/>
  <c r="B41" i="8"/>
  <c r="B8" i="4"/>
  <c r="E11" i="16"/>
  <c r="Y11" i="16" s="1"/>
  <c r="B6" i="8"/>
  <c r="BO9" i="6"/>
  <c r="CF28" i="9"/>
  <c r="CG28" i="9"/>
  <c r="AW150" i="9"/>
  <c r="AX150" i="9"/>
  <c r="E12" i="16"/>
  <c r="Y12" i="16" s="1"/>
  <c r="S33" i="4"/>
  <c r="D60" i="8" s="1"/>
  <c r="BB96" i="7"/>
  <c r="B42" i="8"/>
  <c r="B7" i="8"/>
  <c r="BO10" i="6"/>
  <c r="B9" i="4"/>
  <c r="M102" i="13"/>
  <c r="X132" i="13" s="1"/>
  <c r="X19" i="13" s="1"/>
  <c r="S262" i="13"/>
  <c r="M71" i="13" s="1"/>
  <c r="AS91" i="9"/>
  <c r="AT91" i="9" s="1"/>
  <c r="AU91" i="9" s="1"/>
  <c r="AV91" i="9" s="1"/>
  <c r="AJ91" i="9"/>
  <c r="AK91" i="9" s="1"/>
  <c r="AL91" i="9" s="1"/>
  <c r="BC91" i="9"/>
  <c r="BD91" i="9" s="1"/>
  <c r="BE91" i="9" s="1"/>
  <c r="BF91" i="9" s="1"/>
  <c r="BM91" i="9"/>
  <c r="BN91" i="9" s="1"/>
  <c r="BO91" i="9" s="1"/>
  <c r="BP91" i="9" s="1"/>
  <c r="BQ91" i="9" s="1"/>
  <c r="AW89" i="9"/>
  <c r="AX89" i="9"/>
  <c r="CF90" i="9"/>
  <c r="CG90" i="9"/>
  <c r="AX28" i="9"/>
  <c r="AW28" i="9"/>
  <c r="BG150" i="9"/>
  <c r="BH150" i="9"/>
  <c r="CB93" i="18"/>
  <c r="CC93" i="18" s="1"/>
  <c r="CD93" i="18" s="1"/>
  <c r="CE93" i="18" s="1"/>
  <c r="BS93" i="18"/>
  <c r="BT93" i="18" s="1"/>
  <c r="BU93" i="18" s="1"/>
  <c r="AW151" i="9"/>
  <c r="AX151" i="9"/>
  <c r="L102" i="13"/>
  <c r="W132" i="13" s="1"/>
  <c r="W19" i="13" s="1"/>
  <c r="M262" i="13"/>
  <c r="L71" i="13" s="1"/>
  <c r="N102" i="13"/>
  <c r="Y132" i="13" s="1"/>
  <c r="Y19" i="13" s="1"/>
  <c r="Y262" i="13"/>
  <c r="N71" i="13" s="1"/>
  <c r="AJ213" i="9"/>
  <c r="AK213" i="9" s="1"/>
  <c r="AL213" i="9" s="1"/>
  <c r="AS213" i="9"/>
  <c r="AT213" i="9" s="1"/>
  <c r="AU213" i="9" s="1"/>
  <c r="AV213" i="9" s="1"/>
  <c r="BC213" i="9"/>
  <c r="BD213" i="9" s="1"/>
  <c r="BE213" i="9" s="1"/>
  <c r="BF213" i="9" s="1"/>
  <c r="AM89" i="9"/>
  <c r="AN89" i="9"/>
  <c r="AN29" i="9"/>
  <c r="AM29" i="9"/>
  <c r="AX212" i="9"/>
  <c r="AW212" i="9"/>
  <c r="BG28" i="9"/>
  <c r="BH28" i="9"/>
  <c r="BO8" i="6"/>
  <c r="BQ8" i="6" s="1"/>
  <c r="B5" i="8"/>
  <c r="B40" i="8"/>
  <c r="S31" i="4"/>
  <c r="D58" i="8" s="1"/>
  <c r="E10" i="16"/>
  <c r="Y10" i="16" s="1"/>
  <c r="BL93" i="18"/>
  <c r="BM93" i="18"/>
  <c r="BG151" i="9"/>
  <c r="BH151" i="9"/>
  <c r="R262" i="13"/>
  <c r="F71" i="13" s="1"/>
  <c r="G102" i="13"/>
  <c r="G132" i="13" s="1"/>
  <c r="F19" i="13" s="1"/>
  <c r="F102" i="13"/>
  <c r="F132" i="13" s="1"/>
  <c r="E19" i="13" s="1"/>
  <c r="L262" i="13"/>
  <c r="E71" i="13" s="1"/>
  <c r="CF213" i="9"/>
  <c r="CG213" i="9"/>
  <c r="E13" i="16"/>
  <c r="Y13" i="16" s="1"/>
  <c r="B10" i="4"/>
  <c r="BO11" i="6"/>
  <c r="B43" i="8"/>
  <c r="BB97" i="7"/>
  <c r="B8" i="8"/>
  <c r="S34" i="4"/>
  <c r="D61" i="8" s="1"/>
  <c r="BG212" i="9"/>
  <c r="BH212" i="9"/>
  <c r="AN150" i="9"/>
  <c r="AM150" i="9"/>
  <c r="BO13" i="6"/>
  <c r="E15" i="16"/>
  <c r="Y15" i="16" s="1"/>
  <c r="S36" i="4"/>
  <c r="D63" i="8" s="1"/>
  <c r="B10" i="8"/>
  <c r="B12" i="4"/>
  <c r="BB99" i="7"/>
  <c r="B45" i="8"/>
  <c r="AN28" i="9"/>
  <c r="AM28" i="9"/>
  <c r="AM151" i="9"/>
  <c r="AN151" i="9"/>
  <c r="H102" i="13"/>
  <c r="H132" i="13" s="1"/>
  <c r="G19" i="13" s="1"/>
  <c r="X262" i="13"/>
  <c r="G71" i="13" s="1"/>
  <c r="CF91" i="9"/>
  <c r="CG91" i="9"/>
  <c r="BO12" i="6"/>
  <c r="E14" i="16"/>
  <c r="Y14" i="16" s="1"/>
  <c r="B11" i="4"/>
  <c r="BB98" i="7"/>
  <c r="B9" i="8"/>
  <c r="S35" i="4"/>
  <c r="D62" i="8" s="1"/>
  <c r="B44" i="8"/>
  <c r="BG89" i="9"/>
  <c r="BH89" i="9"/>
  <c r="AJ90" i="9"/>
  <c r="AK90" i="9" s="1"/>
  <c r="AL90" i="9" s="1"/>
  <c r="BC90" i="9"/>
  <c r="BD90" i="9" s="1"/>
  <c r="BE90" i="9" s="1"/>
  <c r="BF90" i="9" s="1"/>
  <c r="AS90" i="9"/>
  <c r="AT90" i="9" s="1"/>
  <c r="AU90" i="9" s="1"/>
  <c r="AV90" i="9" s="1"/>
  <c r="AN212" i="9"/>
  <c r="AM212" i="9"/>
  <c r="BH29" i="9" l="1"/>
  <c r="N11" i="8"/>
  <c r="P11" i="8" s="1"/>
  <c r="Q11" i="8" s="1"/>
  <c r="U11" i="8"/>
  <c r="V12" i="8"/>
  <c r="W12" i="8"/>
  <c r="BQ29" i="9"/>
  <c r="CG29" i="9"/>
  <c r="AX29" i="9"/>
  <c r="BR91" i="9"/>
  <c r="BG90" i="9"/>
  <c r="BH90" i="9"/>
  <c r="AB15" i="16"/>
  <c r="Z15" i="16"/>
  <c r="BP11" i="6"/>
  <c r="K43" i="8"/>
  <c r="A8" i="8"/>
  <c r="BQ11" i="6"/>
  <c r="D10" i="4" s="1"/>
  <c r="O34" i="4"/>
  <c r="AM213" i="9"/>
  <c r="AN213" i="9"/>
  <c r="AB12" i="16"/>
  <c r="Z12" i="16"/>
  <c r="AM90" i="9"/>
  <c r="AN90" i="9"/>
  <c r="AX90" i="9"/>
  <c r="AW90" i="9"/>
  <c r="AB14" i="16"/>
  <c r="Z14" i="16"/>
  <c r="BQ13" i="6"/>
  <c r="D12" i="4" s="1"/>
  <c r="A10" i="8"/>
  <c r="F10" i="8" s="1"/>
  <c r="J10" i="8" s="1"/>
  <c r="BP13" i="6"/>
  <c r="O36" i="4"/>
  <c r="K45" i="8"/>
  <c r="Z10" i="16"/>
  <c r="AB10" i="16"/>
  <c r="Y28" i="16"/>
  <c r="K40" i="8"/>
  <c r="O31" i="4"/>
  <c r="A5" i="8"/>
  <c r="BP8" i="6"/>
  <c r="BG91" i="9"/>
  <c r="BH91" i="9"/>
  <c r="BQ9" i="6"/>
  <c r="BP9" i="6"/>
  <c r="O32" i="4"/>
  <c r="K41" i="8"/>
  <c r="A6" i="8"/>
  <c r="K44" i="8"/>
  <c r="BP12" i="6"/>
  <c r="BQ12" i="6"/>
  <c r="D11" i="4" s="1"/>
  <c r="A9" i="8"/>
  <c r="F9" i="8" s="1"/>
  <c r="J9" i="8" s="1"/>
  <c r="O35" i="4"/>
  <c r="AB13" i="16"/>
  <c r="Z13" i="16"/>
  <c r="BG213" i="9"/>
  <c r="BH213" i="9"/>
  <c r="BV93" i="18"/>
  <c r="BW93" i="18"/>
  <c r="AN91" i="9"/>
  <c r="AM91" i="9"/>
  <c r="AP117" i="7"/>
  <c r="AQ117" i="7" s="1"/>
  <c r="AW213" i="9"/>
  <c r="AX213" i="9"/>
  <c r="CF93" i="18"/>
  <c r="CG93" i="18"/>
  <c r="AX91" i="9"/>
  <c r="AW91" i="9"/>
  <c r="O33" i="4"/>
  <c r="BQ10" i="6"/>
  <c r="A7" i="8"/>
  <c r="BP10" i="6"/>
  <c r="K42" i="8"/>
  <c r="Z11" i="16"/>
  <c r="AB11" i="16"/>
  <c r="N10" i="8" l="1"/>
  <c r="P10" i="8" s="1"/>
  <c r="Q10" i="8" s="1"/>
  <c r="U10" i="8"/>
  <c r="N9" i="8"/>
  <c r="U9" i="8"/>
  <c r="V11" i="8"/>
  <c r="W11" i="8"/>
  <c r="Z28" i="16"/>
  <c r="D29" i="4"/>
  <c r="AP118" i="7"/>
  <c r="AP119" i="7" s="1"/>
  <c r="AQ118" i="7"/>
  <c r="AP121" i="7" s="1"/>
  <c r="AP122" i="7"/>
  <c r="AR117" i="7"/>
  <c r="W9" i="8" l="1"/>
  <c r="V9" i="8"/>
  <c r="U23" i="8"/>
  <c r="N23" i="8"/>
  <c r="P9" i="8"/>
  <c r="W10" i="8"/>
  <c r="V10" i="8"/>
  <c r="AP120" i="7"/>
  <c r="Q9" i="8" l="1"/>
  <c r="Q23" i="8" s="1"/>
  <c r="V23" i="8"/>
  <c r="U32" i="8" s="1"/>
  <c r="W23" i="8"/>
  <c r="W32" i="8" l="1"/>
  <c r="L22" i="8" s="1"/>
  <c r="U24" i="8"/>
  <c r="W24" i="8"/>
  <c r="W27" i="8" l="1"/>
  <c r="W28" i="8" s="1"/>
  <c r="E78" i="5" l="1"/>
  <c r="L79" i="5" l="1"/>
  <c r="J98" i="5"/>
  <c r="K102" i="5" s="1"/>
  <c r="AF21" i="12" l="1"/>
  <c r="AF20" i="12"/>
  <c r="AF22" i="12"/>
  <c r="J120" i="5"/>
  <c r="J119" i="5"/>
  <c r="J118" i="5"/>
  <c r="I79" i="5"/>
  <c r="M79" i="5" s="1"/>
  <c r="I80" i="5"/>
  <c r="L80" i="5"/>
  <c r="M80" i="5" s="1"/>
  <c r="E79" i="5"/>
  <c r="E80" i="5"/>
  <c r="C78" i="5"/>
  <c r="C79" i="5"/>
  <c r="C80" i="5"/>
  <c r="H36" i="8"/>
  <c r="J36" i="8" s="1"/>
  <c r="K36" i="8" s="1"/>
  <c r="E49" i="8" s="1"/>
  <c r="H31" i="8" l="1"/>
  <c r="J31" i="8" s="1"/>
  <c r="K31" i="8" s="1"/>
  <c r="E44" i="8" s="1"/>
  <c r="H28" i="8"/>
  <c r="J28" i="8" s="1"/>
  <c r="K28" i="8" s="1"/>
  <c r="E41" i="8" s="1"/>
  <c r="N41" i="8" s="1"/>
  <c r="H29" i="8"/>
  <c r="J29" i="8" s="1"/>
  <c r="K29" i="8" s="1"/>
  <c r="E42" i="8" s="1"/>
  <c r="N42" i="8" s="1"/>
  <c r="H33" i="8"/>
  <c r="J33" i="8" s="1"/>
  <c r="K33" i="8" s="1"/>
  <c r="E46" i="8" s="1"/>
  <c r="H32" i="8"/>
  <c r="J32" i="8" s="1"/>
  <c r="K32" i="8" s="1"/>
  <c r="E45" i="8" s="1"/>
  <c r="H30" i="8"/>
  <c r="J30" i="8" s="1"/>
  <c r="K30" i="8" s="1"/>
  <c r="E43" i="8" s="1"/>
  <c r="H34" i="8"/>
  <c r="J34" i="8" s="1"/>
  <c r="K34" i="8" s="1"/>
  <c r="E47" i="8" s="1"/>
  <c r="H35" i="8"/>
  <c r="J35" i="8" s="1"/>
  <c r="K35" i="8" s="1"/>
  <c r="E48" i="8" s="1"/>
  <c r="H27" i="8"/>
  <c r="J27" i="8" s="1"/>
  <c r="K27" i="8" s="1"/>
  <c r="E40" i="8" s="1"/>
  <c r="N40" i="8" s="1"/>
  <c r="H85" i="8" l="1"/>
  <c r="J85" i="8" s="1"/>
  <c r="CZ21" i="9" s="1"/>
  <c r="DC42" i="9" s="1"/>
  <c r="W11" i="5"/>
  <c r="H87" i="8"/>
  <c r="J87" i="8" s="1"/>
  <c r="CZ19" i="9" s="1"/>
  <c r="DC40" i="9" s="1"/>
  <c r="W13" i="5"/>
  <c r="H86" i="8"/>
  <c r="J86" i="8" s="1"/>
  <c r="CZ20" i="9" s="1"/>
  <c r="DC41" i="9" s="1"/>
  <c r="W12" i="5"/>
  <c r="DC43" i="9" l="1"/>
  <c r="AP326" i="7"/>
  <c r="AQ326" i="7" s="1"/>
  <c r="DD40" i="9"/>
  <c r="DE40" i="9" s="1"/>
  <c r="DF40" i="9" s="1"/>
  <c r="DJ40" i="9"/>
  <c r="AS326" i="7" s="1"/>
  <c r="AP327" i="7"/>
  <c r="AQ327" i="7" s="1"/>
  <c r="DD41" i="9"/>
  <c r="DE41" i="9" s="1"/>
  <c r="DF41" i="9" s="1"/>
  <c r="DJ41" i="9"/>
  <c r="AS327" i="7" s="1"/>
  <c r="AP328" i="7"/>
  <c r="AQ328" i="7" s="1"/>
  <c r="DD42" i="9"/>
  <c r="DE42" i="9" s="1"/>
  <c r="DF42" i="9" s="1"/>
  <c r="DJ42" i="9"/>
  <c r="AS328" i="7" s="1"/>
  <c r="AM9" i="18" l="1"/>
  <c r="DG41" i="9"/>
  <c r="DH41" i="9"/>
  <c r="DG42" i="9"/>
  <c r="DH42" i="9"/>
  <c r="DH40" i="9"/>
  <c r="DG40" i="9"/>
  <c r="DE43" i="9"/>
  <c r="DC46" i="9" s="1"/>
  <c r="DD43" i="9"/>
  <c r="E83" i="5" l="1"/>
  <c r="E82" i="5"/>
  <c r="E85" i="5"/>
  <c r="E81" i="5"/>
  <c r="E84" i="5"/>
  <c r="E86" i="5"/>
  <c r="AM16" i="18"/>
  <c r="AM23" i="18"/>
  <c r="AM20" i="18"/>
  <c r="AM31" i="18"/>
  <c r="AM27" i="18"/>
  <c r="AM28" i="18"/>
  <c r="AM12" i="18"/>
  <c r="AM29" i="18"/>
  <c r="AM17" i="18"/>
  <c r="AM24" i="18"/>
  <c r="AM18" i="18"/>
  <c r="AM15" i="18"/>
  <c r="AM19" i="18"/>
  <c r="AM21" i="18"/>
  <c r="AZ9" i="7"/>
  <c r="AM13" i="18"/>
  <c r="AM14" i="18"/>
  <c r="AM30" i="18"/>
  <c r="AM22" i="18"/>
  <c r="AM11" i="18"/>
  <c r="AM26" i="18"/>
  <c r="AM32" i="18"/>
  <c r="DD44" i="9"/>
  <c r="DC47" i="9"/>
  <c r="DC51" i="9" s="1"/>
  <c r="DF43" i="9"/>
  <c r="DF44" i="9" s="1"/>
  <c r="DC50" i="9" s="1"/>
  <c r="DC53" i="9" s="1"/>
  <c r="L81" i="5" l="1"/>
  <c r="AZ20" i="7"/>
  <c r="AZ23" i="7"/>
  <c r="AZ16" i="7"/>
  <c r="AZ18" i="7"/>
  <c r="AZ12" i="7"/>
  <c r="AZ17" i="7"/>
  <c r="AZ13" i="7"/>
  <c r="AZ22" i="7"/>
  <c r="AZ11" i="7"/>
  <c r="AZ21" i="7"/>
  <c r="AZ19" i="7"/>
  <c r="AZ14" i="7"/>
  <c r="AZ24" i="7"/>
  <c r="AZ10" i="7"/>
  <c r="AZ15" i="7"/>
  <c r="M81" i="5" l="1"/>
  <c r="L10" i="16" l="1"/>
  <c r="V10" i="16" s="1"/>
  <c r="V56" i="16"/>
  <c r="W10" i="16" l="1"/>
  <c r="AA10" i="16"/>
  <c r="X10" i="16"/>
  <c r="AZ31" i="7" l="1"/>
  <c r="AZ29" i="7"/>
  <c r="AZ25" i="7"/>
  <c r="AZ27" i="7"/>
  <c r="AZ26" i="7"/>
  <c r="AZ28" i="7"/>
  <c r="AZ30" i="7"/>
  <c r="AZ32" i="7"/>
  <c r="M9" i="4" l="1"/>
  <c r="M10" i="4"/>
  <c r="M11" i="4"/>
  <c r="E19" i="4"/>
  <c r="G19" i="4" s="1"/>
  <c r="E20" i="4"/>
  <c r="G20" i="4" s="1"/>
  <c r="E21" i="4"/>
  <c r="G21" i="4" s="1"/>
  <c r="M20" i="4" l="1"/>
  <c r="E18" i="4"/>
  <c r="G18" i="4" s="1"/>
  <c r="M19" i="4"/>
  <c r="E17" i="4"/>
  <c r="G17" i="4" s="1"/>
  <c r="M18" i="4"/>
  <c r="E16" i="4"/>
  <c r="G16" i="4" s="1"/>
  <c r="M17" i="4"/>
  <c r="E15" i="4"/>
  <c r="G15" i="4" s="1"/>
  <c r="M16" i="4"/>
  <c r="E14" i="4"/>
  <c r="G14" i="4" s="1"/>
  <c r="M15" i="4"/>
  <c r="E13" i="4"/>
  <c r="G13" i="4" s="1"/>
  <c r="M14" i="4"/>
  <c r="E12" i="4"/>
  <c r="G12" i="4" s="1"/>
  <c r="M13" i="4"/>
  <c r="E11" i="4"/>
  <c r="G11" i="4" s="1"/>
  <c r="M12" i="4"/>
  <c r="E10" i="4"/>
  <c r="G10" i="4" s="1"/>
  <c r="G29" i="4" s="1"/>
  <c r="K16" i="4" l="1"/>
  <c r="P16" i="4" s="1"/>
  <c r="R16" i="4" s="1"/>
  <c r="L38" i="4" s="1"/>
  <c r="K10" i="4"/>
  <c r="P10" i="4" s="1"/>
  <c r="R10" i="4" s="1"/>
  <c r="L32" i="4" s="1"/>
  <c r="K18" i="4"/>
  <c r="P18" i="4" s="1"/>
  <c r="R18" i="4" s="1"/>
  <c r="L40" i="4" s="1"/>
  <c r="K14" i="4"/>
  <c r="P14" i="4" s="1"/>
  <c r="R14" i="4" s="1"/>
  <c r="L36" i="4" s="1"/>
  <c r="K15" i="4"/>
  <c r="P15" i="4" s="1"/>
  <c r="R15" i="4" s="1"/>
  <c r="L37" i="4" s="1"/>
  <c r="K11" i="4"/>
  <c r="P11" i="4" s="1"/>
  <c r="R11" i="4" s="1"/>
  <c r="L33" i="4" s="1"/>
  <c r="K9" i="4"/>
  <c r="P9" i="4" s="1"/>
  <c r="R9" i="4" s="1"/>
  <c r="L31" i="4" s="1"/>
  <c r="K12" i="4"/>
  <c r="P12" i="4" s="1"/>
  <c r="R12" i="4" s="1"/>
  <c r="L34" i="4" s="1"/>
  <c r="K17" i="4"/>
  <c r="P17" i="4" s="1"/>
  <c r="R17" i="4" s="1"/>
  <c r="L39" i="4" s="1"/>
  <c r="K13" i="4"/>
  <c r="P13" i="4" s="1"/>
  <c r="R13" i="4" s="1"/>
  <c r="L35" i="4" s="1"/>
  <c r="K19" i="4"/>
  <c r="P19" i="4" s="1"/>
  <c r="R19" i="4" s="1"/>
  <c r="L41" i="4" s="1"/>
  <c r="R41" i="4" s="1"/>
  <c r="V21" i="5" s="1"/>
  <c r="W21" i="5" s="1"/>
  <c r="X21" i="5" s="1"/>
  <c r="K20" i="4"/>
  <c r="P20" i="4" s="1"/>
  <c r="R20" i="4" s="1"/>
  <c r="L42" i="4" s="1"/>
  <c r="R42" i="4" s="1"/>
  <c r="V22" i="5" s="1"/>
  <c r="W22" i="5" l="1"/>
  <c r="X22" i="5"/>
  <c r="C18" i="18"/>
  <c r="C45" i="10"/>
  <c r="C21" i="5"/>
  <c r="H44" i="8"/>
  <c r="N44" i="8" s="1"/>
  <c r="R35" i="4"/>
  <c r="V15" i="5" s="1"/>
  <c r="H48" i="8"/>
  <c r="N48" i="8" s="1"/>
  <c r="R39" i="4"/>
  <c r="V19" i="5" s="1"/>
  <c r="H43" i="8"/>
  <c r="N43" i="8" s="1"/>
  <c r="R34" i="4"/>
  <c r="V14" i="5" s="1"/>
  <c r="H40" i="8"/>
  <c r="R31" i="4"/>
  <c r="V11" i="5" s="1"/>
  <c r="X11" i="5" s="1"/>
  <c r="H42" i="8"/>
  <c r="R33" i="4"/>
  <c r="V13" i="5" s="1"/>
  <c r="X13" i="5" s="1"/>
  <c r="H46" i="8"/>
  <c r="N46" i="8" s="1"/>
  <c r="R37" i="4"/>
  <c r="V17" i="5" s="1"/>
  <c r="H45" i="8"/>
  <c r="N45" i="8" s="1"/>
  <c r="R36" i="4"/>
  <c r="V16" i="5" s="1"/>
  <c r="R40" i="4"/>
  <c r="V20" i="5" s="1"/>
  <c r="H49" i="8"/>
  <c r="N49" i="8" s="1"/>
  <c r="R32" i="4"/>
  <c r="V12" i="5" s="1"/>
  <c r="X12" i="5" s="1"/>
  <c r="H41" i="8"/>
  <c r="R38" i="4"/>
  <c r="V18" i="5" s="1"/>
  <c r="H47" i="8"/>
  <c r="N47" i="8" s="1"/>
  <c r="H92" i="8" l="1"/>
  <c r="J92" i="8" s="1"/>
  <c r="CZ14" i="9" s="1"/>
  <c r="DC35" i="9" s="1"/>
  <c r="W18" i="5"/>
  <c r="X18" i="5" s="1"/>
  <c r="C54" i="10"/>
  <c r="C9" i="18"/>
  <c r="C12" i="5"/>
  <c r="H94" i="8"/>
  <c r="J94" i="8" s="1"/>
  <c r="CZ12" i="9" s="1"/>
  <c r="DC33" i="9" s="1"/>
  <c r="W20" i="5"/>
  <c r="X20" i="5" s="1"/>
  <c r="H90" i="8"/>
  <c r="J90" i="8" s="1"/>
  <c r="CZ16" i="9" s="1"/>
  <c r="DC37" i="9" s="1"/>
  <c r="W16" i="5"/>
  <c r="X16" i="5" s="1"/>
  <c r="H91" i="8"/>
  <c r="J91" i="8" s="1"/>
  <c r="CZ15" i="9" s="1"/>
  <c r="DC36" i="9" s="1"/>
  <c r="W17" i="5"/>
  <c r="X17" i="5" s="1"/>
  <c r="C10" i="18"/>
  <c r="C53" i="10"/>
  <c r="C13" i="5"/>
  <c r="C8" i="18"/>
  <c r="Y11" i="5"/>
  <c r="AB28" i="5" s="1"/>
  <c r="Y13" i="5"/>
  <c r="AB26" i="5" s="1"/>
  <c r="Y12" i="5"/>
  <c r="AB27" i="5" s="1"/>
  <c r="C55" i="10"/>
  <c r="C11" i="5"/>
  <c r="H88" i="8"/>
  <c r="J88" i="8" s="1"/>
  <c r="CZ18" i="9" s="1"/>
  <c r="DC39" i="9" s="1"/>
  <c r="W14" i="5"/>
  <c r="X14" i="5" s="1"/>
  <c r="H93" i="8"/>
  <c r="J93" i="8" s="1"/>
  <c r="CZ13" i="9" s="1"/>
  <c r="DC34" i="9" s="1"/>
  <c r="W19" i="5"/>
  <c r="X19" i="5" s="1"/>
  <c r="H89" i="8"/>
  <c r="J89" i="8" s="1"/>
  <c r="CZ17" i="9" s="1"/>
  <c r="DC38" i="9" s="1"/>
  <c r="W15" i="5"/>
  <c r="X15" i="5" s="1"/>
  <c r="C88" i="5"/>
  <c r="AB38" i="20"/>
  <c r="AB41" i="20" s="1"/>
  <c r="E21" i="5"/>
  <c r="Y41" i="4"/>
  <c r="C155" i="5"/>
  <c r="H155" i="5" s="1"/>
  <c r="J155" i="5" s="1"/>
  <c r="E45" i="10"/>
  <c r="G45" i="10" s="1"/>
  <c r="F45" i="10"/>
  <c r="AS190" i="7"/>
  <c r="G18" i="18"/>
  <c r="F18" i="18"/>
  <c r="H18" i="18"/>
  <c r="AH34" i="18" s="1"/>
  <c r="C19" i="18"/>
  <c r="C44" i="10"/>
  <c r="C22" i="5"/>
  <c r="C89" i="5" l="1"/>
  <c r="E22" i="5"/>
  <c r="R122" i="5"/>
  <c r="C156" i="5"/>
  <c r="H156" i="5" s="1"/>
  <c r="J156" i="5" s="1"/>
  <c r="AA38" i="20"/>
  <c r="AA41" i="20" s="1"/>
  <c r="Y42" i="4"/>
  <c r="R121" i="5"/>
  <c r="AS189" i="7"/>
  <c r="E44" i="10"/>
  <c r="G44" i="10" s="1"/>
  <c r="F44" i="10"/>
  <c r="H19" i="18"/>
  <c r="AH33" i="18" s="1"/>
  <c r="F19" i="18"/>
  <c r="G19" i="18"/>
  <c r="AQ34" i="18"/>
  <c r="AX34" i="18" s="1"/>
  <c r="AY34" i="18" s="1"/>
  <c r="AZ34" i="18" s="1"/>
  <c r="BA34" i="18" s="1"/>
  <c r="AM34" i="18"/>
  <c r="L45" i="10"/>
  <c r="J45" i="10"/>
  <c r="B34" i="12"/>
  <c r="E34" i="12" s="1"/>
  <c r="L32" i="9"/>
  <c r="AT34" i="7"/>
  <c r="C173" i="13"/>
  <c r="AY34" i="7"/>
  <c r="AP58" i="7" s="1"/>
  <c r="AQ58" i="7" s="1"/>
  <c r="AR58" i="7" s="1"/>
  <c r="AL34" i="18"/>
  <c r="AA41" i="4"/>
  <c r="J68" i="8"/>
  <c r="M68" i="8" s="1"/>
  <c r="E88" i="5"/>
  <c r="L21" i="5"/>
  <c r="F21" i="5"/>
  <c r="F88" i="5" s="1"/>
  <c r="J21" i="5"/>
  <c r="C12" i="18"/>
  <c r="C51" i="10"/>
  <c r="C15" i="5"/>
  <c r="AP324" i="7"/>
  <c r="AQ324" i="7" s="1"/>
  <c r="DD38" i="9"/>
  <c r="DE38" i="9" s="1"/>
  <c r="DF38" i="9" s="1"/>
  <c r="C16" i="18"/>
  <c r="C47" i="10"/>
  <c r="C19" i="5"/>
  <c r="AP320" i="7"/>
  <c r="AQ320" i="7" s="1"/>
  <c r="DD34" i="9"/>
  <c r="DE34" i="9" s="1"/>
  <c r="DF34" i="9" s="1"/>
  <c r="C52" i="10"/>
  <c r="C11" i="18"/>
  <c r="C14" i="5"/>
  <c r="Y33" i="5"/>
  <c r="Y21" i="5"/>
  <c r="AB18" i="5" s="1"/>
  <c r="Y23" i="5"/>
  <c r="AB16" i="5" s="1"/>
  <c r="Y17" i="5"/>
  <c r="AB22" i="5" s="1"/>
  <c r="Y34" i="5"/>
  <c r="Y35" i="5"/>
  <c r="Y22" i="5"/>
  <c r="AB17" i="5" s="1"/>
  <c r="Y45" i="5"/>
  <c r="Y20" i="5"/>
  <c r="AB19" i="5" s="1"/>
  <c r="Y41" i="5"/>
  <c r="Y46" i="5"/>
  <c r="Y16" i="5"/>
  <c r="AB23" i="5" s="1"/>
  <c r="Y25" i="5"/>
  <c r="AB14" i="5" s="1"/>
  <c r="Y30" i="5"/>
  <c r="Y15" i="5"/>
  <c r="AB24" i="5" s="1"/>
  <c r="Y19" i="5"/>
  <c r="AB20" i="5" s="1"/>
  <c r="Y40" i="5"/>
  <c r="Y42" i="5"/>
  <c r="Y18" i="5"/>
  <c r="AB21" i="5" s="1"/>
  <c r="Y36" i="5"/>
  <c r="Y44" i="5"/>
  <c r="Y28" i="5"/>
  <c r="AB11" i="5" s="1"/>
  <c r="Y38" i="5"/>
  <c r="Y29" i="5"/>
  <c r="Y37" i="5"/>
  <c r="Y27" i="5"/>
  <c r="AB12" i="5" s="1"/>
  <c r="Y24" i="5"/>
  <c r="AB15" i="5" s="1"/>
  <c r="Y14" i="5"/>
  <c r="AB25" i="5" s="1"/>
  <c r="Y26" i="5"/>
  <c r="AB13" i="5" s="1"/>
  <c r="Y39" i="5"/>
  <c r="Y31" i="5"/>
  <c r="Y32" i="5"/>
  <c r="Y43" i="5"/>
  <c r="AP325" i="7"/>
  <c r="AQ325" i="7" s="1"/>
  <c r="DD39" i="9"/>
  <c r="DE39" i="9" s="1"/>
  <c r="DF39" i="9" s="1"/>
  <c r="DJ39" i="9"/>
  <c r="AS325" i="7" s="1"/>
  <c r="Y31" i="4"/>
  <c r="AL38" i="20"/>
  <c r="G62" i="5"/>
  <c r="R111" i="5"/>
  <c r="E11" i="5"/>
  <c r="F55" i="10"/>
  <c r="AS200" i="7"/>
  <c r="E55" i="10"/>
  <c r="G55" i="10" s="1"/>
  <c r="F8" i="18"/>
  <c r="G8" i="18"/>
  <c r="H8" i="18"/>
  <c r="AH44" i="18" s="1"/>
  <c r="E13" i="5"/>
  <c r="AJ38" i="20"/>
  <c r="Y33" i="4"/>
  <c r="C147" i="5"/>
  <c r="H147" i="5" s="1"/>
  <c r="J147" i="5" s="1"/>
  <c r="R113" i="5"/>
  <c r="F53" i="10"/>
  <c r="E53" i="10"/>
  <c r="G53" i="10" s="1"/>
  <c r="AS198" i="7"/>
  <c r="F10" i="18"/>
  <c r="G10" i="18"/>
  <c r="H10" i="18"/>
  <c r="AH42" i="18" s="1"/>
  <c r="C14" i="18"/>
  <c r="C49" i="10"/>
  <c r="C17" i="5"/>
  <c r="AP322" i="7"/>
  <c r="AQ322" i="7" s="1"/>
  <c r="DD36" i="9"/>
  <c r="DE36" i="9" s="1"/>
  <c r="DF36" i="9" s="1"/>
  <c r="C13" i="18"/>
  <c r="C50" i="10"/>
  <c r="C16" i="5"/>
  <c r="DD37" i="9"/>
  <c r="DE37" i="9" s="1"/>
  <c r="DF37" i="9" s="1"/>
  <c r="AP323" i="7"/>
  <c r="AQ323" i="7" s="1"/>
  <c r="C17" i="18"/>
  <c r="C46" i="10"/>
  <c r="C20" i="5"/>
  <c r="AP319" i="7"/>
  <c r="AQ319" i="7" s="1"/>
  <c r="DD33" i="9"/>
  <c r="DE33" i="9" s="1"/>
  <c r="DF33" i="9" s="1"/>
  <c r="Y32" i="4"/>
  <c r="E12" i="5"/>
  <c r="AK38" i="20"/>
  <c r="C146" i="5"/>
  <c r="R112" i="5"/>
  <c r="G9" i="18"/>
  <c r="F9" i="18"/>
  <c r="H9" i="18"/>
  <c r="AH43" i="18" s="1"/>
  <c r="F54" i="10"/>
  <c r="E54" i="10"/>
  <c r="G54" i="10" s="1"/>
  <c r="AS199" i="7"/>
  <c r="C15" i="18"/>
  <c r="C48" i="10"/>
  <c r="C18" i="5"/>
  <c r="AP321" i="7"/>
  <c r="AQ321" i="7" s="1"/>
  <c r="DD35" i="9"/>
  <c r="DE35" i="9" s="1"/>
  <c r="DF35" i="9" s="1"/>
  <c r="DH35" i="9" l="1"/>
  <c r="DG35" i="9"/>
  <c r="C85" i="5"/>
  <c r="AE38" i="20"/>
  <c r="C152" i="5"/>
  <c r="H152" i="5" s="1"/>
  <c r="J152" i="5" s="1"/>
  <c r="Y38" i="4"/>
  <c r="R118" i="5"/>
  <c r="E18" i="5"/>
  <c r="E48" i="10"/>
  <c r="G48" i="10" s="1"/>
  <c r="AS193" i="7"/>
  <c r="F48" i="10"/>
  <c r="H15" i="18"/>
  <c r="AH37" i="18" s="1"/>
  <c r="F15" i="18"/>
  <c r="G15" i="18"/>
  <c r="AY43" i="7"/>
  <c r="AP67" i="7" s="1"/>
  <c r="AQ67" i="7" s="1"/>
  <c r="AR67" i="7" s="1"/>
  <c r="AL43" i="18"/>
  <c r="J54" i="10"/>
  <c r="C182" i="13"/>
  <c r="AT43" i="7"/>
  <c r="L54" i="10"/>
  <c r="B43" i="12"/>
  <c r="E43" i="12" s="1"/>
  <c r="L41" i="9"/>
  <c r="AQ43" i="18"/>
  <c r="AX43" i="18" s="1"/>
  <c r="AY43" i="18" s="1"/>
  <c r="AZ43" i="18" s="1"/>
  <c r="BA43" i="18" s="1"/>
  <c r="AM43" i="18"/>
  <c r="H146" i="5"/>
  <c r="L12" i="5"/>
  <c r="J12" i="5"/>
  <c r="F12" i="5"/>
  <c r="F79" i="5" s="1"/>
  <c r="AA32" i="4"/>
  <c r="J59" i="8"/>
  <c r="M59" i="8" s="1"/>
  <c r="DG33" i="9"/>
  <c r="DG43" i="9" s="1"/>
  <c r="DG44" i="9" s="1"/>
  <c r="DC52" i="9" s="1"/>
  <c r="DH33" i="9"/>
  <c r="DH43" i="9" s="1"/>
  <c r="DH44" i="9" s="1"/>
  <c r="DC49" i="9" s="1"/>
  <c r="DC54" i="9" s="1"/>
  <c r="C87" i="5"/>
  <c r="Y40" i="4"/>
  <c r="C154" i="5"/>
  <c r="H154" i="5" s="1"/>
  <c r="J154" i="5" s="1"/>
  <c r="AC38" i="20"/>
  <c r="AC41" i="20" s="1"/>
  <c r="R120" i="5"/>
  <c r="E20" i="5"/>
  <c r="AS191" i="7"/>
  <c r="E46" i="10"/>
  <c r="G46" i="10" s="1"/>
  <c r="F46" i="10"/>
  <c r="G17" i="18"/>
  <c r="F17" i="18"/>
  <c r="H17" i="18"/>
  <c r="AH35" i="18" s="1"/>
  <c r="DH37" i="9"/>
  <c r="DG37" i="9"/>
  <c r="C83" i="5"/>
  <c r="C150" i="5"/>
  <c r="H150" i="5" s="1"/>
  <c r="J150" i="5" s="1"/>
  <c r="Y36" i="4"/>
  <c r="AG38" i="20"/>
  <c r="R116" i="5"/>
  <c r="E16" i="5"/>
  <c r="E50" i="10"/>
  <c r="G50" i="10" s="1"/>
  <c r="AS195" i="7"/>
  <c r="F50" i="10"/>
  <c r="H13" i="18"/>
  <c r="AH39" i="18" s="1"/>
  <c r="G13" i="18"/>
  <c r="F13" i="18"/>
  <c r="DH36" i="9"/>
  <c r="DG36" i="9"/>
  <c r="C84" i="5"/>
  <c r="C151" i="5"/>
  <c r="H151" i="5" s="1"/>
  <c r="J151" i="5" s="1"/>
  <c r="Y37" i="4"/>
  <c r="AF38" i="20"/>
  <c r="R117" i="5"/>
  <c r="E17" i="5"/>
  <c r="AS194" i="7"/>
  <c r="E49" i="10"/>
  <c r="G49" i="10" s="1"/>
  <c r="F49" i="10"/>
  <c r="F14" i="18"/>
  <c r="G14" i="18"/>
  <c r="H14" i="18"/>
  <c r="AH38" i="18" s="1"/>
  <c r="AM42" i="18"/>
  <c r="AQ42" i="18"/>
  <c r="AX42" i="18" s="1"/>
  <c r="AY42" i="18" s="1"/>
  <c r="AZ42" i="18" s="1"/>
  <c r="BA42" i="18" s="1"/>
  <c r="AY42" i="7"/>
  <c r="AP66" i="7" s="1"/>
  <c r="AQ66" i="7" s="1"/>
  <c r="AR66" i="7" s="1"/>
  <c r="AL42" i="18"/>
  <c r="B42" i="12"/>
  <c r="E42" i="12" s="1"/>
  <c r="C181" i="13"/>
  <c r="L40" i="9"/>
  <c r="AT42" i="7"/>
  <c r="L53" i="10"/>
  <c r="J53" i="10"/>
  <c r="J60" i="8"/>
  <c r="M60" i="8" s="1"/>
  <c r="AA33" i="4"/>
  <c r="L13" i="5"/>
  <c r="F13" i="5"/>
  <c r="F80" i="5" s="1"/>
  <c r="J13" i="5"/>
  <c r="AM44" i="18"/>
  <c r="AQ44" i="18"/>
  <c r="AX44" i="18" s="1"/>
  <c r="AY44" i="18" s="1"/>
  <c r="AZ44" i="18" s="1"/>
  <c r="BA44" i="18" s="1"/>
  <c r="AL44" i="18"/>
  <c r="AY44" i="7"/>
  <c r="AP68" i="7" s="1"/>
  <c r="AQ68" i="7" s="1"/>
  <c r="AR68" i="7" s="1"/>
  <c r="C183" i="13"/>
  <c r="B44" i="12"/>
  <c r="E44" i="12" s="1"/>
  <c r="L55" i="10"/>
  <c r="L42" i="9"/>
  <c r="J55" i="10"/>
  <c r="AT44" i="7"/>
  <c r="L11" i="5"/>
  <c r="F11" i="5"/>
  <c r="F78" i="5" s="1"/>
  <c r="J11" i="5"/>
  <c r="J58" i="8"/>
  <c r="M58" i="8" s="1"/>
  <c r="AA31" i="4"/>
  <c r="DH39" i="9"/>
  <c r="DG39" i="9"/>
  <c r="C81" i="5"/>
  <c r="Y34" i="4"/>
  <c r="C148" i="5"/>
  <c r="AI38" i="20"/>
  <c r="R114" i="5"/>
  <c r="E14" i="5"/>
  <c r="F11" i="18"/>
  <c r="G11" i="18"/>
  <c r="H11" i="18"/>
  <c r="AH41" i="18" s="1"/>
  <c r="F52" i="10"/>
  <c r="AS197" i="7"/>
  <c r="E52" i="10"/>
  <c r="G52" i="10" s="1"/>
  <c r="DG34" i="9"/>
  <c r="DH34" i="9"/>
  <c r="C86" i="5"/>
  <c r="C153" i="5"/>
  <c r="H153" i="5" s="1"/>
  <c r="J153" i="5" s="1"/>
  <c r="AD38" i="20"/>
  <c r="Y39" i="4"/>
  <c r="R119" i="5"/>
  <c r="E19" i="5"/>
  <c r="AS192" i="7"/>
  <c r="E47" i="10"/>
  <c r="G47" i="10" s="1"/>
  <c r="F47" i="10"/>
  <c r="G16" i="18"/>
  <c r="F16" i="18"/>
  <c r="H16" i="18"/>
  <c r="AH36" i="18" s="1"/>
  <c r="DG38" i="9"/>
  <c r="DH38" i="9"/>
  <c r="C82" i="5"/>
  <c r="Y35" i="4"/>
  <c r="AH38" i="20"/>
  <c r="C149" i="5"/>
  <c r="H149" i="5" s="1"/>
  <c r="J149" i="5" s="1"/>
  <c r="R115" i="5"/>
  <c r="E15" i="5"/>
  <c r="E51" i="10"/>
  <c r="G51" i="10" s="1"/>
  <c r="AS196" i="7"/>
  <c r="F51" i="10"/>
  <c r="G12" i="18"/>
  <c r="H12" i="18"/>
  <c r="AH40" i="18" s="1"/>
  <c r="F12" i="18"/>
  <c r="D22" i="17"/>
  <c r="T41" i="4"/>
  <c r="I88" i="5"/>
  <c r="L88" i="5" s="1"/>
  <c r="M88" i="5" s="1"/>
  <c r="R21" i="5"/>
  <c r="W41" i="4" s="1"/>
  <c r="H68" i="8" s="1"/>
  <c r="X41" i="4"/>
  <c r="I68" i="8" s="1"/>
  <c r="M21" i="5"/>
  <c r="V41" i="4"/>
  <c r="G68" i="8" s="1"/>
  <c r="D173" i="13"/>
  <c r="B224" i="13"/>
  <c r="F173" i="13"/>
  <c r="AS58" i="7"/>
  <c r="AZ34" i="7"/>
  <c r="DR32" i="9"/>
  <c r="Y32" i="9"/>
  <c r="DY32" i="9"/>
  <c r="J32" i="9"/>
  <c r="EI32" i="9"/>
  <c r="DS32" i="9"/>
  <c r="DZ32" i="9" s="1"/>
  <c r="EE32" i="9" s="1"/>
  <c r="EJ32" i="9" s="1"/>
  <c r="ED32" i="9"/>
  <c r="M32" i="9"/>
  <c r="Y94" i="9" s="1"/>
  <c r="AS34" i="18"/>
  <c r="AX96" i="18" s="1"/>
  <c r="AY96" i="18" s="1"/>
  <c r="AZ96" i="18" s="1"/>
  <c r="BA96" i="18" s="1"/>
  <c r="BC34" i="18"/>
  <c r="BB34" i="18"/>
  <c r="AQ33" i="18"/>
  <c r="AX33" i="18" s="1"/>
  <c r="AM33" i="18"/>
  <c r="B33" i="12"/>
  <c r="E33" i="12" s="1"/>
  <c r="C172" i="13"/>
  <c r="AT33" i="7"/>
  <c r="L31" i="9"/>
  <c r="L44" i="10"/>
  <c r="J44" i="10"/>
  <c r="AL33" i="18"/>
  <c r="AY33" i="7"/>
  <c r="AP57" i="7" s="1"/>
  <c r="AQ57" i="7" s="1"/>
  <c r="AR57" i="7" s="1"/>
  <c r="AA42" i="4"/>
  <c r="J69" i="8"/>
  <c r="M69" i="8" s="1"/>
  <c r="B55" i="20"/>
  <c r="B67" i="20"/>
  <c r="B52" i="20"/>
  <c r="B69" i="20"/>
  <c r="B54" i="20"/>
  <c r="B68" i="20"/>
  <c r="B58" i="20"/>
  <c r="B48" i="20"/>
  <c r="B49" i="20"/>
  <c r="B56" i="20"/>
  <c r="B66" i="20"/>
  <c r="B64" i="20"/>
  <c r="B61" i="20"/>
  <c r="B62" i="20"/>
  <c r="B63" i="20"/>
  <c r="B60" i="20"/>
  <c r="B51" i="20"/>
  <c r="B50" i="20"/>
  <c r="B53" i="20"/>
  <c r="B47" i="20"/>
  <c r="B65" i="20"/>
  <c r="B59" i="20"/>
  <c r="B70" i="20"/>
  <c r="B57" i="20"/>
  <c r="E89" i="5"/>
  <c r="F22" i="5"/>
  <c r="F89" i="5" s="1"/>
  <c r="J22" i="5"/>
  <c r="L22" i="5"/>
  <c r="I89" i="5" l="1"/>
  <c r="L89" i="5" s="1"/>
  <c r="M89" i="5" s="1"/>
  <c r="X42" i="4"/>
  <c r="I69" i="8" s="1"/>
  <c r="R22" i="5"/>
  <c r="W42" i="4" s="1"/>
  <c r="H69" i="8" s="1"/>
  <c r="M22" i="5"/>
  <c r="V42" i="4"/>
  <c r="G69" i="8" s="1"/>
  <c r="D23" i="17"/>
  <c r="T42" i="4"/>
  <c r="M31" i="9"/>
  <c r="AS33" i="18"/>
  <c r="AX95" i="18" s="1"/>
  <c r="P43" i="10"/>
  <c r="M44" i="10"/>
  <c r="M43" i="10"/>
  <c r="P42" i="10"/>
  <c r="DY31" i="9"/>
  <c r="J31" i="9"/>
  <c r="Y31" i="9"/>
  <c r="T28" i="9"/>
  <c r="ED31" i="9"/>
  <c r="DS31" i="9"/>
  <c r="DZ31" i="9" s="1"/>
  <c r="EE31" i="9" s="1"/>
  <c r="EJ31" i="9" s="1"/>
  <c r="DR31" i="9"/>
  <c r="EI31" i="9"/>
  <c r="AS57" i="7"/>
  <c r="AZ33" i="7"/>
  <c r="U166" i="13"/>
  <c r="X166" i="13" s="1"/>
  <c r="B223" i="13"/>
  <c r="I171" i="13"/>
  <c r="L171" i="13" s="1"/>
  <c r="D172" i="13"/>
  <c r="O170" i="13"/>
  <c r="R170" i="13" s="1"/>
  <c r="I172" i="13"/>
  <c r="L172" i="13" s="1"/>
  <c r="U167" i="13"/>
  <c r="X167" i="13" s="1"/>
  <c r="F172" i="13"/>
  <c r="O171" i="13"/>
  <c r="R171" i="13" s="1"/>
  <c r="AY33" i="18"/>
  <c r="BC96" i="18"/>
  <c r="BB96" i="18"/>
  <c r="EI94" i="9"/>
  <c r="DS94" i="9"/>
  <c r="DZ94" i="9" s="1"/>
  <c r="EE94" i="9" s="1"/>
  <c r="EJ94" i="9" s="1"/>
  <c r="DY94" i="9"/>
  <c r="ED94" i="9"/>
  <c r="Z94" i="9"/>
  <c r="AA94" i="9" s="1"/>
  <c r="AB94" i="9" s="1"/>
  <c r="DR94" i="9"/>
  <c r="Y218" i="9"/>
  <c r="Z218" i="9" s="1"/>
  <c r="AA218" i="9" s="1"/>
  <c r="AB218" i="9" s="1"/>
  <c r="Z32" i="9"/>
  <c r="AA32" i="9" s="1"/>
  <c r="AB32" i="9" s="1"/>
  <c r="Y156" i="9"/>
  <c r="Z156" i="9" s="1"/>
  <c r="AA156" i="9" s="1"/>
  <c r="AB156" i="9" s="1"/>
  <c r="F224" i="13"/>
  <c r="F264" i="13" s="1"/>
  <c r="E224" i="13"/>
  <c r="D224" i="13"/>
  <c r="G224" i="13" s="1"/>
  <c r="G264" i="13" s="1"/>
  <c r="G173" i="13"/>
  <c r="U41" i="4"/>
  <c r="E68" i="8"/>
  <c r="F68" i="8" s="1"/>
  <c r="G22" i="17"/>
  <c r="E22" i="17"/>
  <c r="H22" i="17"/>
  <c r="AM40" i="18"/>
  <c r="AQ40" i="18"/>
  <c r="AX40" i="18" s="1"/>
  <c r="AY40" i="18" s="1"/>
  <c r="AZ40" i="18" s="1"/>
  <c r="BA40" i="18" s="1"/>
  <c r="L51" i="10"/>
  <c r="C179" i="13"/>
  <c r="L38" i="9"/>
  <c r="J51" i="10"/>
  <c r="B40" i="12"/>
  <c r="E40" i="12" s="1"/>
  <c r="AT40" i="7"/>
  <c r="AL40" i="18"/>
  <c r="AY40" i="7"/>
  <c r="AP64" i="7" s="1"/>
  <c r="AQ64" i="7" s="1"/>
  <c r="AR64" i="7" s="1"/>
  <c r="F15" i="5"/>
  <c r="F82" i="5" s="1"/>
  <c r="L15" i="5"/>
  <c r="J15" i="5"/>
  <c r="AA35" i="4"/>
  <c r="J62" i="8"/>
  <c r="M62" i="8" s="1"/>
  <c r="AM10" i="18"/>
  <c r="AQ36" i="18"/>
  <c r="AX36" i="18" s="1"/>
  <c r="AY36" i="18" s="1"/>
  <c r="AZ36" i="18" s="1"/>
  <c r="BA36" i="18" s="1"/>
  <c r="AM36" i="18"/>
  <c r="L47" i="10"/>
  <c r="C175" i="13"/>
  <c r="L34" i="9"/>
  <c r="J47" i="10"/>
  <c r="AT36" i="7"/>
  <c r="B36" i="12"/>
  <c r="E36" i="12" s="1"/>
  <c r="AY36" i="7"/>
  <c r="AP60" i="7" s="1"/>
  <c r="AQ60" i="7" s="1"/>
  <c r="AR60" i="7" s="1"/>
  <c r="AL36" i="18"/>
  <c r="F19" i="5"/>
  <c r="F86" i="5" s="1"/>
  <c r="L19" i="5"/>
  <c r="J19" i="5"/>
  <c r="J66" i="8"/>
  <c r="M66" i="8" s="1"/>
  <c r="AA39" i="4"/>
  <c r="AL41" i="18"/>
  <c r="AY41" i="7"/>
  <c r="AP65" i="7" s="1"/>
  <c r="AQ65" i="7" s="1"/>
  <c r="AR65" i="7" s="1"/>
  <c r="L39" i="9"/>
  <c r="AT41" i="7"/>
  <c r="B41" i="12"/>
  <c r="E41" i="12" s="1"/>
  <c r="J52" i="10"/>
  <c r="L52" i="10"/>
  <c r="C180" i="13"/>
  <c r="AM41" i="18"/>
  <c r="AQ41" i="18"/>
  <c r="AX41" i="18" s="1"/>
  <c r="AY41" i="18" s="1"/>
  <c r="AZ41" i="18" s="1"/>
  <c r="BA41" i="18" s="1"/>
  <c r="F14" i="5"/>
  <c r="F81" i="5" s="1"/>
  <c r="J14" i="5"/>
  <c r="L14" i="5"/>
  <c r="H148" i="5"/>
  <c r="J148" i="5" s="1"/>
  <c r="C157" i="5"/>
  <c r="AA34" i="4"/>
  <c r="J61" i="8"/>
  <c r="M61" i="8" s="1"/>
  <c r="C96" i="5"/>
  <c r="AB32" i="4"/>
  <c r="AC32" i="4" s="1"/>
  <c r="AB33" i="4"/>
  <c r="AC33" i="4" s="1"/>
  <c r="AB35" i="4"/>
  <c r="AC35" i="4" s="1"/>
  <c r="AB31" i="4"/>
  <c r="AC31" i="4" s="1"/>
  <c r="AB34" i="4"/>
  <c r="AC34" i="4" s="1"/>
  <c r="N59" i="8"/>
  <c r="O59" i="8" s="1"/>
  <c r="N61" i="8"/>
  <c r="O61" i="8" s="1"/>
  <c r="N62" i="8"/>
  <c r="O62" i="8" s="1"/>
  <c r="N60" i="8"/>
  <c r="O60" i="8" s="1"/>
  <c r="N58" i="8"/>
  <c r="O58" i="8" s="1"/>
  <c r="T31" i="4"/>
  <c r="D12" i="17"/>
  <c r="M11" i="5"/>
  <c r="R11" i="5"/>
  <c r="W31" i="4" s="1"/>
  <c r="H58" i="8" s="1"/>
  <c r="X31" i="4"/>
  <c r="I58" i="8" s="1"/>
  <c r="V31" i="4"/>
  <c r="G58" i="8" s="1"/>
  <c r="AS68" i="7"/>
  <c r="AZ44" i="7"/>
  <c r="AS44" i="18"/>
  <c r="AX106" i="18" s="1"/>
  <c r="AY106" i="18" s="1"/>
  <c r="AZ106" i="18" s="1"/>
  <c r="BA106" i="18" s="1"/>
  <c r="M42" i="9"/>
  <c r="Y104" i="9" s="1"/>
  <c r="Y42" i="9"/>
  <c r="ED42" i="9"/>
  <c r="DR42" i="9"/>
  <c r="J42" i="9"/>
  <c r="DS42" i="9"/>
  <c r="DZ42" i="9" s="1"/>
  <c r="EE42" i="9" s="1"/>
  <c r="EJ42" i="9" s="1"/>
  <c r="EI42" i="9"/>
  <c r="DY42" i="9"/>
  <c r="D183" i="13"/>
  <c r="G183" i="13" s="1"/>
  <c r="B234" i="13"/>
  <c r="F183" i="13"/>
  <c r="BC44" i="18"/>
  <c r="BB44" i="18"/>
  <c r="D14" i="17"/>
  <c r="T33" i="4"/>
  <c r="R13" i="5"/>
  <c r="W33" i="4" s="1"/>
  <c r="H60" i="8" s="1"/>
  <c r="V33" i="4"/>
  <c r="G60" i="8" s="1"/>
  <c r="M13" i="5"/>
  <c r="X33" i="4"/>
  <c r="I60" i="8" s="1"/>
  <c r="M40" i="9"/>
  <c r="Y102" i="9" s="1"/>
  <c r="AS42" i="18"/>
  <c r="AX104" i="18" s="1"/>
  <c r="AY104" i="18" s="1"/>
  <c r="AZ104" i="18" s="1"/>
  <c r="BA104" i="18" s="1"/>
  <c r="M54" i="10"/>
  <c r="AS66" i="7"/>
  <c r="AZ42" i="7"/>
  <c r="DY40" i="9"/>
  <c r="DS40" i="9"/>
  <c r="DZ40" i="9" s="1"/>
  <c r="EE40" i="9" s="1"/>
  <c r="EJ40" i="9" s="1"/>
  <c r="DR40" i="9"/>
  <c r="ED40" i="9"/>
  <c r="Y40" i="9"/>
  <c r="EI40" i="9"/>
  <c r="J40" i="9"/>
  <c r="B232" i="13"/>
  <c r="D181" i="13"/>
  <c r="F181" i="13"/>
  <c r="I182" i="13"/>
  <c r="L182" i="13" s="1"/>
  <c r="BC42" i="18"/>
  <c r="BB42" i="18"/>
  <c r="AM38" i="18"/>
  <c r="AQ38" i="18"/>
  <c r="AX38" i="18" s="1"/>
  <c r="AY38" i="18" s="1"/>
  <c r="AZ38" i="18" s="1"/>
  <c r="BA38" i="18" s="1"/>
  <c r="L49" i="10"/>
  <c r="C177" i="13"/>
  <c r="L36" i="9"/>
  <c r="J49" i="10"/>
  <c r="AT38" i="7"/>
  <c r="B38" i="12"/>
  <c r="E38" i="12" s="1"/>
  <c r="AY38" i="7"/>
  <c r="AP62" i="7" s="1"/>
  <c r="AQ62" i="7" s="1"/>
  <c r="AR62" i="7" s="1"/>
  <c r="AL38" i="18"/>
  <c r="L17" i="5"/>
  <c r="F17" i="5"/>
  <c r="F84" i="5" s="1"/>
  <c r="J17" i="5"/>
  <c r="J64" i="8"/>
  <c r="M64" i="8" s="1"/>
  <c r="AA37" i="4"/>
  <c r="AM25" i="18"/>
  <c r="AM39" i="18"/>
  <c r="AQ39" i="18"/>
  <c r="AX39" i="18" s="1"/>
  <c r="AY39" i="18" s="1"/>
  <c r="AZ39" i="18" s="1"/>
  <c r="BA39" i="18" s="1"/>
  <c r="L50" i="10"/>
  <c r="C178" i="13"/>
  <c r="L37" i="9"/>
  <c r="J50" i="10"/>
  <c r="AT39" i="7"/>
  <c r="B39" i="12"/>
  <c r="E39" i="12" s="1"/>
  <c r="AY39" i="7"/>
  <c r="AP63" i="7" s="1"/>
  <c r="AQ63" i="7" s="1"/>
  <c r="AR63" i="7" s="1"/>
  <c r="AL39" i="18"/>
  <c r="L16" i="5"/>
  <c r="F16" i="5"/>
  <c r="F83" i="5" s="1"/>
  <c r="J16" i="5"/>
  <c r="AA36" i="4"/>
  <c r="J63" i="8"/>
  <c r="M63" i="8" s="1"/>
  <c r="AQ35" i="18"/>
  <c r="AX35" i="18" s="1"/>
  <c r="AM35" i="18"/>
  <c r="L46" i="10"/>
  <c r="C174" i="13"/>
  <c r="B35" i="12"/>
  <c r="E35" i="12" s="1"/>
  <c r="L33" i="9"/>
  <c r="J46" i="10"/>
  <c r="AT35" i="7"/>
  <c r="AY35" i="7"/>
  <c r="AP59" i="7" s="1"/>
  <c r="AQ59" i="7" s="1"/>
  <c r="AR59" i="7" s="1"/>
  <c r="AL35" i="18"/>
  <c r="E87" i="5"/>
  <c r="E96" i="5" s="1"/>
  <c r="F96" i="5" s="1"/>
  <c r="F20" i="5"/>
  <c r="F87" i="5" s="1"/>
  <c r="L20" i="5"/>
  <c r="J20" i="5"/>
  <c r="AA40" i="4"/>
  <c r="J67" i="8"/>
  <c r="M67" i="8" s="1"/>
  <c r="DC55" i="9"/>
  <c r="DI25" i="9"/>
  <c r="DJ25" i="9" s="1"/>
  <c r="AS311" i="7" s="1"/>
  <c r="DI8" i="9"/>
  <c r="DI14" i="9"/>
  <c r="DI19" i="9"/>
  <c r="DI27" i="9"/>
  <c r="DJ27" i="9" s="1"/>
  <c r="AS313" i="7" s="1"/>
  <c r="DI29" i="9"/>
  <c r="DJ29" i="9" s="1"/>
  <c r="AS315" i="7" s="1"/>
  <c r="DI22" i="9"/>
  <c r="DI39" i="9"/>
  <c r="DI35" i="9"/>
  <c r="DJ35" i="9" s="1"/>
  <c r="AS321" i="7" s="1"/>
  <c r="DI17" i="9"/>
  <c r="DI33" i="9"/>
  <c r="DJ33" i="9" s="1"/>
  <c r="AS319" i="7" s="1"/>
  <c r="DI21" i="9"/>
  <c r="DI36" i="9"/>
  <c r="DJ36" i="9" s="1"/>
  <c r="AS322" i="7" s="1"/>
  <c r="DI16" i="9"/>
  <c r="DI41" i="9"/>
  <c r="DI9" i="9"/>
  <c r="DI28" i="9"/>
  <c r="DJ28" i="9" s="1"/>
  <c r="AS314" i="7" s="1"/>
  <c r="DI42" i="9"/>
  <c r="DI24" i="9"/>
  <c r="DI30" i="9"/>
  <c r="DJ30" i="9" s="1"/>
  <c r="AS316" i="7" s="1"/>
  <c r="DI26" i="9"/>
  <c r="DJ26" i="9" s="1"/>
  <c r="AS312" i="7" s="1"/>
  <c r="DI32" i="9"/>
  <c r="DJ32" i="9" s="1"/>
  <c r="AS318" i="7" s="1"/>
  <c r="DI13" i="9"/>
  <c r="DI31" i="9"/>
  <c r="DJ31" i="9" s="1"/>
  <c r="AS317" i="7" s="1"/>
  <c r="DI18" i="9"/>
  <c r="DI20" i="9"/>
  <c r="DI34" i="9"/>
  <c r="DJ34" i="9" s="1"/>
  <c r="AS320" i="7" s="1"/>
  <c r="DI10" i="9"/>
  <c r="DI23" i="9"/>
  <c r="DI12" i="9"/>
  <c r="DI11" i="9"/>
  <c r="DI7" i="9"/>
  <c r="DI40" i="9"/>
  <c r="DI37" i="9"/>
  <c r="DJ37" i="9" s="1"/>
  <c r="AS323" i="7" s="1"/>
  <c r="DI38" i="9"/>
  <c r="DJ38" i="9" s="1"/>
  <c r="AS324" i="7" s="1"/>
  <c r="DI15" i="9"/>
  <c r="DC56" i="9"/>
  <c r="T32" i="4"/>
  <c r="D13" i="17"/>
  <c r="X32" i="4"/>
  <c r="I59" i="8" s="1"/>
  <c r="V32" i="4"/>
  <c r="G59" i="8" s="1"/>
  <c r="R12" i="5"/>
  <c r="W32" i="4" s="1"/>
  <c r="H59" i="8" s="1"/>
  <c r="M12" i="5"/>
  <c r="J146" i="5"/>
  <c r="H157" i="5"/>
  <c r="J157" i="5" s="1"/>
  <c r="BB43" i="18"/>
  <c r="BC43" i="18"/>
  <c r="EI41" i="9"/>
  <c r="Y41" i="9"/>
  <c r="DR41" i="9"/>
  <c r="ED41" i="9"/>
  <c r="DY41" i="9"/>
  <c r="DS41" i="9"/>
  <c r="DZ41" i="9" s="1"/>
  <c r="EE41" i="9" s="1"/>
  <c r="EJ41" i="9" s="1"/>
  <c r="J41" i="9"/>
  <c r="O42" i="9" s="1"/>
  <c r="M55" i="10"/>
  <c r="AS67" i="7"/>
  <c r="AZ43" i="7"/>
  <c r="D182" i="13"/>
  <c r="G182" i="13" s="1"/>
  <c r="F182" i="13"/>
  <c r="B233" i="13"/>
  <c r="AS43" i="18"/>
  <c r="AX105" i="18" s="1"/>
  <c r="AY105" i="18" s="1"/>
  <c r="AZ105" i="18" s="1"/>
  <c r="BA105" i="18" s="1"/>
  <c r="M41" i="9"/>
  <c r="Y103" i="9" s="1"/>
  <c r="AQ37" i="18"/>
  <c r="AX37" i="18" s="1"/>
  <c r="AY37" i="18" s="1"/>
  <c r="AZ37" i="18" s="1"/>
  <c r="BA37" i="18" s="1"/>
  <c r="AM37" i="18"/>
  <c r="L48" i="10"/>
  <c r="C176" i="13"/>
  <c r="L35" i="9"/>
  <c r="J48" i="10"/>
  <c r="B37" i="12"/>
  <c r="E37" i="12" s="1"/>
  <c r="AT37" i="7"/>
  <c r="AY37" i="7"/>
  <c r="AP61" i="7" s="1"/>
  <c r="AQ61" i="7" s="1"/>
  <c r="AR61" i="7" s="1"/>
  <c r="AL37" i="18"/>
  <c r="F18" i="5"/>
  <c r="F85" i="5" s="1"/>
  <c r="L18" i="5"/>
  <c r="J18" i="5"/>
  <c r="J65" i="8"/>
  <c r="M65" i="8" s="1"/>
  <c r="AA38" i="4"/>
  <c r="T38" i="4" l="1"/>
  <c r="D19" i="17"/>
  <c r="I85" i="5"/>
  <c r="L85" i="5" s="1"/>
  <c r="M85" i="5" s="1"/>
  <c r="R18" i="5"/>
  <c r="W38" i="4" s="1"/>
  <c r="H65" i="8" s="1"/>
  <c r="M18" i="5"/>
  <c r="V38" i="4"/>
  <c r="G65" i="8" s="1"/>
  <c r="X38" i="4"/>
  <c r="I65" i="8" s="1"/>
  <c r="AS61" i="7"/>
  <c r="AZ37" i="7"/>
  <c r="AS37" i="18"/>
  <c r="AX99" i="18" s="1"/>
  <c r="AY99" i="18" s="1"/>
  <c r="AZ99" i="18" s="1"/>
  <c r="BA99" i="18" s="1"/>
  <c r="M35" i="9"/>
  <c r="Y97" i="9" s="1"/>
  <c r="EI35" i="9"/>
  <c r="ED35" i="9"/>
  <c r="DS35" i="9"/>
  <c r="DZ35" i="9" s="1"/>
  <c r="EE35" i="9" s="1"/>
  <c r="EJ35" i="9" s="1"/>
  <c r="DY35" i="9"/>
  <c r="DR35" i="9"/>
  <c r="Y35" i="9"/>
  <c r="J35" i="9"/>
  <c r="I177" i="13"/>
  <c r="L177" i="13" s="1"/>
  <c r="F176" i="13"/>
  <c r="O179" i="13"/>
  <c r="R179" i="13" s="1"/>
  <c r="D176" i="13"/>
  <c r="B227" i="13"/>
  <c r="P51" i="10"/>
  <c r="M49" i="10"/>
  <c r="BB37" i="18"/>
  <c r="BC37" i="18"/>
  <c r="DR103" i="9"/>
  <c r="DS103" i="9"/>
  <c r="ED103" i="9"/>
  <c r="Y227" i="9"/>
  <c r="Z227" i="9" s="1"/>
  <c r="AA227" i="9" s="1"/>
  <c r="AB227" i="9" s="1"/>
  <c r="EI103" i="9"/>
  <c r="DY103" i="9"/>
  <c r="Z103" i="9"/>
  <c r="AA103" i="9" s="1"/>
  <c r="AB103" i="9" s="1"/>
  <c r="BB105" i="18"/>
  <c r="BC105" i="18"/>
  <c r="D233" i="13"/>
  <c r="G233" i="13" s="1"/>
  <c r="G273" i="13" s="1"/>
  <c r="F233" i="13"/>
  <c r="F273" i="13" s="1"/>
  <c r="E233" i="13"/>
  <c r="P42" i="9"/>
  <c r="CB42" i="9" s="1"/>
  <c r="CC42" i="9" s="1"/>
  <c r="CD42" i="9" s="1"/>
  <c r="CE42" i="9" s="1"/>
  <c r="Q42" i="9"/>
  <c r="CB104" i="9" s="1"/>
  <c r="CC104" i="9" s="1"/>
  <c r="CD104" i="9" s="1"/>
  <c r="CE104" i="9" s="1"/>
  <c r="Y165" i="9"/>
  <c r="Z165" i="9" s="1"/>
  <c r="AA165" i="9" s="1"/>
  <c r="AB165" i="9" s="1"/>
  <c r="Z41" i="9"/>
  <c r="AA41" i="9" s="1"/>
  <c r="AB41" i="9" s="1"/>
  <c r="G13" i="17"/>
  <c r="E13" i="17"/>
  <c r="H13" i="17"/>
  <c r="E59" i="8"/>
  <c r="F59" i="8" s="1"/>
  <c r="U32" i="4"/>
  <c r="AP330" i="7"/>
  <c r="DC57" i="9"/>
  <c r="T40" i="4"/>
  <c r="D21" i="17"/>
  <c r="I87" i="5"/>
  <c r="L87" i="5" s="1"/>
  <c r="M87" i="5" s="1"/>
  <c r="M20" i="5"/>
  <c r="R20" i="5"/>
  <c r="W40" i="4" s="1"/>
  <c r="H67" i="8" s="1"/>
  <c r="V40" i="4"/>
  <c r="G67" i="8" s="1"/>
  <c r="X40" i="4"/>
  <c r="I67" i="8" s="1"/>
  <c r="AS59" i="7"/>
  <c r="AZ35" i="7"/>
  <c r="AS35" i="18"/>
  <c r="AX97" i="18" s="1"/>
  <c r="AY97" i="18" s="1"/>
  <c r="AZ97" i="18" s="1"/>
  <c r="BA97" i="18" s="1"/>
  <c r="M33" i="9"/>
  <c r="Y95" i="9" s="1"/>
  <c r="DS33" i="9"/>
  <c r="DZ33" i="9" s="1"/>
  <c r="EE33" i="9" s="1"/>
  <c r="EJ33" i="9" s="1"/>
  <c r="Y33" i="9"/>
  <c r="ED33" i="9"/>
  <c r="J33" i="9"/>
  <c r="EI33" i="9"/>
  <c r="DY33" i="9"/>
  <c r="DR33" i="9"/>
  <c r="F174" i="13"/>
  <c r="D174" i="13"/>
  <c r="B225" i="13"/>
  <c r="O177" i="13"/>
  <c r="R177" i="13" s="1"/>
  <c r="I175" i="13"/>
  <c r="L175" i="13" s="1"/>
  <c r="O176" i="13"/>
  <c r="R176" i="13" s="1"/>
  <c r="I174" i="13"/>
  <c r="L174" i="13" s="1"/>
  <c r="O172" i="13"/>
  <c r="R172" i="13" s="1"/>
  <c r="U168" i="13"/>
  <c r="X168" i="13" s="1"/>
  <c r="I173" i="13"/>
  <c r="L173" i="13" s="1"/>
  <c r="O175" i="13"/>
  <c r="R175" i="13" s="1"/>
  <c r="U171" i="13"/>
  <c r="X171" i="13" s="1"/>
  <c r="U169" i="13"/>
  <c r="X169" i="13" s="1"/>
  <c r="U170" i="13"/>
  <c r="X170" i="13" s="1"/>
  <c r="U177" i="13"/>
  <c r="X177" i="13" s="1"/>
  <c r="O173" i="13"/>
  <c r="R173" i="13" s="1"/>
  <c r="U176" i="13"/>
  <c r="X176" i="13" s="1"/>
  <c r="O174" i="13"/>
  <c r="R174" i="13" s="1"/>
  <c r="U173" i="13"/>
  <c r="X173" i="13" s="1"/>
  <c r="U174" i="13"/>
  <c r="X174" i="13" s="1"/>
  <c r="U175" i="13"/>
  <c r="X175" i="13" s="1"/>
  <c r="U172" i="13"/>
  <c r="X172" i="13" s="1"/>
  <c r="X188" i="13" s="1"/>
  <c r="X193" i="13" s="1"/>
  <c r="M47" i="10"/>
  <c r="P49" i="10"/>
  <c r="P48" i="10"/>
  <c r="M45" i="10"/>
  <c r="P44" i="10"/>
  <c r="P47" i="10"/>
  <c r="P46" i="10"/>
  <c r="P45" i="10"/>
  <c r="AY35" i="18"/>
  <c r="AZ35" i="18" s="1"/>
  <c r="BA35" i="18" s="1"/>
  <c r="AX45" i="18"/>
  <c r="N67" i="8"/>
  <c r="O67" i="8" s="1"/>
  <c r="N69" i="8"/>
  <c r="O69" i="8" s="1"/>
  <c r="N65" i="8"/>
  <c r="O65" i="8" s="1"/>
  <c r="N63" i="8"/>
  <c r="O63" i="8" s="1"/>
  <c r="N64" i="8"/>
  <c r="O64" i="8" s="1"/>
  <c r="N68" i="8"/>
  <c r="O68" i="8" s="1"/>
  <c r="N66" i="8"/>
  <c r="O66" i="8" s="1"/>
  <c r="AB41" i="4"/>
  <c r="AC41" i="4" s="1"/>
  <c r="AB39" i="4"/>
  <c r="AC39" i="4" s="1"/>
  <c r="AB40" i="4"/>
  <c r="AC40" i="4" s="1"/>
  <c r="AB38" i="4"/>
  <c r="AC38" i="4" s="1"/>
  <c r="AB37" i="4"/>
  <c r="AC37" i="4" s="1"/>
  <c r="AB36" i="4"/>
  <c r="AC36" i="4" s="1"/>
  <c r="AB42" i="4"/>
  <c r="AC42" i="4" s="1"/>
  <c r="T36" i="4"/>
  <c r="D17" i="17"/>
  <c r="I83" i="5"/>
  <c r="L83" i="5" s="1"/>
  <c r="M83" i="5" s="1"/>
  <c r="X36" i="4"/>
  <c r="I63" i="8" s="1"/>
  <c r="M16" i="5"/>
  <c r="R16" i="5"/>
  <c r="W36" i="4" s="1"/>
  <c r="H63" i="8" s="1"/>
  <c r="V36" i="4"/>
  <c r="G63" i="8" s="1"/>
  <c r="L47" i="5"/>
  <c r="AS63" i="7"/>
  <c r="AZ39" i="7"/>
  <c r="AS39" i="18"/>
  <c r="AX101" i="18" s="1"/>
  <c r="AY101" i="18" s="1"/>
  <c r="AZ101" i="18" s="1"/>
  <c r="BA101" i="18" s="1"/>
  <c r="M37" i="9"/>
  <c r="Y99" i="9" s="1"/>
  <c r="DR37" i="9"/>
  <c r="ED37" i="9"/>
  <c r="EI37" i="9"/>
  <c r="DY37" i="9"/>
  <c r="DS37" i="9"/>
  <c r="DZ37" i="9" s="1"/>
  <c r="EE37" i="9" s="1"/>
  <c r="EJ37" i="9" s="1"/>
  <c r="Y37" i="9"/>
  <c r="J37" i="9"/>
  <c r="O181" i="13"/>
  <c r="R181" i="13" s="1"/>
  <c r="F178" i="13"/>
  <c r="I179" i="13"/>
  <c r="L179" i="13" s="1"/>
  <c r="D178" i="13"/>
  <c r="B229" i="13"/>
  <c r="M51" i="10"/>
  <c r="P53" i="10"/>
  <c r="BB39" i="18"/>
  <c r="BC39" i="18"/>
  <c r="T37" i="4"/>
  <c r="D18" i="17"/>
  <c r="I84" i="5"/>
  <c r="L84" i="5" s="1"/>
  <c r="M84" i="5" s="1"/>
  <c r="R17" i="5"/>
  <c r="W37" i="4" s="1"/>
  <c r="H64" i="8" s="1"/>
  <c r="V37" i="4"/>
  <c r="G64" i="8" s="1"/>
  <c r="M17" i="5"/>
  <c r="X37" i="4"/>
  <c r="I64" i="8" s="1"/>
  <c r="AS62" i="7"/>
  <c r="AZ38" i="7"/>
  <c r="AS38" i="18"/>
  <c r="AX100" i="18" s="1"/>
  <c r="AY100" i="18" s="1"/>
  <c r="AZ100" i="18" s="1"/>
  <c r="BA100" i="18" s="1"/>
  <c r="M36" i="9"/>
  <c r="Y98" i="9" s="1"/>
  <c r="DS36" i="9"/>
  <c r="DZ36" i="9" s="1"/>
  <c r="EE36" i="9" s="1"/>
  <c r="EJ36" i="9" s="1"/>
  <c r="ED36" i="9"/>
  <c r="EI36" i="9"/>
  <c r="DY36" i="9"/>
  <c r="DR36" i="9"/>
  <c r="Y36" i="9"/>
  <c r="J36" i="9"/>
  <c r="O180" i="13"/>
  <c r="R180" i="13" s="1"/>
  <c r="F177" i="13"/>
  <c r="D177" i="13"/>
  <c r="I178" i="13"/>
  <c r="L178" i="13" s="1"/>
  <c r="B228" i="13"/>
  <c r="M50" i="10"/>
  <c r="P52" i="10"/>
  <c r="BC38" i="18"/>
  <c r="BB38" i="18"/>
  <c r="G181" i="13"/>
  <c r="J182" i="13"/>
  <c r="M182" i="13" s="1"/>
  <c r="D232" i="13"/>
  <c r="G232" i="13" s="1"/>
  <c r="G272" i="13" s="1"/>
  <c r="E232" i="13"/>
  <c r="F232" i="13"/>
  <c r="F272" i="13" s="1"/>
  <c r="O41" i="9"/>
  <c r="Y164" i="9"/>
  <c r="Z164" i="9" s="1"/>
  <c r="AA164" i="9" s="1"/>
  <c r="AB164" i="9" s="1"/>
  <c r="Z40" i="9"/>
  <c r="AA40" i="9" s="1"/>
  <c r="AB40" i="9" s="1"/>
  <c r="N54" i="10"/>
  <c r="AR43" i="18" s="1"/>
  <c r="O54" i="10"/>
  <c r="AT43" i="18" s="1"/>
  <c r="BH105" i="18" s="1"/>
  <c r="BB104" i="18"/>
  <c r="BC104" i="18"/>
  <c r="EI102" i="9"/>
  <c r="DY102" i="9"/>
  <c r="DS102" i="9"/>
  <c r="DZ102" i="9" s="1"/>
  <c r="EE102" i="9" s="1"/>
  <c r="EJ102" i="9" s="1"/>
  <c r="DR102" i="9"/>
  <c r="Z102" i="9"/>
  <c r="AA102" i="9" s="1"/>
  <c r="AB102" i="9" s="1"/>
  <c r="ED102" i="9"/>
  <c r="Y226" i="9"/>
  <c r="Z226" i="9" s="1"/>
  <c r="AA226" i="9" s="1"/>
  <c r="AB226" i="9" s="1"/>
  <c r="U33" i="4"/>
  <c r="E60" i="8"/>
  <c r="F60" i="8" s="1"/>
  <c r="E14" i="17"/>
  <c r="G14" i="17"/>
  <c r="H14" i="17"/>
  <c r="F234" i="13"/>
  <c r="F274" i="13" s="1"/>
  <c r="E234" i="13"/>
  <c r="D234" i="13"/>
  <c r="G234" i="13" s="1"/>
  <c r="G274" i="13" s="1"/>
  <c r="Z42" i="9"/>
  <c r="AA42" i="9" s="1"/>
  <c r="AB42" i="9" s="1"/>
  <c r="Y166" i="9"/>
  <c r="Z166" i="9" s="1"/>
  <c r="AA166" i="9" s="1"/>
  <c r="AB166" i="9" s="1"/>
  <c r="Z104" i="9"/>
  <c r="AA104" i="9" s="1"/>
  <c r="AB104" i="9" s="1"/>
  <c r="Y228" i="9"/>
  <c r="Z228" i="9" s="1"/>
  <c r="AA228" i="9" s="1"/>
  <c r="AB228" i="9" s="1"/>
  <c r="EI104" i="9"/>
  <c r="DS104" i="9"/>
  <c r="DZ104" i="9" s="1"/>
  <c r="EE104" i="9" s="1"/>
  <c r="EJ104" i="9" s="1"/>
  <c r="DR104" i="9"/>
  <c r="ED104" i="9"/>
  <c r="DY104" i="9"/>
  <c r="BB106" i="18"/>
  <c r="BC106" i="18"/>
  <c r="G12" i="17"/>
  <c r="E12" i="17"/>
  <c r="H12" i="17" s="1"/>
  <c r="U31" i="4"/>
  <c r="E58" i="8"/>
  <c r="F58" i="8" s="1"/>
  <c r="I81" i="5"/>
  <c r="R14" i="5"/>
  <c r="W34" i="4" s="1"/>
  <c r="H61" i="8" s="1"/>
  <c r="M14" i="5"/>
  <c r="V34" i="4"/>
  <c r="G61" i="8" s="1"/>
  <c r="X34" i="4"/>
  <c r="I61" i="8" s="1"/>
  <c r="D15" i="17"/>
  <c r="T34" i="4"/>
  <c r="BC41" i="18"/>
  <c r="BB41" i="18"/>
  <c r="D180" i="13"/>
  <c r="F180" i="13"/>
  <c r="B231" i="13"/>
  <c r="I181" i="13"/>
  <c r="L181" i="13" s="1"/>
  <c r="M53" i="10"/>
  <c r="N53" i="10" s="1"/>
  <c r="AR42" i="18" s="1"/>
  <c r="P55" i="10"/>
  <c r="M39" i="9"/>
  <c r="Y101" i="9" s="1"/>
  <c r="AS41" i="18"/>
  <c r="AX103" i="18" s="1"/>
  <c r="AY103" i="18" s="1"/>
  <c r="AZ103" i="18" s="1"/>
  <c r="BA103" i="18" s="1"/>
  <c r="O53" i="10"/>
  <c r="AT42" i="18" s="1"/>
  <c r="BH104" i="18" s="1"/>
  <c r="AS65" i="7"/>
  <c r="AZ41" i="7"/>
  <c r="DY39" i="9"/>
  <c r="EI39" i="9"/>
  <c r="Y39" i="9"/>
  <c r="DR39" i="9"/>
  <c r="J39" i="9"/>
  <c r="ED39" i="9"/>
  <c r="DS39" i="9"/>
  <c r="DZ39" i="9" s="1"/>
  <c r="EE39" i="9" s="1"/>
  <c r="EJ39" i="9" s="1"/>
  <c r="T39" i="4"/>
  <c r="D20" i="17"/>
  <c r="I86" i="5"/>
  <c r="L86" i="5" s="1"/>
  <c r="M86" i="5" s="1"/>
  <c r="R19" i="5"/>
  <c r="W39" i="4" s="1"/>
  <c r="H66" i="8" s="1"/>
  <c r="V39" i="4"/>
  <c r="G66" i="8" s="1"/>
  <c r="X39" i="4"/>
  <c r="I66" i="8" s="1"/>
  <c r="M19" i="5"/>
  <c r="AS60" i="7"/>
  <c r="AZ36" i="7"/>
  <c r="AS36" i="18"/>
  <c r="AX98" i="18" s="1"/>
  <c r="AY98" i="18" s="1"/>
  <c r="AZ98" i="18" s="1"/>
  <c r="BA98" i="18" s="1"/>
  <c r="M34" i="9"/>
  <c r="Y96" i="9" s="1"/>
  <c r="DR34" i="9"/>
  <c r="EI34" i="9"/>
  <c r="DS34" i="9"/>
  <c r="DZ34" i="9" s="1"/>
  <c r="EE34" i="9" s="1"/>
  <c r="EJ34" i="9" s="1"/>
  <c r="DY34" i="9"/>
  <c r="ED34" i="9"/>
  <c r="Y34" i="9"/>
  <c r="J34" i="9"/>
  <c r="I176" i="13"/>
  <c r="L176" i="13" s="1"/>
  <c r="D175" i="13"/>
  <c r="F175" i="13"/>
  <c r="O178" i="13"/>
  <c r="R178" i="13" s="1"/>
  <c r="B226" i="13"/>
  <c r="M46" i="10"/>
  <c r="M48" i="10"/>
  <c r="P50" i="10"/>
  <c r="BC36" i="18"/>
  <c r="BB36" i="18"/>
  <c r="AJ2" i="18"/>
  <c r="AJ3" i="18" s="1"/>
  <c r="T35" i="4"/>
  <c r="D16" i="17"/>
  <c r="I82" i="5"/>
  <c r="L82" i="5" s="1"/>
  <c r="X35" i="4"/>
  <c r="I62" i="8" s="1"/>
  <c r="M15" i="5"/>
  <c r="R15" i="5"/>
  <c r="W35" i="4" s="1"/>
  <c r="H62" i="8" s="1"/>
  <c r="V35" i="4"/>
  <c r="G62" i="8" s="1"/>
  <c r="AS64" i="7"/>
  <c r="AZ40" i="7"/>
  <c r="AS40" i="18"/>
  <c r="AX102" i="18" s="1"/>
  <c r="AY102" i="18" s="1"/>
  <c r="AZ102" i="18" s="1"/>
  <c r="BA102" i="18" s="1"/>
  <c r="M38" i="9"/>
  <c r="Y100" i="9" s="1"/>
  <c r="DY38" i="9"/>
  <c r="DS38" i="9"/>
  <c r="DZ38" i="9" s="1"/>
  <c r="EE38" i="9" s="1"/>
  <c r="EJ38" i="9" s="1"/>
  <c r="DR38" i="9"/>
  <c r="EI38" i="9"/>
  <c r="ED38" i="9"/>
  <c r="Y38" i="9"/>
  <c r="J38" i="9"/>
  <c r="D179" i="13"/>
  <c r="F179" i="13"/>
  <c r="I180" i="13"/>
  <c r="L180" i="13" s="1"/>
  <c r="B230" i="13"/>
  <c r="P54" i="10"/>
  <c r="M52" i="10"/>
  <c r="BB40" i="18"/>
  <c r="BC40" i="18"/>
  <c r="AD156" i="9"/>
  <c r="AC156" i="9"/>
  <c r="AC32" i="9"/>
  <c r="AD32" i="9"/>
  <c r="AI34" i="18" s="1"/>
  <c r="AC218" i="9"/>
  <c r="AD218" i="9"/>
  <c r="AC94" i="9"/>
  <c r="AD94" i="9"/>
  <c r="AZ33" i="18"/>
  <c r="AY45" i="18"/>
  <c r="F186" i="13"/>
  <c r="F191" i="13" s="1"/>
  <c r="F187" i="13"/>
  <c r="F192" i="13" s="1"/>
  <c r="F185" i="13"/>
  <c r="F190" i="13" s="1"/>
  <c r="R186" i="13"/>
  <c r="R191" i="13" s="1"/>
  <c r="R185" i="13"/>
  <c r="R190" i="13" s="1"/>
  <c r="R187" i="13"/>
  <c r="R192" i="13" s="1"/>
  <c r="V166" i="13"/>
  <c r="Y166" i="13" s="1"/>
  <c r="V167" i="13"/>
  <c r="Y167" i="13" s="1"/>
  <c r="G172" i="13"/>
  <c r="P171" i="13"/>
  <c r="S171" i="13" s="1"/>
  <c r="J171" i="13"/>
  <c r="M171" i="13" s="1"/>
  <c r="J172" i="13"/>
  <c r="M172" i="13" s="1"/>
  <c r="P170" i="13"/>
  <c r="S170" i="13" s="1"/>
  <c r="V168" i="13"/>
  <c r="Y168" i="13" s="1"/>
  <c r="J173" i="13"/>
  <c r="M173" i="13" s="1"/>
  <c r="P172" i="13"/>
  <c r="S172" i="13" s="1"/>
  <c r="V170" i="13"/>
  <c r="Y170" i="13" s="1"/>
  <c r="V174" i="13"/>
  <c r="Y174" i="13" s="1"/>
  <c r="V171" i="13"/>
  <c r="Y171" i="13" s="1"/>
  <c r="P175" i="13"/>
  <c r="S175" i="13" s="1"/>
  <c r="P174" i="13"/>
  <c r="S174" i="13" s="1"/>
  <c r="V169" i="13"/>
  <c r="Y169" i="13" s="1"/>
  <c r="V177" i="13"/>
  <c r="Y177" i="13" s="1"/>
  <c r="V175" i="13"/>
  <c r="Y175" i="13" s="1"/>
  <c r="V172" i="13"/>
  <c r="Y172" i="13" s="1"/>
  <c r="V176" i="13"/>
  <c r="Y176" i="13" s="1"/>
  <c r="V173" i="13"/>
  <c r="Y173" i="13" s="1"/>
  <c r="L185" i="13"/>
  <c r="L190" i="13" s="1"/>
  <c r="L187" i="13"/>
  <c r="L192" i="13" s="1"/>
  <c r="L186" i="13"/>
  <c r="L191" i="13" s="1"/>
  <c r="D223" i="13"/>
  <c r="G223" i="13" s="1"/>
  <c r="G263" i="13" s="1"/>
  <c r="E223" i="13"/>
  <c r="F223" i="13"/>
  <c r="F263" i="13" s="1"/>
  <c r="X185" i="13"/>
  <c r="X187" i="13"/>
  <c r="X192" i="13" s="1"/>
  <c r="AV2" i="7"/>
  <c r="AV3" i="7" s="1"/>
  <c r="EI44" i="9"/>
  <c r="EJ47" i="9" s="1"/>
  <c r="EJ48" i="9"/>
  <c r="EJ54" i="9" s="1"/>
  <c r="G39" i="13" s="1"/>
  <c r="DR44" i="9"/>
  <c r="DS47" i="9" s="1"/>
  <c r="DS48" i="9"/>
  <c r="DS54" i="9" s="1"/>
  <c r="G36" i="13" s="1"/>
  <c r="ED44" i="9"/>
  <c r="EE48" i="9" s="1"/>
  <c r="EE47" i="9"/>
  <c r="EE54" i="9" s="1"/>
  <c r="G38" i="13" s="1"/>
  <c r="AI152" i="9"/>
  <c r="CB152" i="9"/>
  <c r="Y155" i="9"/>
  <c r="Z31" i="9"/>
  <c r="Y43" i="9"/>
  <c r="S29" i="9"/>
  <c r="O30" i="9"/>
  <c r="O31" i="9"/>
  <c r="S30" i="9"/>
  <c r="S31" i="9"/>
  <c r="O32" i="9"/>
  <c r="S33" i="9"/>
  <c r="S34" i="9"/>
  <c r="DY44" i="9"/>
  <c r="DZ47" i="9" s="1"/>
  <c r="DZ48" i="9"/>
  <c r="DZ54" i="9" s="1"/>
  <c r="G37" i="13" s="1"/>
  <c r="Q42" i="10"/>
  <c r="R42" i="10"/>
  <c r="N43" i="10"/>
  <c r="AR32" i="18" s="1"/>
  <c r="O43" i="10"/>
  <c r="AT32" i="18" s="1"/>
  <c r="BH94" i="18" s="1"/>
  <c r="N44" i="10"/>
  <c r="AR33" i="18" s="1"/>
  <c r="O44" i="10"/>
  <c r="AT33" i="18" s="1"/>
  <c r="BH95" i="18" s="1"/>
  <c r="Q43" i="10"/>
  <c r="R43" i="10"/>
  <c r="AY95" i="18"/>
  <c r="AX107" i="18"/>
  <c r="Y93" i="9"/>
  <c r="U28" i="9"/>
  <c r="U42" i="4"/>
  <c r="E69" i="8"/>
  <c r="F69" i="8" s="1"/>
  <c r="G23" i="17"/>
  <c r="E23" i="17"/>
  <c r="H23" i="17"/>
  <c r="CB214" i="9" l="1"/>
  <c r="AI214" i="9"/>
  <c r="ED93" i="9"/>
  <c r="Z93" i="9"/>
  <c r="DY93" i="9"/>
  <c r="EI93" i="9"/>
  <c r="DR93" i="9"/>
  <c r="DS93" i="9"/>
  <c r="DZ93" i="9" s="1"/>
  <c r="EE93" i="9" s="1"/>
  <c r="EJ93" i="9" s="1"/>
  <c r="Y217" i="9"/>
  <c r="Y105" i="9"/>
  <c r="AZ95" i="18"/>
  <c r="AY107" i="18"/>
  <c r="BR95" i="18"/>
  <c r="BI95" i="18"/>
  <c r="BJ95" i="18" s="1"/>
  <c r="BK95" i="18" s="1"/>
  <c r="BR94" i="18"/>
  <c r="BI94" i="18"/>
  <c r="T34" i="9"/>
  <c r="U34" i="9"/>
  <c r="U33" i="9"/>
  <c r="T33" i="9"/>
  <c r="Q32" i="9"/>
  <c r="P32" i="9"/>
  <c r="U31" i="9"/>
  <c r="T31" i="9"/>
  <c r="T30" i="9"/>
  <c r="U30" i="9"/>
  <c r="P31" i="9"/>
  <c r="Q31" i="9"/>
  <c r="P30" i="9"/>
  <c r="Q30" i="9"/>
  <c r="U29" i="9"/>
  <c r="T29" i="9"/>
  <c r="AA31" i="9"/>
  <c r="Z155" i="9"/>
  <c r="CC152" i="9"/>
  <c r="AS152" i="9"/>
  <c r="AJ152" i="9"/>
  <c r="BC152" i="9"/>
  <c r="X190" i="13"/>
  <c r="X186" i="13"/>
  <c r="X191" i="13" s="1"/>
  <c r="V224" i="13"/>
  <c r="Y224" i="13" s="1"/>
  <c r="O224" i="13"/>
  <c r="R224" i="13" s="1"/>
  <c r="I224" i="13"/>
  <c r="L224" i="13" s="1"/>
  <c r="U224" i="13"/>
  <c r="X224" i="13" s="1"/>
  <c r="U223" i="13"/>
  <c r="X223" i="13" s="1"/>
  <c r="V223" i="13"/>
  <c r="Y223" i="13" s="1"/>
  <c r="O223" i="13"/>
  <c r="R223" i="13" s="1"/>
  <c r="I223" i="13"/>
  <c r="L223" i="13" s="1"/>
  <c r="J223" i="13"/>
  <c r="M223" i="13" s="1"/>
  <c r="J224" i="13"/>
  <c r="M224" i="13" s="1"/>
  <c r="P223" i="13"/>
  <c r="S223" i="13" s="1"/>
  <c r="P224" i="13"/>
  <c r="S224" i="13" s="1"/>
  <c r="Y188" i="13"/>
  <c r="Y193" i="13" s="1"/>
  <c r="Y187" i="13"/>
  <c r="Y192" i="13" s="1"/>
  <c r="Y185" i="13"/>
  <c r="AX49" i="18"/>
  <c r="BA33" i="18"/>
  <c r="AZ45" i="18"/>
  <c r="N52" i="10"/>
  <c r="AR41" i="18" s="1"/>
  <c r="O52" i="10"/>
  <c r="AT41" i="18" s="1"/>
  <c r="BH103" i="18" s="1"/>
  <c r="D230" i="13"/>
  <c r="G230" i="13" s="1"/>
  <c r="G270" i="13" s="1"/>
  <c r="F230" i="13"/>
  <c r="F270" i="13" s="1"/>
  <c r="E230" i="13"/>
  <c r="J180" i="13"/>
  <c r="M180" i="13" s="1"/>
  <c r="G179" i="13"/>
  <c r="S41" i="9"/>
  <c r="O39" i="9"/>
  <c r="Z38" i="9"/>
  <c r="AA38" i="9" s="1"/>
  <c r="AB38" i="9" s="1"/>
  <c r="Y162" i="9"/>
  <c r="Z162" i="9" s="1"/>
  <c r="AA162" i="9" s="1"/>
  <c r="AB162" i="9" s="1"/>
  <c r="ED100" i="9"/>
  <c r="EI100" i="9"/>
  <c r="DY100" i="9"/>
  <c r="DR100" i="9"/>
  <c r="Z100" i="9"/>
  <c r="AA100" i="9" s="1"/>
  <c r="AB100" i="9" s="1"/>
  <c r="Y224" i="9"/>
  <c r="Z224" i="9" s="1"/>
  <c r="AA224" i="9" s="1"/>
  <c r="AB224" i="9" s="1"/>
  <c r="DS100" i="9"/>
  <c r="DZ100" i="9" s="1"/>
  <c r="EE100" i="9" s="1"/>
  <c r="EJ100" i="9" s="1"/>
  <c r="BB102" i="18"/>
  <c r="BC102" i="18"/>
  <c r="M82" i="5"/>
  <c r="L96" i="5"/>
  <c r="E16" i="17"/>
  <c r="G16" i="17"/>
  <c r="H16" i="17"/>
  <c r="E62" i="8"/>
  <c r="F62" i="8" s="1"/>
  <c r="U35" i="4"/>
  <c r="Q50" i="10"/>
  <c r="R50" i="10"/>
  <c r="N48" i="10"/>
  <c r="AR37" i="18" s="1"/>
  <c r="O48" i="10"/>
  <c r="AT37" i="18" s="1"/>
  <c r="BH99" i="18" s="1"/>
  <c r="N46" i="10"/>
  <c r="AR35" i="18" s="1"/>
  <c r="O46" i="10"/>
  <c r="AT35" i="18" s="1"/>
  <c r="BH97" i="18" s="1"/>
  <c r="F226" i="13"/>
  <c r="F266" i="13" s="1"/>
  <c r="D226" i="13"/>
  <c r="G226" i="13" s="1"/>
  <c r="G266" i="13" s="1"/>
  <c r="E226" i="13"/>
  <c r="P173" i="13"/>
  <c r="S173" i="13" s="1"/>
  <c r="G175" i="13"/>
  <c r="P178" i="13"/>
  <c r="S178" i="13" s="1"/>
  <c r="J176" i="13"/>
  <c r="M176" i="13" s="1"/>
  <c r="S32" i="9"/>
  <c r="O35" i="9"/>
  <c r="S37" i="9"/>
  <c r="Y158" i="9"/>
  <c r="Z158" i="9" s="1"/>
  <c r="AA158" i="9" s="1"/>
  <c r="AB158" i="9" s="1"/>
  <c r="Z34" i="9"/>
  <c r="AA34" i="9" s="1"/>
  <c r="AB34" i="9" s="1"/>
  <c r="DY96" i="9"/>
  <c r="Z96" i="9"/>
  <c r="AA96" i="9" s="1"/>
  <c r="AB96" i="9" s="1"/>
  <c r="DR96" i="9"/>
  <c r="ED96" i="9"/>
  <c r="EI96" i="9"/>
  <c r="Y220" i="9"/>
  <c r="Z220" i="9" s="1"/>
  <c r="AA220" i="9" s="1"/>
  <c r="AB220" i="9" s="1"/>
  <c r="DS96" i="9"/>
  <c r="DZ96" i="9" s="1"/>
  <c r="EE96" i="9" s="1"/>
  <c r="EJ96" i="9" s="1"/>
  <c r="BC98" i="18"/>
  <c r="BB98" i="18"/>
  <c r="E20" i="17"/>
  <c r="G20" i="17"/>
  <c r="H20" i="17"/>
  <c r="U39" i="4"/>
  <c r="E66" i="8"/>
  <c r="F66" i="8" s="1"/>
  <c r="O40" i="9"/>
  <c r="S42" i="9"/>
  <c r="Z39" i="9"/>
  <c r="AA39" i="9" s="1"/>
  <c r="AB39" i="9" s="1"/>
  <c r="Y163" i="9"/>
  <c r="Z163" i="9" s="1"/>
  <c r="AA163" i="9" s="1"/>
  <c r="AB163" i="9" s="1"/>
  <c r="BR104" i="18"/>
  <c r="BI104" i="18"/>
  <c r="BJ104" i="18" s="1"/>
  <c r="BK104" i="18" s="1"/>
  <c r="BB103" i="18"/>
  <c r="BC103" i="18"/>
  <c r="Z101" i="9"/>
  <c r="AA101" i="9" s="1"/>
  <c r="AB101" i="9" s="1"/>
  <c r="DY101" i="9"/>
  <c r="Y225" i="9"/>
  <c r="Z225" i="9" s="1"/>
  <c r="AA225" i="9" s="1"/>
  <c r="AB225" i="9" s="1"/>
  <c r="EI101" i="9"/>
  <c r="DR101" i="9"/>
  <c r="DS101" i="9"/>
  <c r="DZ101" i="9" s="1"/>
  <c r="EE101" i="9" s="1"/>
  <c r="EJ101" i="9" s="1"/>
  <c r="ED101" i="9"/>
  <c r="E231" i="13"/>
  <c r="F231" i="13"/>
  <c r="F271" i="13" s="1"/>
  <c r="D231" i="13"/>
  <c r="G231" i="13" s="1"/>
  <c r="G271" i="13" s="1"/>
  <c r="J181" i="13"/>
  <c r="M181" i="13" s="1"/>
  <c r="G180" i="13"/>
  <c r="U34" i="4"/>
  <c r="E61" i="8"/>
  <c r="F61" i="8" s="1"/>
  <c r="E15" i="17"/>
  <c r="G15" i="17"/>
  <c r="H15" i="17"/>
  <c r="I96" i="5"/>
  <c r="I98" i="5" s="1"/>
  <c r="J102" i="5" s="1"/>
  <c r="R12" i="17"/>
  <c r="I12" i="17"/>
  <c r="AD228" i="9"/>
  <c r="AC228" i="9"/>
  <c r="AD104" i="9"/>
  <c r="AC104" i="9"/>
  <c r="AC166" i="9"/>
  <c r="AD166" i="9"/>
  <c r="AC42" i="9"/>
  <c r="AD42" i="9"/>
  <c r="AI44" i="18" s="1"/>
  <c r="AD226" i="9"/>
  <c r="AC226" i="9"/>
  <c r="AC102" i="9"/>
  <c r="AD102" i="9"/>
  <c r="BR105" i="18"/>
  <c r="BI105" i="18"/>
  <c r="BJ105" i="18" s="1"/>
  <c r="BK105" i="18" s="1"/>
  <c r="AD40" i="9"/>
  <c r="AI42" i="18" s="1"/>
  <c r="AC40" i="9"/>
  <c r="AC164" i="9"/>
  <c r="AD164" i="9"/>
  <c r="P41" i="9"/>
  <c r="CB41" i="9" s="1"/>
  <c r="CC41" i="9" s="1"/>
  <c r="CD41" i="9" s="1"/>
  <c r="CE41" i="9" s="1"/>
  <c r="Q41" i="9"/>
  <c r="CB103" i="9" s="1"/>
  <c r="CC103" i="9" s="1"/>
  <c r="CD103" i="9" s="1"/>
  <c r="CE103" i="9" s="1"/>
  <c r="J234" i="13"/>
  <c r="M234" i="13" s="1"/>
  <c r="I234" i="13"/>
  <c r="L234" i="13" s="1"/>
  <c r="Q52" i="10"/>
  <c r="R52" i="10"/>
  <c r="N50" i="10"/>
  <c r="AR39" i="18" s="1"/>
  <c r="O50" i="10"/>
  <c r="AT39" i="18" s="1"/>
  <c r="BH101" i="18" s="1"/>
  <c r="F228" i="13"/>
  <c r="F268" i="13" s="1"/>
  <c r="D228" i="13"/>
  <c r="G228" i="13" s="1"/>
  <c r="G268" i="13" s="1"/>
  <c r="E228" i="13"/>
  <c r="P180" i="13"/>
  <c r="S180" i="13" s="1"/>
  <c r="G177" i="13"/>
  <c r="J178" i="13"/>
  <c r="M178" i="13" s="1"/>
  <c r="O37" i="9"/>
  <c r="S39" i="9"/>
  <c r="Y160" i="9"/>
  <c r="Z160" i="9" s="1"/>
  <c r="AA160" i="9" s="1"/>
  <c r="AB160" i="9" s="1"/>
  <c r="Z36" i="9"/>
  <c r="AA36" i="9" s="1"/>
  <c r="AB36" i="9" s="1"/>
  <c r="DR98" i="9"/>
  <c r="DY98" i="9"/>
  <c r="ED98" i="9"/>
  <c r="EI98" i="9"/>
  <c r="Y222" i="9"/>
  <c r="Z222" i="9" s="1"/>
  <c r="AA222" i="9" s="1"/>
  <c r="AB222" i="9" s="1"/>
  <c r="Z98" i="9"/>
  <c r="AA98" i="9" s="1"/>
  <c r="AB98" i="9" s="1"/>
  <c r="DS98" i="9"/>
  <c r="DZ98" i="9" s="1"/>
  <c r="EE98" i="9" s="1"/>
  <c r="EJ98" i="9" s="1"/>
  <c r="BB100" i="18"/>
  <c r="BC100" i="18"/>
  <c r="E18" i="17"/>
  <c r="G18" i="17"/>
  <c r="H18" i="17"/>
  <c r="E64" i="8"/>
  <c r="F64" i="8" s="1"/>
  <c r="U37" i="4"/>
  <c r="Q53" i="10"/>
  <c r="R53" i="10"/>
  <c r="N51" i="10"/>
  <c r="AR40" i="18" s="1"/>
  <c r="O51" i="10"/>
  <c r="AT40" i="18" s="1"/>
  <c r="BH102" i="18" s="1"/>
  <c r="D229" i="13"/>
  <c r="G229" i="13" s="1"/>
  <c r="G269" i="13" s="1"/>
  <c r="F229" i="13"/>
  <c r="F269" i="13" s="1"/>
  <c r="E229" i="13"/>
  <c r="P181" i="13"/>
  <c r="S181" i="13" s="1"/>
  <c r="J179" i="13"/>
  <c r="M179" i="13" s="1"/>
  <c r="G178" i="13"/>
  <c r="G188" i="13" s="1"/>
  <c r="G193" i="13" s="1"/>
  <c r="F188" i="13"/>
  <c r="F193" i="13" s="1"/>
  <c r="O38" i="9"/>
  <c r="S40" i="9"/>
  <c r="Z37" i="9"/>
  <c r="AA37" i="9" s="1"/>
  <c r="AB37" i="9" s="1"/>
  <c r="Y161" i="9"/>
  <c r="Z161" i="9" s="1"/>
  <c r="AA161" i="9" s="1"/>
  <c r="AB161" i="9" s="1"/>
  <c r="DR99" i="9"/>
  <c r="DY99" i="9"/>
  <c r="EI99" i="9"/>
  <c r="ED99" i="9"/>
  <c r="Z99" i="9"/>
  <c r="AA99" i="9" s="1"/>
  <c r="AB99" i="9" s="1"/>
  <c r="Y223" i="9"/>
  <c r="Z223" i="9" s="1"/>
  <c r="AA223" i="9" s="1"/>
  <c r="AB223" i="9" s="1"/>
  <c r="DS99" i="9"/>
  <c r="DZ99" i="9" s="1"/>
  <c r="EE99" i="9" s="1"/>
  <c r="EJ99" i="9" s="1"/>
  <c r="BC101" i="18"/>
  <c r="BB101" i="18"/>
  <c r="N25" i="5"/>
  <c r="M47" i="5"/>
  <c r="G57" i="5"/>
  <c r="G59" i="5" s="1"/>
  <c r="G63" i="5" s="1"/>
  <c r="J63" i="5"/>
  <c r="L63" i="5"/>
  <c r="H117" i="5"/>
  <c r="AD29" i="5"/>
  <c r="AD28" i="5"/>
  <c r="AD27" i="5"/>
  <c r="AD25" i="5"/>
  <c r="AD24" i="5"/>
  <c r="AD20" i="5"/>
  <c r="AD19" i="5"/>
  <c r="AE29" i="5"/>
  <c r="AD22" i="5"/>
  <c r="AD23" i="5"/>
  <c r="AD21" i="5"/>
  <c r="AD14" i="5"/>
  <c r="AD11" i="5"/>
  <c r="AD16" i="5"/>
  <c r="AD26" i="5"/>
  <c r="AD17" i="5"/>
  <c r="AD12" i="5"/>
  <c r="AD18" i="5"/>
  <c r="AD13" i="5"/>
  <c r="AD15" i="5"/>
  <c r="E17" i="17"/>
  <c r="G17" i="17"/>
  <c r="H17" i="17"/>
  <c r="U36" i="4"/>
  <c r="E63" i="8"/>
  <c r="F63" i="8" s="1"/>
  <c r="BB35" i="18"/>
  <c r="BC35" i="18"/>
  <c r="Q45" i="10"/>
  <c r="R45" i="10"/>
  <c r="Q46" i="10"/>
  <c r="R46" i="10"/>
  <c r="Q47" i="10"/>
  <c r="R47" i="10"/>
  <c r="Q44" i="10"/>
  <c r="R44" i="10"/>
  <c r="N45" i="10"/>
  <c r="AR34" i="18" s="1"/>
  <c r="O45" i="10"/>
  <c r="AT34" i="18" s="1"/>
  <c r="BH96" i="18" s="1"/>
  <c r="Q48" i="10"/>
  <c r="R48" i="10"/>
  <c r="Q49" i="10"/>
  <c r="R49" i="10"/>
  <c r="N47" i="10"/>
  <c r="AR36" i="18" s="1"/>
  <c r="O47" i="10"/>
  <c r="AT36" i="18" s="1"/>
  <c r="BH98" i="18" s="1"/>
  <c r="R188" i="13"/>
  <c r="R193" i="13" s="1"/>
  <c r="D225" i="13"/>
  <c r="G225" i="13" s="1"/>
  <c r="G265" i="13" s="1"/>
  <c r="F225" i="13"/>
  <c r="F265" i="13" s="1"/>
  <c r="E225" i="13"/>
  <c r="G174" i="13"/>
  <c r="J175" i="13"/>
  <c r="M175" i="13" s="1"/>
  <c r="P177" i="13"/>
  <c r="S177" i="13" s="1"/>
  <c r="J174" i="13"/>
  <c r="M174" i="13" s="1"/>
  <c r="P176" i="13"/>
  <c r="S176" i="13" s="1"/>
  <c r="O34" i="9"/>
  <c r="S36" i="9"/>
  <c r="O33" i="9"/>
  <c r="S35" i="9"/>
  <c r="Z33" i="9"/>
  <c r="Y157" i="9"/>
  <c r="Y219" i="9"/>
  <c r="Z219" i="9" s="1"/>
  <c r="AA219" i="9" s="1"/>
  <c r="AB219" i="9" s="1"/>
  <c r="DS95" i="9"/>
  <c r="DZ95" i="9" s="1"/>
  <c r="EE95" i="9" s="1"/>
  <c r="EJ95" i="9" s="1"/>
  <c r="DR95" i="9"/>
  <c r="ED95" i="9"/>
  <c r="EI95" i="9"/>
  <c r="DY95" i="9"/>
  <c r="Z95" i="9"/>
  <c r="AA95" i="9" s="1"/>
  <c r="AB95" i="9" s="1"/>
  <c r="BB97" i="18"/>
  <c r="BC97" i="18"/>
  <c r="E21" i="17"/>
  <c r="G21" i="17"/>
  <c r="H21" i="17"/>
  <c r="U40" i="4"/>
  <c r="E67" i="8"/>
  <c r="F67" i="8" s="1"/>
  <c r="AG359" i="7"/>
  <c r="M359" i="7"/>
  <c r="AP331" i="7"/>
  <c r="M347" i="7" s="1"/>
  <c r="R13" i="17"/>
  <c r="R14" i="17" s="1"/>
  <c r="R15" i="17" s="1"/>
  <c r="I13" i="17"/>
  <c r="AD41" i="9"/>
  <c r="AI43" i="18" s="1"/>
  <c r="AC41" i="9"/>
  <c r="AD165" i="9"/>
  <c r="AC165" i="9"/>
  <c r="CF104" i="9"/>
  <c r="CG104" i="9"/>
  <c r="CG42" i="9"/>
  <c r="CF42" i="9"/>
  <c r="AD103" i="9"/>
  <c r="AC103" i="9"/>
  <c r="AC227" i="9"/>
  <c r="AD227" i="9"/>
  <c r="DZ103" i="9"/>
  <c r="EE103" i="9" s="1"/>
  <c r="EJ103" i="9" s="1"/>
  <c r="N49" i="10"/>
  <c r="AR38" i="18" s="1"/>
  <c r="O49" i="10"/>
  <c r="AT38" i="18" s="1"/>
  <c r="BH100" i="18" s="1"/>
  <c r="Q51" i="10"/>
  <c r="R51" i="10"/>
  <c r="D227" i="13"/>
  <c r="G227" i="13" s="1"/>
  <c r="G267" i="13" s="1"/>
  <c r="F227" i="13"/>
  <c r="F267" i="13" s="1"/>
  <c r="E227" i="13"/>
  <c r="G176" i="13"/>
  <c r="P179" i="13"/>
  <c r="S179" i="13" s="1"/>
  <c r="J177" i="13"/>
  <c r="M177" i="13" s="1"/>
  <c r="M188" i="13" s="1"/>
  <c r="M193" i="13" s="1"/>
  <c r="L188" i="13"/>
  <c r="L193" i="13" s="1"/>
  <c r="O36" i="9"/>
  <c r="S38" i="9"/>
  <c r="Z35" i="9"/>
  <c r="AA35" i="9" s="1"/>
  <c r="AB35" i="9" s="1"/>
  <c r="Y159" i="9"/>
  <c r="Z159" i="9" s="1"/>
  <c r="AA159" i="9" s="1"/>
  <c r="AB159" i="9" s="1"/>
  <c r="EI97" i="9"/>
  <c r="DY97" i="9"/>
  <c r="ED97" i="9"/>
  <c r="DR97" i="9"/>
  <c r="Y221" i="9"/>
  <c r="Z221" i="9" s="1"/>
  <c r="AA221" i="9" s="1"/>
  <c r="AB221" i="9" s="1"/>
  <c r="Z97" i="9"/>
  <c r="AA97" i="9" s="1"/>
  <c r="AB97" i="9" s="1"/>
  <c r="DS97" i="9"/>
  <c r="DZ97" i="9" s="1"/>
  <c r="EE97" i="9" s="1"/>
  <c r="EJ97" i="9" s="1"/>
  <c r="BB99" i="18"/>
  <c r="BC99" i="18"/>
  <c r="E19" i="17"/>
  <c r="G19" i="17"/>
  <c r="H19" i="17"/>
  <c r="E65" i="8"/>
  <c r="F65" i="8" s="1"/>
  <c r="U38" i="4"/>
  <c r="AC97" i="9" l="1"/>
  <c r="AD97" i="9"/>
  <c r="AC221" i="9"/>
  <c r="AD221" i="9"/>
  <c r="AD159" i="9"/>
  <c r="AC159" i="9"/>
  <c r="AC35" i="9"/>
  <c r="AD35" i="9"/>
  <c r="AI37" i="18" s="1"/>
  <c r="U38" i="9"/>
  <c r="T38" i="9"/>
  <c r="P36" i="9"/>
  <c r="Q36" i="9"/>
  <c r="O232" i="13"/>
  <c r="R232" i="13" s="1"/>
  <c r="J229" i="13"/>
  <c r="M229" i="13" s="1"/>
  <c r="I229" i="13"/>
  <c r="L229" i="13" s="1"/>
  <c r="P232" i="13"/>
  <c r="S232" i="13" s="1"/>
  <c r="BI100" i="18"/>
  <c r="BJ100" i="18" s="1"/>
  <c r="BK100" i="18" s="1"/>
  <c r="BR100" i="18"/>
  <c r="W13" i="17"/>
  <c r="AC13" i="17" s="1"/>
  <c r="N13" i="17"/>
  <c r="AC95" i="9"/>
  <c r="AD95" i="9"/>
  <c r="AC219" i="9"/>
  <c r="AD219" i="9"/>
  <c r="Z157" i="9"/>
  <c r="AA157" i="9" s="1"/>
  <c r="AB157" i="9" s="1"/>
  <c r="Y167" i="9"/>
  <c r="AA33" i="9"/>
  <c r="AB33" i="9" s="1"/>
  <c r="Z43" i="9"/>
  <c r="T35" i="9"/>
  <c r="U35" i="9"/>
  <c r="P33" i="9"/>
  <c r="Q33" i="9"/>
  <c r="T36" i="9"/>
  <c r="U36" i="9"/>
  <c r="Q34" i="9"/>
  <c r="P34" i="9"/>
  <c r="S188" i="13"/>
  <c r="S193" i="13" s="1"/>
  <c r="M186" i="13"/>
  <c r="M191" i="13" s="1"/>
  <c r="M185" i="13"/>
  <c r="M190" i="13" s="1"/>
  <c r="M187" i="13"/>
  <c r="M192" i="13" s="1"/>
  <c r="G187" i="13"/>
  <c r="G192" i="13" s="1"/>
  <c r="G186" i="13"/>
  <c r="G191" i="13" s="1"/>
  <c r="G185" i="13"/>
  <c r="G190" i="13" s="1"/>
  <c r="I227" i="13"/>
  <c r="L227" i="13" s="1"/>
  <c r="O230" i="13"/>
  <c r="R230" i="13" s="1"/>
  <c r="J227" i="13"/>
  <c r="M227" i="13" s="1"/>
  <c r="P230" i="13"/>
  <c r="S230" i="13" s="1"/>
  <c r="I226" i="13"/>
  <c r="L226" i="13" s="1"/>
  <c r="O229" i="13"/>
  <c r="R229" i="13" s="1"/>
  <c r="P229" i="13"/>
  <c r="S229" i="13" s="1"/>
  <c r="J226" i="13"/>
  <c r="M226" i="13" s="1"/>
  <c r="U225" i="13"/>
  <c r="X225" i="13" s="1"/>
  <c r="J225" i="13"/>
  <c r="M225" i="13" s="1"/>
  <c r="V225" i="13"/>
  <c r="Y225" i="13" s="1"/>
  <c r="P225" i="13"/>
  <c r="S225" i="13" s="1"/>
  <c r="O225" i="13"/>
  <c r="R225" i="13" s="1"/>
  <c r="I225" i="13"/>
  <c r="L225" i="13" s="1"/>
  <c r="U230" i="13"/>
  <c r="X230" i="13" s="1"/>
  <c r="O227" i="13"/>
  <c r="R227" i="13" s="1"/>
  <c r="V234" i="13"/>
  <c r="Y234" i="13" s="1"/>
  <c r="V232" i="13"/>
  <c r="Y232" i="13" s="1"/>
  <c r="U229" i="13"/>
  <c r="X229" i="13" s="1"/>
  <c r="O228" i="13"/>
  <c r="R228" i="13" s="1"/>
  <c r="O226" i="13"/>
  <c r="R226" i="13" s="1"/>
  <c r="V226" i="13"/>
  <c r="Y226" i="13" s="1"/>
  <c r="U231" i="13"/>
  <c r="X231" i="13" s="1"/>
  <c r="U234" i="13"/>
  <c r="X234" i="13" s="1"/>
  <c r="U233" i="13"/>
  <c r="X233" i="13" s="1"/>
  <c r="V233" i="13"/>
  <c r="Y233" i="13" s="1"/>
  <c r="V231" i="13"/>
  <c r="Y231" i="13" s="1"/>
  <c r="U228" i="13"/>
  <c r="X228" i="13" s="1"/>
  <c r="P227" i="13"/>
  <c r="S227" i="13" s="1"/>
  <c r="U227" i="13"/>
  <c r="X227" i="13" s="1"/>
  <c r="V227" i="13"/>
  <c r="Y227" i="13" s="1"/>
  <c r="P228" i="13"/>
  <c r="S228" i="13" s="1"/>
  <c r="V230" i="13"/>
  <c r="Y230" i="13" s="1"/>
  <c r="V228" i="13"/>
  <c r="Y228" i="13" s="1"/>
  <c r="V229" i="13"/>
  <c r="Y229" i="13" s="1"/>
  <c r="U232" i="13"/>
  <c r="X232" i="13" s="1"/>
  <c r="U226" i="13"/>
  <c r="X226" i="13" s="1"/>
  <c r="P226" i="13"/>
  <c r="S226" i="13" s="1"/>
  <c r="BI98" i="18"/>
  <c r="BJ98" i="18" s="1"/>
  <c r="BK98" i="18" s="1"/>
  <c r="BR98" i="18"/>
  <c r="BI96" i="18"/>
  <c r="BJ96" i="18" s="1"/>
  <c r="BK96" i="18" s="1"/>
  <c r="BR96" i="18"/>
  <c r="BH107" i="18"/>
  <c r="C117" i="5"/>
  <c r="AE28" i="5"/>
  <c r="R83" i="5"/>
  <c r="AD5" i="5"/>
  <c r="AD4" i="5"/>
  <c r="C63" i="5" s="1"/>
  <c r="C65" i="5" s="1"/>
  <c r="AF29" i="5"/>
  <c r="B117" i="5" s="1"/>
  <c r="L65" i="5"/>
  <c r="L64" i="5"/>
  <c r="L66" i="5" s="1"/>
  <c r="H159" i="5"/>
  <c r="H161" i="5" s="1"/>
  <c r="G65" i="5"/>
  <c r="AC223" i="9"/>
  <c r="AD223" i="9"/>
  <c r="AC99" i="9"/>
  <c r="AD99" i="9"/>
  <c r="AC161" i="9"/>
  <c r="AD161" i="9"/>
  <c r="AD37" i="9"/>
  <c r="AI39" i="18" s="1"/>
  <c r="AC37" i="9"/>
  <c r="U40" i="9"/>
  <c r="T40" i="9"/>
  <c r="P38" i="9"/>
  <c r="Q38" i="9"/>
  <c r="J231" i="13"/>
  <c r="M231" i="13" s="1"/>
  <c r="I231" i="13"/>
  <c r="L231" i="13" s="1"/>
  <c r="P234" i="13"/>
  <c r="S234" i="13" s="1"/>
  <c r="O234" i="13"/>
  <c r="R234" i="13" s="1"/>
  <c r="BI102" i="18"/>
  <c r="BJ102" i="18" s="1"/>
  <c r="BK102" i="18" s="1"/>
  <c r="BR102" i="18"/>
  <c r="AC98" i="9"/>
  <c r="AD98" i="9"/>
  <c r="AC222" i="9"/>
  <c r="AD222" i="9"/>
  <c r="AD36" i="9"/>
  <c r="AI38" i="18" s="1"/>
  <c r="AC36" i="9"/>
  <c r="AC160" i="9"/>
  <c r="AD160" i="9"/>
  <c r="U39" i="9"/>
  <c r="T39" i="9"/>
  <c r="P37" i="9"/>
  <c r="Q37" i="9"/>
  <c r="I230" i="13"/>
  <c r="L230" i="13" s="1"/>
  <c r="J230" i="13"/>
  <c r="M230" i="13" s="1"/>
  <c r="P233" i="13"/>
  <c r="S233" i="13" s="1"/>
  <c r="O233" i="13"/>
  <c r="R233" i="13" s="1"/>
  <c r="BI101" i="18"/>
  <c r="BJ101" i="18" s="1"/>
  <c r="BK101" i="18" s="1"/>
  <c r="BR101" i="18"/>
  <c r="F90" i="13"/>
  <c r="F120" i="13" s="1"/>
  <c r="E7" i="13" s="1"/>
  <c r="L274" i="13"/>
  <c r="E83" i="13" s="1"/>
  <c r="L90" i="13"/>
  <c r="W120" i="13" s="1"/>
  <c r="W7" i="13" s="1"/>
  <c r="M274" i="13"/>
  <c r="L83" i="13" s="1"/>
  <c r="CG103" i="9"/>
  <c r="CF103" i="9"/>
  <c r="CG41" i="9"/>
  <c r="CF41" i="9"/>
  <c r="BL105" i="18"/>
  <c r="BM105" i="18"/>
  <c r="CB105" i="18"/>
  <c r="CC105" i="18" s="1"/>
  <c r="CD105" i="18" s="1"/>
  <c r="CE105" i="18" s="1"/>
  <c r="BS105" i="18"/>
  <c r="BT105" i="18" s="1"/>
  <c r="BU105" i="18" s="1"/>
  <c r="V12" i="17"/>
  <c r="S12" i="17"/>
  <c r="T12" i="17"/>
  <c r="U12" i="17"/>
  <c r="W12" i="17"/>
  <c r="N12" i="17"/>
  <c r="M12" i="17"/>
  <c r="L12" i="17"/>
  <c r="J12" i="17"/>
  <c r="K12" i="17"/>
  <c r="L103" i="5"/>
  <c r="L102" i="5"/>
  <c r="L104" i="5"/>
  <c r="I233" i="13"/>
  <c r="L233" i="13" s="1"/>
  <c r="J233" i="13"/>
  <c r="M233" i="13" s="1"/>
  <c r="AD225" i="9"/>
  <c r="AC225" i="9"/>
  <c r="AD101" i="9"/>
  <c r="AC101" i="9"/>
  <c r="BL104" i="18"/>
  <c r="BM104" i="18"/>
  <c r="BS104" i="18"/>
  <c r="BT104" i="18" s="1"/>
  <c r="BU104" i="18" s="1"/>
  <c r="CB104" i="18"/>
  <c r="CC104" i="18" s="1"/>
  <c r="CD104" i="18" s="1"/>
  <c r="CE104" i="18" s="1"/>
  <c r="AC163" i="9"/>
  <c r="AD163" i="9"/>
  <c r="AD39" i="9"/>
  <c r="AI41" i="18" s="1"/>
  <c r="AC39" i="9"/>
  <c r="T42" i="9"/>
  <c r="CB166" i="9" s="1"/>
  <c r="CC166" i="9" s="1"/>
  <c r="CD166" i="9" s="1"/>
  <c r="CE166" i="9" s="1"/>
  <c r="U42" i="9"/>
  <c r="CB228" i="9" s="1"/>
  <c r="CC228" i="9" s="1"/>
  <c r="CD228" i="9" s="1"/>
  <c r="CE228" i="9" s="1"/>
  <c r="Q40" i="9"/>
  <c r="P40" i="9"/>
  <c r="AD220" i="9"/>
  <c r="AC220" i="9"/>
  <c r="AD96" i="9"/>
  <c r="AC96" i="9"/>
  <c r="AC34" i="9"/>
  <c r="AD34" i="9"/>
  <c r="AI36" i="18" s="1"/>
  <c r="AC158" i="9"/>
  <c r="AD158" i="9"/>
  <c r="T37" i="9"/>
  <c r="U37" i="9"/>
  <c r="P35" i="9"/>
  <c r="Q35" i="9"/>
  <c r="T32" i="9"/>
  <c r="U32" i="9"/>
  <c r="S185" i="13"/>
  <c r="S190" i="13" s="1"/>
  <c r="S186" i="13"/>
  <c r="S191" i="13" s="1"/>
  <c r="S187" i="13"/>
  <c r="S192" i="13" s="1"/>
  <c r="P231" i="13"/>
  <c r="S231" i="13" s="1"/>
  <c r="O231" i="13"/>
  <c r="R231" i="13" s="1"/>
  <c r="I228" i="13"/>
  <c r="L228" i="13" s="1"/>
  <c r="J228" i="13"/>
  <c r="M228" i="13" s="1"/>
  <c r="BI97" i="18"/>
  <c r="BJ97" i="18" s="1"/>
  <c r="BK97" i="18" s="1"/>
  <c r="BR97" i="18"/>
  <c r="BI99" i="18"/>
  <c r="BJ99" i="18" s="1"/>
  <c r="BK99" i="18" s="1"/>
  <c r="BR99" i="18"/>
  <c r="R16" i="17"/>
  <c r="M96" i="5"/>
  <c r="R85" i="5"/>
  <c r="R87" i="5" s="1"/>
  <c r="L98" i="5"/>
  <c r="M98" i="5" s="1"/>
  <c r="AD224" i="9"/>
  <c r="AC224" i="9"/>
  <c r="AC100" i="9"/>
  <c r="AD100" i="9"/>
  <c r="AD162" i="9"/>
  <c r="AC162" i="9"/>
  <c r="AC38" i="9"/>
  <c r="AD38" i="9"/>
  <c r="AI40" i="18" s="1"/>
  <c r="P39" i="9"/>
  <c r="Q39" i="9"/>
  <c r="T41" i="9"/>
  <c r="CB165" i="9" s="1"/>
  <c r="CC165" i="9" s="1"/>
  <c r="CD165" i="9" s="1"/>
  <c r="CE165" i="9" s="1"/>
  <c r="U41" i="9"/>
  <c r="CB227" i="9" s="1"/>
  <c r="CC227" i="9" s="1"/>
  <c r="CD227" i="9" s="1"/>
  <c r="CE227" i="9" s="1"/>
  <c r="I232" i="13"/>
  <c r="L232" i="13" s="1"/>
  <c r="J232" i="13"/>
  <c r="M232" i="13" s="1"/>
  <c r="BI103" i="18"/>
  <c r="BJ103" i="18" s="1"/>
  <c r="BK103" i="18" s="1"/>
  <c r="BR103" i="18"/>
  <c r="AX48" i="18"/>
  <c r="AY46" i="18"/>
  <c r="BB33" i="18"/>
  <c r="BB45" i="18" s="1"/>
  <c r="BB46" i="18" s="1"/>
  <c r="AX54" i="18" s="1"/>
  <c r="BC33" i="18"/>
  <c r="BC45" i="18" s="1"/>
  <c r="BC46" i="18" s="1"/>
  <c r="AX51" i="18" s="1"/>
  <c r="BA45" i="18"/>
  <c r="BA46" i="18" s="1"/>
  <c r="AX52" i="18" s="1"/>
  <c r="AX55" i="18" s="1"/>
  <c r="AX53" i="18"/>
  <c r="Y190" i="13"/>
  <c r="Y186" i="13"/>
  <c r="Y191" i="13" s="1"/>
  <c r="S264" i="13"/>
  <c r="M73" i="13" s="1"/>
  <c r="M100" i="13"/>
  <c r="X130" i="13" s="1"/>
  <c r="X17" i="13" s="1"/>
  <c r="S263" i="13"/>
  <c r="M72" i="13" s="1"/>
  <c r="M101" i="13"/>
  <c r="X131" i="13" s="1"/>
  <c r="X18" i="13" s="1"/>
  <c r="L100" i="13"/>
  <c r="W130" i="13" s="1"/>
  <c r="W17" i="13" s="1"/>
  <c r="M264" i="13"/>
  <c r="L73" i="13" s="1"/>
  <c r="M263" i="13"/>
  <c r="L72" i="13" s="1"/>
  <c r="L101" i="13"/>
  <c r="W131" i="13" s="1"/>
  <c r="W18" i="13" s="1"/>
  <c r="L263" i="13"/>
  <c r="E72" i="13" s="1"/>
  <c r="F101" i="13"/>
  <c r="F131" i="13" s="1"/>
  <c r="E18" i="13" s="1"/>
  <c r="R263" i="13"/>
  <c r="F72" i="13" s="1"/>
  <c r="G101" i="13"/>
  <c r="G131" i="13" s="1"/>
  <c r="F18" i="13" s="1"/>
  <c r="N101" i="13"/>
  <c r="Y131" i="13" s="1"/>
  <c r="Y18" i="13" s="1"/>
  <c r="Y263" i="13"/>
  <c r="N72" i="13" s="1"/>
  <c r="H101" i="13"/>
  <c r="H131" i="13" s="1"/>
  <c r="G18" i="13" s="1"/>
  <c r="X263" i="13"/>
  <c r="G72" i="13" s="1"/>
  <c r="X264" i="13"/>
  <c r="G73" i="13" s="1"/>
  <c r="H100" i="13"/>
  <c r="H130" i="13" s="1"/>
  <c r="G17" i="13" s="1"/>
  <c r="F100" i="13"/>
  <c r="F130" i="13" s="1"/>
  <c r="E17" i="13" s="1"/>
  <c r="L264" i="13"/>
  <c r="E73" i="13" s="1"/>
  <c r="R264" i="13"/>
  <c r="F73" i="13" s="1"/>
  <c r="G100" i="13"/>
  <c r="G130" i="13" s="1"/>
  <c r="F17" i="13" s="1"/>
  <c r="N100" i="13"/>
  <c r="Y130" i="13" s="1"/>
  <c r="Y17" i="13" s="1"/>
  <c r="Y264" i="13"/>
  <c r="N73" i="13" s="1"/>
  <c r="BD152" i="9"/>
  <c r="AK152" i="9"/>
  <c r="AT152" i="9"/>
  <c r="CD152" i="9"/>
  <c r="AA155" i="9"/>
  <c r="Z167" i="9"/>
  <c r="AB31" i="9"/>
  <c r="AA43" i="9"/>
  <c r="Y46" i="9" s="1"/>
  <c r="CB153" i="9"/>
  <c r="AI153" i="9"/>
  <c r="AI215" i="9"/>
  <c r="CB215" i="9"/>
  <c r="CC215" i="9" s="1"/>
  <c r="CD215" i="9" s="1"/>
  <c r="CE215" i="9" s="1"/>
  <c r="CB92" i="9"/>
  <c r="AI92" i="9"/>
  <c r="BM30" i="9"/>
  <c r="BC30" i="9"/>
  <c r="CB30" i="9"/>
  <c r="AI30" i="9"/>
  <c r="AS30" i="9"/>
  <c r="AI93" i="9"/>
  <c r="CB93" i="9"/>
  <c r="CC93" i="9" s="1"/>
  <c r="CD93" i="9" s="1"/>
  <c r="CE93" i="9" s="1"/>
  <c r="AS31" i="9"/>
  <c r="AT31" i="9" s="1"/>
  <c r="AU31" i="9" s="1"/>
  <c r="AV31" i="9" s="1"/>
  <c r="BM31" i="9"/>
  <c r="BN31" i="9" s="1"/>
  <c r="BO31" i="9" s="1"/>
  <c r="BP31" i="9" s="1"/>
  <c r="BC31" i="9"/>
  <c r="BD31" i="9" s="1"/>
  <c r="BE31" i="9" s="1"/>
  <c r="BF31" i="9" s="1"/>
  <c r="CB31" i="9"/>
  <c r="CC31" i="9" s="1"/>
  <c r="CD31" i="9" s="1"/>
  <c r="CE31" i="9" s="1"/>
  <c r="AI31" i="9"/>
  <c r="AJ31" i="9" s="1"/>
  <c r="AK31" i="9" s="1"/>
  <c r="AL31" i="9" s="1"/>
  <c r="CB216" i="9"/>
  <c r="CC216" i="9" s="1"/>
  <c r="CD216" i="9" s="1"/>
  <c r="CE216" i="9" s="1"/>
  <c r="AI216" i="9"/>
  <c r="CB154" i="9"/>
  <c r="CC154" i="9" s="1"/>
  <c r="CD154" i="9" s="1"/>
  <c r="CE154" i="9" s="1"/>
  <c r="AI154" i="9"/>
  <c r="CB155" i="9"/>
  <c r="CC155" i="9" s="1"/>
  <c r="CD155" i="9" s="1"/>
  <c r="CE155" i="9" s="1"/>
  <c r="AI155" i="9"/>
  <c r="CB217" i="9"/>
  <c r="CC217" i="9" s="1"/>
  <c r="CD217" i="9" s="1"/>
  <c r="CE217" i="9" s="1"/>
  <c r="AI217" i="9"/>
  <c r="CB32" i="9"/>
  <c r="CC32" i="9" s="1"/>
  <c r="CD32" i="9" s="1"/>
  <c r="CE32" i="9" s="1"/>
  <c r="BM32" i="9"/>
  <c r="BN32" i="9" s="1"/>
  <c r="BO32" i="9" s="1"/>
  <c r="BP32" i="9" s="1"/>
  <c r="AI32" i="9"/>
  <c r="AJ32" i="9" s="1"/>
  <c r="AK32" i="9" s="1"/>
  <c r="AL32" i="9" s="1"/>
  <c r="AS32" i="9"/>
  <c r="AT32" i="9" s="1"/>
  <c r="AU32" i="9" s="1"/>
  <c r="AV32" i="9" s="1"/>
  <c r="BC32" i="9"/>
  <c r="BD32" i="9" s="1"/>
  <c r="BE32" i="9" s="1"/>
  <c r="BF32" i="9" s="1"/>
  <c r="CB94" i="9"/>
  <c r="CC94" i="9" s="1"/>
  <c r="CD94" i="9" s="1"/>
  <c r="CE94" i="9" s="1"/>
  <c r="AI94" i="9"/>
  <c r="CB157" i="9"/>
  <c r="CC157" i="9" s="1"/>
  <c r="CD157" i="9" s="1"/>
  <c r="CE157" i="9" s="1"/>
  <c r="AI157" i="9"/>
  <c r="CB219" i="9"/>
  <c r="CC219" i="9" s="1"/>
  <c r="CD219" i="9" s="1"/>
  <c r="CE219" i="9" s="1"/>
  <c r="AI219" i="9"/>
  <c r="CB220" i="9"/>
  <c r="CC220" i="9" s="1"/>
  <c r="CD220" i="9" s="1"/>
  <c r="CE220" i="9" s="1"/>
  <c r="AI220" i="9"/>
  <c r="CB158" i="9"/>
  <c r="CC158" i="9" s="1"/>
  <c r="CD158" i="9" s="1"/>
  <c r="CE158" i="9" s="1"/>
  <c r="AI158" i="9"/>
  <c r="BJ94" i="18"/>
  <c r="BI107" i="18"/>
  <c r="BS94" i="18"/>
  <c r="CB94" i="18"/>
  <c r="BR107" i="18"/>
  <c r="BM95" i="18"/>
  <c r="BL95" i="18"/>
  <c r="BS95" i="18"/>
  <c r="BT95" i="18" s="1"/>
  <c r="BU95" i="18" s="1"/>
  <c r="CB95" i="18"/>
  <c r="CC95" i="18" s="1"/>
  <c r="CD95" i="18" s="1"/>
  <c r="CE95" i="18" s="1"/>
  <c r="AX111" i="18"/>
  <c r="BA95" i="18"/>
  <c r="AZ107" i="18"/>
  <c r="Z217" i="9"/>
  <c r="Y229" i="9"/>
  <c r="DR106" i="9"/>
  <c r="DS109" i="9" s="1"/>
  <c r="DS110" i="9"/>
  <c r="DS116" i="9" s="1"/>
  <c r="Y36" i="13" s="1"/>
  <c r="EI106" i="9"/>
  <c r="EJ109" i="9"/>
  <c r="EJ110" i="9"/>
  <c r="EJ116" i="9" s="1"/>
  <c r="DY106" i="9"/>
  <c r="DZ110" i="9"/>
  <c r="DZ109" i="9"/>
  <c r="AA93" i="9"/>
  <c r="Z105" i="9"/>
  <c r="ED106" i="9"/>
  <c r="EE110" i="9"/>
  <c r="EE109" i="9"/>
  <c r="BC214" i="9"/>
  <c r="AJ214" i="9"/>
  <c r="AS214" i="9"/>
  <c r="CC214" i="9"/>
  <c r="CD214" i="9" l="1"/>
  <c r="AT214" i="9"/>
  <c r="AK214" i="9"/>
  <c r="BD214" i="9"/>
  <c r="EE116" i="9"/>
  <c r="Y38" i="13" s="1"/>
  <c r="Y109" i="9"/>
  <c r="AB93" i="9"/>
  <c r="AA105" i="9"/>
  <c r="DZ116" i="9"/>
  <c r="Y37" i="13" s="1"/>
  <c r="AA217" i="9"/>
  <c r="Z229" i="9"/>
  <c r="AX110" i="18"/>
  <c r="AU110" i="18" s="1"/>
  <c r="AY108" i="18"/>
  <c r="BB95" i="18"/>
  <c r="BB107" i="18" s="1"/>
  <c r="BB108" i="18" s="1"/>
  <c r="AX116" i="18" s="1"/>
  <c r="AU116" i="18" s="1"/>
  <c r="BC95" i="18"/>
  <c r="BC107" i="18" s="1"/>
  <c r="BC108" i="18" s="1"/>
  <c r="AX113" i="18" s="1"/>
  <c r="BA107" i="18"/>
  <c r="BA108" i="18" s="1"/>
  <c r="AX114" i="18" s="1"/>
  <c r="AU111" i="18"/>
  <c r="AX115" i="18"/>
  <c r="CF95" i="18"/>
  <c r="CG95" i="18"/>
  <c r="BV95" i="18"/>
  <c r="BW95" i="18"/>
  <c r="CC94" i="18"/>
  <c r="BT94" i="18"/>
  <c r="BH111" i="18"/>
  <c r="BK94" i="18"/>
  <c r="BJ107" i="18"/>
  <c r="AJ158" i="9"/>
  <c r="AK158" i="9" s="1"/>
  <c r="AL158" i="9" s="1"/>
  <c r="BM158" i="9"/>
  <c r="BN158" i="9" s="1"/>
  <c r="BO158" i="9" s="1"/>
  <c r="BP158" i="9" s="1"/>
  <c r="BC158" i="9"/>
  <c r="BD158" i="9" s="1"/>
  <c r="BE158" i="9" s="1"/>
  <c r="BF158" i="9" s="1"/>
  <c r="AS158" i="9"/>
  <c r="AT158" i="9" s="1"/>
  <c r="AU158" i="9" s="1"/>
  <c r="AV158" i="9" s="1"/>
  <c r="CG158" i="9"/>
  <c r="CF158" i="9"/>
  <c r="BC220" i="9"/>
  <c r="BD220" i="9" s="1"/>
  <c r="BE220" i="9" s="1"/>
  <c r="BF220" i="9" s="1"/>
  <c r="AJ220" i="9"/>
  <c r="AK220" i="9" s="1"/>
  <c r="AL220" i="9" s="1"/>
  <c r="AS220" i="9"/>
  <c r="AT220" i="9" s="1"/>
  <c r="AU220" i="9" s="1"/>
  <c r="AV220" i="9" s="1"/>
  <c r="BM220" i="9"/>
  <c r="BN220" i="9" s="1"/>
  <c r="BO220" i="9" s="1"/>
  <c r="BP220" i="9" s="1"/>
  <c r="CF220" i="9"/>
  <c r="CG220" i="9"/>
  <c r="AS219" i="9"/>
  <c r="AT219" i="9" s="1"/>
  <c r="AU219" i="9" s="1"/>
  <c r="AV219" i="9" s="1"/>
  <c r="BC219" i="9"/>
  <c r="BD219" i="9" s="1"/>
  <c r="BE219" i="9" s="1"/>
  <c r="BF219" i="9" s="1"/>
  <c r="AJ219" i="9"/>
  <c r="AK219" i="9" s="1"/>
  <c r="AL219" i="9" s="1"/>
  <c r="BM219" i="9"/>
  <c r="BN219" i="9" s="1"/>
  <c r="BO219" i="9" s="1"/>
  <c r="BP219" i="9" s="1"/>
  <c r="CG219" i="9"/>
  <c r="CF219" i="9"/>
  <c r="BC157" i="9"/>
  <c r="BD157" i="9" s="1"/>
  <c r="BE157" i="9" s="1"/>
  <c r="BF157" i="9" s="1"/>
  <c r="BM157" i="9"/>
  <c r="BN157" i="9" s="1"/>
  <c r="BO157" i="9" s="1"/>
  <c r="BP157" i="9" s="1"/>
  <c r="AJ157" i="9"/>
  <c r="AK157" i="9" s="1"/>
  <c r="AL157" i="9" s="1"/>
  <c r="AS157" i="9"/>
  <c r="AT157" i="9" s="1"/>
  <c r="AU157" i="9" s="1"/>
  <c r="AV157" i="9" s="1"/>
  <c r="CF157" i="9"/>
  <c r="CG157" i="9"/>
  <c r="BM94" i="9"/>
  <c r="BN94" i="9" s="1"/>
  <c r="BO94" i="9" s="1"/>
  <c r="BP94" i="9" s="1"/>
  <c r="AS94" i="9"/>
  <c r="AT94" i="9" s="1"/>
  <c r="AU94" i="9" s="1"/>
  <c r="AV94" i="9" s="1"/>
  <c r="AJ94" i="9"/>
  <c r="AK94" i="9" s="1"/>
  <c r="AL94" i="9" s="1"/>
  <c r="BC94" i="9"/>
  <c r="BD94" i="9" s="1"/>
  <c r="BE94" i="9" s="1"/>
  <c r="BF94" i="9" s="1"/>
  <c r="CF94" i="9"/>
  <c r="CG94" i="9"/>
  <c r="BG32" i="9"/>
  <c r="BH32" i="9"/>
  <c r="AW32" i="9"/>
  <c r="AX32" i="9"/>
  <c r="AM32" i="9"/>
  <c r="AN32" i="9"/>
  <c r="BQ32" i="9"/>
  <c r="BR32" i="9"/>
  <c r="CF32" i="9"/>
  <c r="CG32" i="9"/>
  <c r="BC217" i="9"/>
  <c r="BD217" i="9" s="1"/>
  <c r="BE217" i="9" s="1"/>
  <c r="BF217" i="9" s="1"/>
  <c r="AS217" i="9"/>
  <c r="AT217" i="9" s="1"/>
  <c r="AU217" i="9" s="1"/>
  <c r="AV217" i="9" s="1"/>
  <c r="AJ217" i="9"/>
  <c r="AK217" i="9" s="1"/>
  <c r="AL217" i="9" s="1"/>
  <c r="BM217" i="9"/>
  <c r="BN217" i="9" s="1"/>
  <c r="BO217" i="9" s="1"/>
  <c r="BP217" i="9" s="1"/>
  <c r="CG217" i="9"/>
  <c r="CF217" i="9"/>
  <c r="BM155" i="9"/>
  <c r="BN155" i="9" s="1"/>
  <c r="BO155" i="9" s="1"/>
  <c r="BP155" i="9" s="1"/>
  <c r="BC155" i="9"/>
  <c r="BD155" i="9" s="1"/>
  <c r="BE155" i="9" s="1"/>
  <c r="BF155" i="9" s="1"/>
  <c r="AJ155" i="9"/>
  <c r="AK155" i="9" s="1"/>
  <c r="AL155" i="9" s="1"/>
  <c r="AS155" i="9"/>
  <c r="AT155" i="9" s="1"/>
  <c r="AU155" i="9" s="1"/>
  <c r="AV155" i="9" s="1"/>
  <c r="CF155" i="9"/>
  <c r="CG155" i="9"/>
  <c r="AJ154" i="9"/>
  <c r="AK154" i="9" s="1"/>
  <c r="AL154" i="9" s="1"/>
  <c r="BC154" i="9"/>
  <c r="BD154" i="9" s="1"/>
  <c r="BE154" i="9" s="1"/>
  <c r="BF154" i="9" s="1"/>
  <c r="BM154" i="9"/>
  <c r="BN154" i="9" s="1"/>
  <c r="BO154" i="9" s="1"/>
  <c r="BP154" i="9" s="1"/>
  <c r="AS154" i="9"/>
  <c r="AT154" i="9" s="1"/>
  <c r="AU154" i="9" s="1"/>
  <c r="AV154" i="9" s="1"/>
  <c r="CF154" i="9"/>
  <c r="CG154" i="9"/>
  <c r="AJ216" i="9"/>
  <c r="AK216" i="9" s="1"/>
  <c r="AL216" i="9" s="1"/>
  <c r="AS216" i="9"/>
  <c r="AT216" i="9" s="1"/>
  <c r="AU216" i="9" s="1"/>
  <c r="AV216" i="9" s="1"/>
  <c r="BC216" i="9"/>
  <c r="BD216" i="9" s="1"/>
  <c r="BE216" i="9" s="1"/>
  <c r="BF216" i="9" s="1"/>
  <c r="BM216" i="9"/>
  <c r="BN216" i="9" s="1"/>
  <c r="BO216" i="9" s="1"/>
  <c r="BP216" i="9" s="1"/>
  <c r="CF216" i="9"/>
  <c r="CG216" i="9"/>
  <c r="AM31" i="9"/>
  <c r="AN31" i="9"/>
  <c r="CG31" i="9"/>
  <c r="CF31" i="9"/>
  <c r="BG31" i="9"/>
  <c r="BH31" i="9"/>
  <c r="BQ31" i="9"/>
  <c r="BR31" i="9"/>
  <c r="AW31" i="9"/>
  <c r="AX31" i="9"/>
  <c r="CF93" i="9"/>
  <c r="CG93" i="9"/>
  <c r="AS93" i="9"/>
  <c r="AT93" i="9" s="1"/>
  <c r="AU93" i="9" s="1"/>
  <c r="AV93" i="9" s="1"/>
  <c r="BC93" i="9"/>
  <c r="BD93" i="9" s="1"/>
  <c r="BE93" i="9" s="1"/>
  <c r="BF93" i="9" s="1"/>
  <c r="BM93" i="9"/>
  <c r="BN93" i="9" s="1"/>
  <c r="BO93" i="9" s="1"/>
  <c r="BP93" i="9" s="1"/>
  <c r="AJ93" i="9"/>
  <c r="AK93" i="9" s="1"/>
  <c r="AL93" i="9" s="1"/>
  <c r="AT30" i="9"/>
  <c r="AJ30" i="9"/>
  <c r="CC30" i="9"/>
  <c r="BD30" i="9"/>
  <c r="BN30" i="9"/>
  <c r="BM92" i="9"/>
  <c r="BC92" i="9"/>
  <c r="AJ92" i="9"/>
  <c r="AS92" i="9"/>
  <c r="CC92" i="9"/>
  <c r="CF215" i="9"/>
  <c r="CG215" i="9"/>
  <c r="AJ215" i="9"/>
  <c r="BC215" i="9"/>
  <c r="BM215" i="9"/>
  <c r="AS215" i="9"/>
  <c r="AJ153" i="9"/>
  <c r="BC153" i="9"/>
  <c r="BM153" i="9"/>
  <c r="AS153" i="9"/>
  <c r="CC153" i="9"/>
  <c r="D18" i="9"/>
  <c r="A18" i="9"/>
  <c r="A11" i="9"/>
  <c r="AD31" i="9"/>
  <c r="AC31" i="9"/>
  <c r="AB43" i="9"/>
  <c r="AB44" i="9" s="1"/>
  <c r="Y50" i="9" s="1"/>
  <c r="Y53" i="9" s="1"/>
  <c r="Y171" i="9"/>
  <c r="AB155" i="9"/>
  <c r="AA167" i="9"/>
  <c r="CE152" i="9"/>
  <c r="AU152" i="9"/>
  <c r="AL152" i="9"/>
  <c r="BE152" i="9"/>
  <c r="AX56" i="18"/>
  <c r="CB103" i="18"/>
  <c r="CC103" i="18" s="1"/>
  <c r="CD103" i="18" s="1"/>
  <c r="CE103" i="18" s="1"/>
  <c r="BS103" i="18"/>
  <c r="BT103" i="18" s="1"/>
  <c r="BU103" i="18" s="1"/>
  <c r="BL103" i="18"/>
  <c r="BM103" i="18"/>
  <c r="M272" i="13"/>
  <c r="L81" i="13" s="1"/>
  <c r="L92" i="13"/>
  <c r="W122" i="13" s="1"/>
  <c r="W9" i="13" s="1"/>
  <c r="L272" i="13"/>
  <c r="E81" i="13" s="1"/>
  <c r="F92" i="13"/>
  <c r="F122" i="13" s="1"/>
  <c r="E9" i="13" s="1"/>
  <c r="CG227" i="9"/>
  <c r="CF227" i="9"/>
  <c r="CG165" i="9"/>
  <c r="CF165" i="9"/>
  <c r="CB101" i="9"/>
  <c r="CC101" i="9" s="1"/>
  <c r="CD101" i="9" s="1"/>
  <c r="CE101" i="9" s="1"/>
  <c r="AI101" i="9"/>
  <c r="CB39" i="9"/>
  <c r="CC39" i="9" s="1"/>
  <c r="CD39" i="9" s="1"/>
  <c r="CE39" i="9" s="1"/>
  <c r="AI39" i="9"/>
  <c r="AJ39" i="9" s="1"/>
  <c r="AK39" i="9" s="1"/>
  <c r="AL39" i="9" s="1"/>
  <c r="BC39" i="9"/>
  <c r="BD39" i="9" s="1"/>
  <c r="BE39" i="9" s="1"/>
  <c r="BF39" i="9" s="1"/>
  <c r="AS39" i="9"/>
  <c r="AT39" i="9" s="1"/>
  <c r="AU39" i="9" s="1"/>
  <c r="AV39" i="9" s="1"/>
  <c r="BM39" i="9"/>
  <c r="BN39" i="9" s="1"/>
  <c r="BO39" i="9" s="1"/>
  <c r="BP39" i="9" s="1"/>
  <c r="R17" i="17"/>
  <c r="R18" i="17" s="1"/>
  <c r="R19" i="17"/>
  <c r="R20" i="17" s="1"/>
  <c r="R21" i="17" s="1"/>
  <c r="R22" i="17"/>
  <c r="BS99" i="18"/>
  <c r="BT99" i="18" s="1"/>
  <c r="BU99" i="18" s="1"/>
  <c r="CB99" i="18"/>
  <c r="CC99" i="18" s="1"/>
  <c r="CD99" i="18" s="1"/>
  <c r="CE99" i="18" s="1"/>
  <c r="BM99" i="18"/>
  <c r="BL99" i="18"/>
  <c r="CB97" i="18"/>
  <c r="CC97" i="18" s="1"/>
  <c r="CD97" i="18" s="1"/>
  <c r="CE97" i="18" s="1"/>
  <c r="BS97" i="18"/>
  <c r="BT97" i="18" s="1"/>
  <c r="BU97" i="18" s="1"/>
  <c r="BL97" i="18"/>
  <c r="BM97" i="18"/>
  <c r="L96" i="13"/>
  <c r="W126" i="13" s="1"/>
  <c r="W13" i="13" s="1"/>
  <c r="M268" i="13"/>
  <c r="L77" i="13" s="1"/>
  <c r="L268" i="13"/>
  <c r="E77" i="13" s="1"/>
  <c r="F96" i="13"/>
  <c r="F126" i="13" s="1"/>
  <c r="E13" i="13" s="1"/>
  <c r="G93" i="13"/>
  <c r="G123" i="13" s="1"/>
  <c r="F10" i="13" s="1"/>
  <c r="R271" i="13"/>
  <c r="F80" i="13" s="1"/>
  <c r="M93" i="13"/>
  <c r="X123" i="13" s="1"/>
  <c r="X10" i="13" s="1"/>
  <c r="S271" i="13"/>
  <c r="M80" i="13" s="1"/>
  <c r="CB218" i="9"/>
  <c r="AI218" i="9"/>
  <c r="CB156" i="9"/>
  <c r="AI156" i="9"/>
  <c r="CB97" i="9"/>
  <c r="CC97" i="9" s="1"/>
  <c r="CD97" i="9" s="1"/>
  <c r="CE97" i="9" s="1"/>
  <c r="AI97" i="9"/>
  <c r="CB35" i="9"/>
  <c r="CC35" i="9" s="1"/>
  <c r="CD35" i="9" s="1"/>
  <c r="CE35" i="9" s="1"/>
  <c r="BC35" i="9"/>
  <c r="BD35" i="9" s="1"/>
  <c r="BE35" i="9" s="1"/>
  <c r="BF35" i="9" s="1"/>
  <c r="AI35" i="9"/>
  <c r="AJ35" i="9" s="1"/>
  <c r="AK35" i="9" s="1"/>
  <c r="AL35" i="9" s="1"/>
  <c r="AS35" i="9"/>
  <c r="AT35" i="9" s="1"/>
  <c r="AU35" i="9" s="1"/>
  <c r="AV35" i="9" s="1"/>
  <c r="BM35" i="9"/>
  <c r="BN35" i="9" s="1"/>
  <c r="BO35" i="9" s="1"/>
  <c r="BP35" i="9" s="1"/>
  <c r="CB223" i="9"/>
  <c r="CC223" i="9" s="1"/>
  <c r="CD223" i="9" s="1"/>
  <c r="CE223" i="9" s="1"/>
  <c r="AI223" i="9"/>
  <c r="CB161" i="9"/>
  <c r="CC161" i="9" s="1"/>
  <c r="CD161" i="9" s="1"/>
  <c r="CE161" i="9" s="1"/>
  <c r="AI161" i="9"/>
  <c r="AI40" i="9"/>
  <c r="AJ40" i="9" s="1"/>
  <c r="AK40" i="9" s="1"/>
  <c r="AL40" i="9" s="1"/>
  <c r="CB40" i="9"/>
  <c r="CC40" i="9" s="1"/>
  <c r="CD40" i="9" s="1"/>
  <c r="CE40" i="9" s="1"/>
  <c r="AS40" i="9"/>
  <c r="AT40" i="9" s="1"/>
  <c r="AU40" i="9" s="1"/>
  <c r="AV40" i="9" s="1"/>
  <c r="BC40" i="9"/>
  <c r="BD40" i="9" s="1"/>
  <c r="BE40" i="9" s="1"/>
  <c r="BF40" i="9" s="1"/>
  <c r="BM40" i="9"/>
  <c r="BN40" i="9" s="1"/>
  <c r="BO40" i="9" s="1"/>
  <c r="BP40" i="9" s="1"/>
  <c r="AI102" i="9"/>
  <c r="CB102" i="9"/>
  <c r="CC102" i="9" s="1"/>
  <c r="CD102" i="9" s="1"/>
  <c r="CE102" i="9" s="1"/>
  <c r="CG228" i="9"/>
  <c r="CF228" i="9"/>
  <c r="CG166" i="9"/>
  <c r="CF166" i="9"/>
  <c r="CG104" i="18"/>
  <c r="CF104" i="18"/>
  <c r="BV104" i="18"/>
  <c r="BW104" i="18"/>
  <c r="M273" i="13"/>
  <c r="L82" i="13" s="1"/>
  <c r="L91" i="13"/>
  <c r="W121" i="13" s="1"/>
  <c r="W8" i="13" s="1"/>
  <c r="F91" i="13"/>
  <c r="F121" i="13" s="1"/>
  <c r="E8" i="13" s="1"/>
  <c r="L273" i="13"/>
  <c r="E82" i="13" s="1"/>
  <c r="L105" i="5"/>
  <c r="AA12" i="17"/>
  <c r="V13" i="17"/>
  <c r="Z12" i="17"/>
  <c r="U13" i="17"/>
  <c r="Y12" i="17"/>
  <c r="S13" i="17"/>
  <c r="T13" i="17"/>
  <c r="AB12" i="17"/>
  <c r="BW105" i="18"/>
  <c r="BV105" i="18"/>
  <c r="CG105" i="18"/>
  <c r="CF105" i="18"/>
  <c r="BS101" i="18"/>
  <c r="BT101" i="18" s="1"/>
  <c r="BU101" i="18" s="1"/>
  <c r="CB101" i="18"/>
  <c r="CC101" i="18" s="1"/>
  <c r="CD101" i="18" s="1"/>
  <c r="CE101" i="18" s="1"/>
  <c r="BM101" i="18"/>
  <c r="BL101" i="18"/>
  <c r="G91" i="13"/>
  <c r="G121" i="13" s="1"/>
  <c r="F8" i="13" s="1"/>
  <c r="R273" i="13"/>
  <c r="F82" i="13" s="1"/>
  <c r="S273" i="13"/>
  <c r="M82" i="13" s="1"/>
  <c r="M91" i="13"/>
  <c r="X121" i="13" s="1"/>
  <c r="X8" i="13" s="1"/>
  <c r="L94" i="13"/>
  <c r="W124" i="13" s="1"/>
  <c r="W11" i="13" s="1"/>
  <c r="M270" i="13"/>
  <c r="L79" i="13" s="1"/>
  <c r="L270" i="13"/>
  <c r="E79" i="13" s="1"/>
  <c r="F94" i="13"/>
  <c r="F124" i="13" s="1"/>
  <c r="E11" i="13" s="1"/>
  <c r="CB99" i="9"/>
  <c r="CC99" i="9" s="1"/>
  <c r="CD99" i="9" s="1"/>
  <c r="CE99" i="9" s="1"/>
  <c r="AI99" i="9"/>
  <c r="CB37" i="9"/>
  <c r="CC37" i="9" s="1"/>
  <c r="CD37" i="9" s="1"/>
  <c r="CE37" i="9" s="1"/>
  <c r="AI37" i="9"/>
  <c r="AJ37" i="9" s="1"/>
  <c r="AK37" i="9" s="1"/>
  <c r="AL37" i="9" s="1"/>
  <c r="BC37" i="9"/>
  <c r="BD37" i="9" s="1"/>
  <c r="BE37" i="9" s="1"/>
  <c r="BF37" i="9" s="1"/>
  <c r="BM37" i="9"/>
  <c r="BN37" i="9" s="1"/>
  <c r="BO37" i="9" s="1"/>
  <c r="BP37" i="9" s="1"/>
  <c r="AS37" i="9"/>
  <c r="AT37" i="9" s="1"/>
  <c r="AU37" i="9" s="1"/>
  <c r="AV37" i="9" s="1"/>
  <c r="CB163" i="9"/>
  <c r="CC163" i="9" s="1"/>
  <c r="CD163" i="9" s="1"/>
  <c r="CE163" i="9" s="1"/>
  <c r="AI163" i="9"/>
  <c r="CB225" i="9"/>
  <c r="CC225" i="9" s="1"/>
  <c r="CD225" i="9" s="1"/>
  <c r="CE225" i="9" s="1"/>
  <c r="AI225" i="9"/>
  <c r="BS102" i="18"/>
  <c r="BT102" i="18" s="1"/>
  <c r="BU102" i="18" s="1"/>
  <c r="CB102" i="18"/>
  <c r="CC102" i="18" s="1"/>
  <c r="CD102" i="18" s="1"/>
  <c r="CE102" i="18" s="1"/>
  <c r="BM102" i="18"/>
  <c r="BL102" i="18"/>
  <c r="R274" i="13"/>
  <c r="F83" i="13" s="1"/>
  <c r="G90" i="13"/>
  <c r="G120" i="13" s="1"/>
  <c r="F7" i="13" s="1"/>
  <c r="S274" i="13"/>
  <c r="M83" i="13" s="1"/>
  <c r="M90" i="13"/>
  <c r="X120" i="13" s="1"/>
  <c r="X7" i="13" s="1"/>
  <c r="F93" i="13"/>
  <c r="F123" i="13" s="1"/>
  <c r="E10" i="13" s="1"/>
  <c r="L271" i="13"/>
  <c r="E80" i="13" s="1"/>
  <c r="M271" i="13"/>
  <c r="L80" i="13" s="1"/>
  <c r="L93" i="13"/>
  <c r="W123" i="13" s="1"/>
  <c r="W10" i="13" s="1"/>
  <c r="CB100" i="9"/>
  <c r="CC100" i="9" s="1"/>
  <c r="CD100" i="9" s="1"/>
  <c r="CE100" i="9" s="1"/>
  <c r="AI100" i="9"/>
  <c r="AS38" i="9"/>
  <c r="AT38" i="9" s="1"/>
  <c r="AU38" i="9" s="1"/>
  <c r="AV38" i="9" s="1"/>
  <c r="BC38" i="9"/>
  <c r="BD38" i="9" s="1"/>
  <c r="BE38" i="9" s="1"/>
  <c r="BF38" i="9" s="1"/>
  <c r="CB38" i="9"/>
  <c r="CC38" i="9" s="1"/>
  <c r="CD38" i="9" s="1"/>
  <c r="CE38" i="9" s="1"/>
  <c r="AI38" i="9"/>
  <c r="AJ38" i="9" s="1"/>
  <c r="AK38" i="9" s="1"/>
  <c r="AL38" i="9" s="1"/>
  <c r="BM38" i="9"/>
  <c r="BN38" i="9" s="1"/>
  <c r="BO38" i="9" s="1"/>
  <c r="BP38" i="9" s="1"/>
  <c r="CB164" i="9"/>
  <c r="CC164" i="9" s="1"/>
  <c r="CD164" i="9" s="1"/>
  <c r="CE164" i="9" s="1"/>
  <c r="AI164" i="9"/>
  <c r="CB226" i="9"/>
  <c r="CC226" i="9" s="1"/>
  <c r="CD226" i="9" s="1"/>
  <c r="CE226" i="9" s="1"/>
  <c r="AI226" i="9"/>
  <c r="B10" i="19"/>
  <c r="B10" i="16"/>
  <c r="Z37" i="10"/>
  <c r="E117" i="5"/>
  <c r="R89" i="5"/>
  <c r="AF28" i="5"/>
  <c r="B118" i="5" s="1"/>
  <c r="C118" i="5"/>
  <c r="AE27" i="5"/>
  <c r="C10" i="16"/>
  <c r="C10" i="19"/>
  <c r="C120" i="19" s="1"/>
  <c r="AA37" i="10"/>
  <c r="CB96" i="18"/>
  <c r="BS96" i="18"/>
  <c r="BL96" i="18"/>
  <c r="BM96" i="18"/>
  <c r="CB98" i="18"/>
  <c r="CC98" i="18" s="1"/>
  <c r="CD98" i="18" s="1"/>
  <c r="CE98" i="18" s="1"/>
  <c r="BS98" i="18"/>
  <c r="BT98" i="18" s="1"/>
  <c r="BU98" i="18" s="1"/>
  <c r="BL98" i="18"/>
  <c r="BM98" i="18"/>
  <c r="M98" i="13"/>
  <c r="X128" i="13" s="1"/>
  <c r="X15" i="13" s="1"/>
  <c r="S266" i="13"/>
  <c r="M75" i="13" s="1"/>
  <c r="H98" i="13"/>
  <c r="H128" i="13" s="1"/>
  <c r="G15" i="13" s="1"/>
  <c r="X266" i="13"/>
  <c r="G75" i="13" s="1"/>
  <c r="X272" i="13"/>
  <c r="G81" i="13" s="1"/>
  <c r="H92" i="13"/>
  <c r="H122" i="13" s="1"/>
  <c r="G9" i="13" s="1"/>
  <c r="Y269" i="13"/>
  <c r="N78" i="13" s="1"/>
  <c r="N95" i="13"/>
  <c r="Y125" i="13" s="1"/>
  <c r="Y12" i="13" s="1"/>
  <c r="N96" i="13"/>
  <c r="Y126" i="13" s="1"/>
  <c r="Y13" i="13" s="1"/>
  <c r="Y268" i="13"/>
  <c r="N77" i="13" s="1"/>
  <c r="N94" i="13"/>
  <c r="Y124" i="13" s="1"/>
  <c r="Y11" i="13" s="1"/>
  <c r="Y270" i="13"/>
  <c r="N79" i="13" s="1"/>
  <c r="M96" i="13"/>
  <c r="X126" i="13" s="1"/>
  <c r="X13" i="13" s="1"/>
  <c r="S268" i="13"/>
  <c r="M77" i="13" s="1"/>
  <c r="N97" i="13"/>
  <c r="Y127" i="13" s="1"/>
  <c r="Y14" i="13" s="1"/>
  <c r="Y267" i="13"/>
  <c r="N76" i="13" s="1"/>
  <c r="X267" i="13"/>
  <c r="G76" i="13" s="1"/>
  <c r="H97" i="13"/>
  <c r="H127" i="13" s="1"/>
  <c r="G14" i="13" s="1"/>
  <c r="S267" i="13"/>
  <c r="M76" i="13" s="1"/>
  <c r="M97" i="13"/>
  <c r="X127" i="13" s="1"/>
  <c r="X14" i="13" s="1"/>
  <c r="H96" i="13"/>
  <c r="H126" i="13" s="1"/>
  <c r="G13" i="13" s="1"/>
  <c r="X268" i="13"/>
  <c r="G77" i="13" s="1"/>
  <c r="Y271" i="13"/>
  <c r="N80" i="13" s="1"/>
  <c r="N93" i="13"/>
  <c r="Y123" i="13" s="1"/>
  <c r="Y10" i="13" s="1"/>
  <c r="Y273" i="13"/>
  <c r="N82" i="13" s="1"/>
  <c r="N91" i="13"/>
  <c r="Y121" i="13" s="1"/>
  <c r="Y8" i="13" s="1"/>
  <c r="H91" i="13"/>
  <c r="H121" i="13" s="1"/>
  <c r="G8" i="13" s="1"/>
  <c r="X273" i="13"/>
  <c r="G82" i="13" s="1"/>
  <c r="H90" i="13"/>
  <c r="H120" i="13" s="1"/>
  <c r="G7" i="13" s="1"/>
  <c r="X274" i="13"/>
  <c r="G83" i="13" s="1"/>
  <c r="H93" i="13"/>
  <c r="H123" i="13" s="1"/>
  <c r="G10" i="13" s="1"/>
  <c r="X271" i="13"/>
  <c r="G80" i="13" s="1"/>
  <c r="N98" i="13"/>
  <c r="Y128" i="13" s="1"/>
  <c r="Y15" i="13" s="1"/>
  <c r="Y266" i="13"/>
  <c r="N75" i="13" s="1"/>
  <c r="G98" i="13"/>
  <c r="G128" i="13" s="1"/>
  <c r="F15" i="13" s="1"/>
  <c r="R266" i="13"/>
  <c r="F75" i="13" s="1"/>
  <c r="G96" i="13"/>
  <c r="G126" i="13" s="1"/>
  <c r="F13" i="13" s="1"/>
  <c r="R268" i="13"/>
  <c r="F77" i="13" s="1"/>
  <c r="X269" i="13"/>
  <c r="G78" i="13" s="1"/>
  <c r="H95" i="13"/>
  <c r="H125" i="13" s="1"/>
  <c r="G12" i="13" s="1"/>
  <c r="Y272" i="13"/>
  <c r="N81" i="13" s="1"/>
  <c r="N92" i="13"/>
  <c r="Y122" i="13" s="1"/>
  <c r="Y9" i="13" s="1"/>
  <c r="Y274" i="13"/>
  <c r="N83" i="13" s="1"/>
  <c r="N90" i="13"/>
  <c r="Y120" i="13" s="1"/>
  <c r="Y7" i="13" s="1"/>
  <c r="G97" i="13"/>
  <c r="G127" i="13" s="1"/>
  <c r="F14" i="13" s="1"/>
  <c r="R267" i="13"/>
  <c r="F76" i="13" s="1"/>
  <c r="H94" i="13"/>
  <c r="H124" i="13" s="1"/>
  <c r="G11" i="13" s="1"/>
  <c r="X270" i="13"/>
  <c r="G79" i="13" s="1"/>
  <c r="F99" i="13"/>
  <c r="F129" i="13" s="1"/>
  <c r="E16" i="13" s="1"/>
  <c r="L265" i="13"/>
  <c r="E74" i="13" s="1"/>
  <c r="G99" i="13"/>
  <c r="G129" i="13" s="1"/>
  <c r="F16" i="13" s="1"/>
  <c r="R265" i="13"/>
  <c r="F74" i="13" s="1"/>
  <c r="S265" i="13"/>
  <c r="M74" i="13" s="1"/>
  <c r="M99" i="13"/>
  <c r="X129" i="13" s="1"/>
  <c r="X16" i="13" s="1"/>
  <c r="Y265" i="13"/>
  <c r="N74" i="13" s="1"/>
  <c r="N99" i="13"/>
  <c r="Y129" i="13" s="1"/>
  <c r="Y16" i="13" s="1"/>
  <c r="L99" i="13"/>
  <c r="W129" i="13" s="1"/>
  <c r="W16" i="13" s="1"/>
  <c r="M265" i="13"/>
  <c r="L74" i="13" s="1"/>
  <c r="H99" i="13"/>
  <c r="H129" i="13" s="1"/>
  <c r="G16" i="13" s="1"/>
  <c r="X265" i="13"/>
  <c r="G74" i="13" s="1"/>
  <c r="L98" i="13"/>
  <c r="W128" i="13" s="1"/>
  <c r="W15" i="13" s="1"/>
  <c r="M266" i="13"/>
  <c r="L75" i="13" s="1"/>
  <c r="M95" i="13"/>
  <c r="X125" i="13" s="1"/>
  <c r="X12" i="13" s="1"/>
  <c r="S269" i="13"/>
  <c r="M78" i="13" s="1"/>
  <c r="R269" i="13"/>
  <c r="F78" i="13" s="1"/>
  <c r="G95" i="13"/>
  <c r="G125" i="13" s="1"/>
  <c r="F12" i="13" s="1"/>
  <c r="F98" i="13"/>
  <c r="F128" i="13" s="1"/>
  <c r="E15" i="13" s="1"/>
  <c r="L266" i="13"/>
  <c r="E75" i="13" s="1"/>
  <c r="M94" i="13"/>
  <c r="X124" i="13" s="1"/>
  <c r="X11" i="13" s="1"/>
  <c r="S270" i="13"/>
  <c r="M79" i="13" s="1"/>
  <c r="L97" i="13"/>
  <c r="W127" i="13" s="1"/>
  <c r="W14" i="13" s="1"/>
  <c r="M267" i="13"/>
  <c r="L76" i="13" s="1"/>
  <c r="G94" i="13"/>
  <c r="G124" i="13" s="1"/>
  <c r="F11" i="13" s="1"/>
  <c r="R270" i="13"/>
  <c r="F79" i="13" s="1"/>
  <c r="L267" i="13"/>
  <c r="E76" i="13" s="1"/>
  <c r="F97" i="13"/>
  <c r="F127" i="13" s="1"/>
  <c r="E14" i="13" s="1"/>
  <c r="AS34" i="9"/>
  <c r="AT34" i="9" s="1"/>
  <c r="AU34" i="9" s="1"/>
  <c r="AV34" i="9" s="1"/>
  <c r="CB34" i="9"/>
  <c r="CC34" i="9" s="1"/>
  <c r="CD34" i="9" s="1"/>
  <c r="CE34" i="9" s="1"/>
  <c r="BC34" i="9"/>
  <c r="BD34" i="9" s="1"/>
  <c r="BE34" i="9" s="1"/>
  <c r="BF34" i="9" s="1"/>
  <c r="AI34" i="9"/>
  <c r="AJ34" i="9" s="1"/>
  <c r="AK34" i="9" s="1"/>
  <c r="AL34" i="9" s="1"/>
  <c r="BM34" i="9"/>
  <c r="BN34" i="9" s="1"/>
  <c r="BO34" i="9" s="1"/>
  <c r="BP34" i="9" s="1"/>
  <c r="CB96" i="9"/>
  <c r="CC96" i="9" s="1"/>
  <c r="CD96" i="9" s="1"/>
  <c r="CE96" i="9" s="1"/>
  <c r="AI96" i="9"/>
  <c r="CB222" i="9"/>
  <c r="CC222" i="9" s="1"/>
  <c r="CD222" i="9" s="1"/>
  <c r="CE222" i="9" s="1"/>
  <c r="AI222" i="9"/>
  <c r="CB160" i="9"/>
  <c r="CC160" i="9" s="1"/>
  <c r="CD160" i="9" s="1"/>
  <c r="CE160" i="9" s="1"/>
  <c r="AI160" i="9"/>
  <c r="CB95" i="9"/>
  <c r="AI95" i="9"/>
  <c r="BC33" i="9"/>
  <c r="BM33" i="9"/>
  <c r="AI33" i="9"/>
  <c r="AS33" i="9"/>
  <c r="CB33" i="9"/>
  <c r="CB221" i="9"/>
  <c r="CC221" i="9" s="1"/>
  <c r="CD221" i="9" s="1"/>
  <c r="CE221" i="9" s="1"/>
  <c r="AI221" i="9"/>
  <c r="CB159" i="9"/>
  <c r="CC159" i="9" s="1"/>
  <c r="CD159" i="9" s="1"/>
  <c r="CE159" i="9" s="1"/>
  <c r="AI159" i="9"/>
  <c r="Z44" i="9"/>
  <c r="Y47" i="9"/>
  <c r="Y51" i="9" s="1"/>
  <c r="AC33" i="9"/>
  <c r="AC43" i="9" s="1"/>
  <c r="AC44" i="9" s="1"/>
  <c r="Y52" i="9" s="1"/>
  <c r="AD33" i="9"/>
  <c r="AI35" i="18" s="1"/>
  <c r="AC157" i="9"/>
  <c r="AD157" i="9"/>
  <c r="CB100" i="18"/>
  <c r="CC100" i="18" s="1"/>
  <c r="CD100" i="18" s="1"/>
  <c r="CE100" i="18" s="1"/>
  <c r="BS100" i="18"/>
  <c r="BT100" i="18" s="1"/>
  <c r="BU100" i="18" s="1"/>
  <c r="BL100" i="18"/>
  <c r="BM100" i="18"/>
  <c r="M92" i="13"/>
  <c r="X122" i="13" s="1"/>
  <c r="X9" i="13" s="1"/>
  <c r="S272" i="13"/>
  <c r="M81" i="13" s="1"/>
  <c r="L269" i="13"/>
  <c r="E78" i="13" s="1"/>
  <c r="F95" i="13"/>
  <c r="F125" i="13" s="1"/>
  <c r="E12" i="13" s="1"/>
  <c r="L95" i="13"/>
  <c r="W125" i="13" s="1"/>
  <c r="W12" i="13" s="1"/>
  <c r="M269" i="13"/>
  <c r="L78" i="13" s="1"/>
  <c r="G92" i="13"/>
  <c r="G122" i="13" s="1"/>
  <c r="F9" i="13" s="1"/>
  <c r="R272" i="13"/>
  <c r="F81" i="13" s="1"/>
  <c r="CB98" i="9"/>
  <c r="CC98" i="9" s="1"/>
  <c r="CD98" i="9" s="1"/>
  <c r="CE98" i="9" s="1"/>
  <c r="AI98" i="9"/>
  <c r="CB36" i="9"/>
  <c r="CC36" i="9" s="1"/>
  <c r="CD36" i="9" s="1"/>
  <c r="CE36" i="9" s="1"/>
  <c r="BC36" i="9"/>
  <c r="BD36" i="9" s="1"/>
  <c r="BE36" i="9" s="1"/>
  <c r="BF36" i="9" s="1"/>
  <c r="BM36" i="9"/>
  <c r="BN36" i="9" s="1"/>
  <c r="BO36" i="9" s="1"/>
  <c r="BP36" i="9" s="1"/>
  <c r="AI36" i="9"/>
  <c r="AJ36" i="9" s="1"/>
  <c r="AK36" i="9" s="1"/>
  <c r="AL36" i="9" s="1"/>
  <c r="AS36" i="9"/>
  <c r="AT36" i="9" s="1"/>
  <c r="AU36" i="9" s="1"/>
  <c r="AV36" i="9" s="1"/>
  <c r="CB162" i="9"/>
  <c r="CC162" i="9" s="1"/>
  <c r="CD162" i="9" s="1"/>
  <c r="CE162" i="9" s="1"/>
  <c r="AI162" i="9"/>
  <c r="CB224" i="9"/>
  <c r="CC224" i="9" s="1"/>
  <c r="CD224" i="9" s="1"/>
  <c r="CE224" i="9" s="1"/>
  <c r="AI224" i="9"/>
  <c r="BC224" i="9" l="1"/>
  <c r="BD224" i="9" s="1"/>
  <c r="BE224" i="9" s="1"/>
  <c r="BF224" i="9" s="1"/>
  <c r="AJ224" i="9"/>
  <c r="AK224" i="9" s="1"/>
  <c r="AL224" i="9" s="1"/>
  <c r="BM224" i="9"/>
  <c r="BN224" i="9" s="1"/>
  <c r="BO224" i="9" s="1"/>
  <c r="BP224" i="9" s="1"/>
  <c r="AS224" i="9"/>
  <c r="AT224" i="9" s="1"/>
  <c r="AU224" i="9" s="1"/>
  <c r="AV224" i="9" s="1"/>
  <c r="CG224" i="9"/>
  <c r="CF224" i="9"/>
  <c r="AJ162" i="9"/>
  <c r="AK162" i="9" s="1"/>
  <c r="AL162" i="9" s="1"/>
  <c r="BC162" i="9"/>
  <c r="BD162" i="9" s="1"/>
  <c r="BE162" i="9" s="1"/>
  <c r="BF162" i="9" s="1"/>
  <c r="BM162" i="9"/>
  <c r="BN162" i="9" s="1"/>
  <c r="BO162" i="9" s="1"/>
  <c r="BP162" i="9" s="1"/>
  <c r="AS162" i="9"/>
  <c r="AT162" i="9" s="1"/>
  <c r="AU162" i="9" s="1"/>
  <c r="AV162" i="9" s="1"/>
  <c r="CF162" i="9"/>
  <c r="CG162" i="9"/>
  <c r="AX36" i="9"/>
  <c r="AW36" i="9"/>
  <c r="AN36" i="9"/>
  <c r="AM36" i="9"/>
  <c r="BR36" i="9"/>
  <c r="BQ36" i="9"/>
  <c r="BH36" i="9"/>
  <c r="BG36" i="9"/>
  <c r="CF36" i="9"/>
  <c r="CG36" i="9"/>
  <c r="AJ98" i="9"/>
  <c r="AK98" i="9" s="1"/>
  <c r="AL98" i="9" s="1"/>
  <c r="AS98" i="9"/>
  <c r="AT98" i="9" s="1"/>
  <c r="AU98" i="9" s="1"/>
  <c r="AV98" i="9" s="1"/>
  <c r="BM98" i="9"/>
  <c r="BN98" i="9" s="1"/>
  <c r="BO98" i="9" s="1"/>
  <c r="BP98" i="9" s="1"/>
  <c r="BC98" i="9"/>
  <c r="BD98" i="9" s="1"/>
  <c r="BE98" i="9" s="1"/>
  <c r="BF98" i="9" s="1"/>
  <c r="CG98" i="9"/>
  <c r="CF98" i="9"/>
  <c r="BV100" i="18"/>
  <c r="BW100" i="18"/>
  <c r="CF100" i="18"/>
  <c r="CG100" i="18"/>
  <c r="BC159" i="9"/>
  <c r="BD159" i="9" s="1"/>
  <c r="BE159" i="9" s="1"/>
  <c r="BF159" i="9" s="1"/>
  <c r="BM159" i="9"/>
  <c r="BN159" i="9" s="1"/>
  <c r="BO159" i="9" s="1"/>
  <c r="BP159" i="9" s="1"/>
  <c r="AJ159" i="9"/>
  <c r="AK159" i="9" s="1"/>
  <c r="AL159" i="9" s="1"/>
  <c r="AS159" i="9"/>
  <c r="AT159" i="9" s="1"/>
  <c r="AU159" i="9" s="1"/>
  <c r="AV159" i="9" s="1"/>
  <c r="CG159" i="9"/>
  <c r="CF159" i="9"/>
  <c r="AS221" i="9"/>
  <c r="AT221" i="9" s="1"/>
  <c r="AU221" i="9" s="1"/>
  <c r="AV221" i="9" s="1"/>
  <c r="AJ221" i="9"/>
  <c r="AK221" i="9" s="1"/>
  <c r="AL221" i="9" s="1"/>
  <c r="BC221" i="9"/>
  <c r="BD221" i="9" s="1"/>
  <c r="BE221" i="9" s="1"/>
  <c r="BF221" i="9" s="1"/>
  <c r="BM221" i="9"/>
  <c r="BN221" i="9" s="1"/>
  <c r="BO221" i="9" s="1"/>
  <c r="BP221" i="9" s="1"/>
  <c r="CG221" i="9"/>
  <c r="CF221" i="9"/>
  <c r="CC33" i="9"/>
  <c r="CD33" i="9" s="1"/>
  <c r="CE33" i="9" s="1"/>
  <c r="CB43" i="9"/>
  <c r="AT33" i="9"/>
  <c r="AU33" i="9" s="1"/>
  <c r="AV33" i="9" s="1"/>
  <c r="AS43" i="9"/>
  <c r="AJ33" i="9"/>
  <c r="AK33" i="9" s="1"/>
  <c r="AL33" i="9" s="1"/>
  <c r="AI43" i="9"/>
  <c r="BN33" i="9"/>
  <c r="BO33" i="9" s="1"/>
  <c r="BP33" i="9" s="1"/>
  <c r="BM43" i="9"/>
  <c r="BD33" i="9"/>
  <c r="BE33" i="9" s="1"/>
  <c r="BF33" i="9" s="1"/>
  <c r="BC43" i="9"/>
  <c r="BC95" i="9"/>
  <c r="BD95" i="9" s="1"/>
  <c r="BE95" i="9" s="1"/>
  <c r="BF95" i="9" s="1"/>
  <c r="BM95" i="9"/>
  <c r="BN95" i="9" s="1"/>
  <c r="BO95" i="9" s="1"/>
  <c r="BP95" i="9" s="1"/>
  <c r="AJ95" i="9"/>
  <c r="AK95" i="9" s="1"/>
  <c r="AL95" i="9" s="1"/>
  <c r="AS95" i="9"/>
  <c r="AT95" i="9" s="1"/>
  <c r="AU95" i="9" s="1"/>
  <c r="AV95" i="9" s="1"/>
  <c r="AI105" i="9"/>
  <c r="CC95" i="9"/>
  <c r="CD95" i="9" s="1"/>
  <c r="CE95" i="9" s="1"/>
  <c r="CB105" i="9"/>
  <c r="BM160" i="9"/>
  <c r="BN160" i="9" s="1"/>
  <c r="BO160" i="9" s="1"/>
  <c r="BP160" i="9" s="1"/>
  <c r="BC160" i="9"/>
  <c r="BD160" i="9" s="1"/>
  <c r="BE160" i="9" s="1"/>
  <c r="BF160" i="9" s="1"/>
  <c r="AS160" i="9"/>
  <c r="AT160" i="9" s="1"/>
  <c r="AU160" i="9" s="1"/>
  <c r="AV160" i="9" s="1"/>
  <c r="AJ160" i="9"/>
  <c r="AK160" i="9" s="1"/>
  <c r="AL160" i="9" s="1"/>
  <c r="CG160" i="9"/>
  <c r="CF160" i="9"/>
  <c r="AJ222" i="9"/>
  <c r="AK222" i="9" s="1"/>
  <c r="AL222" i="9" s="1"/>
  <c r="BM222" i="9"/>
  <c r="BN222" i="9" s="1"/>
  <c r="BO222" i="9" s="1"/>
  <c r="BP222" i="9" s="1"/>
  <c r="BC222" i="9"/>
  <c r="BD222" i="9" s="1"/>
  <c r="BE222" i="9" s="1"/>
  <c r="BF222" i="9" s="1"/>
  <c r="AS222" i="9"/>
  <c r="AT222" i="9" s="1"/>
  <c r="AU222" i="9" s="1"/>
  <c r="AV222" i="9" s="1"/>
  <c r="CG222" i="9"/>
  <c r="CF222" i="9"/>
  <c r="AS96" i="9"/>
  <c r="AT96" i="9" s="1"/>
  <c r="AU96" i="9" s="1"/>
  <c r="AV96" i="9" s="1"/>
  <c r="BM96" i="9"/>
  <c r="BN96" i="9" s="1"/>
  <c r="BO96" i="9" s="1"/>
  <c r="BP96" i="9" s="1"/>
  <c r="BC96" i="9"/>
  <c r="BD96" i="9" s="1"/>
  <c r="BE96" i="9" s="1"/>
  <c r="BF96" i="9" s="1"/>
  <c r="AJ96" i="9"/>
  <c r="AK96" i="9" s="1"/>
  <c r="AL96" i="9" s="1"/>
  <c r="CG96" i="9"/>
  <c r="CF96" i="9"/>
  <c r="BR34" i="9"/>
  <c r="BQ34" i="9"/>
  <c r="AN34" i="9"/>
  <c r="AM34" i="9"/>
  <c r="BH34" i="9"/>
  <c r="BG34" i="9"/>
  <c r="CG34" i="9"/>
  <c r="CF34" i="9"/>
  <c r="AX34" i="9"/>
  <c r="AW34" i="9"/>
  <c r="Y30" i="13"/>
  <c r="Y31" i="13"/>
  <c r="G30" i="13"/>
  <c r="G31" i="13"/>
  <c r="BV98" i="18"/>
  <c r="BW98" i="18"/>
  <c r="CF98" i="18"/>
  <c r="CG98" i="18"/>
  <c r="BT96" i="18"/>
  <c r="BU96" i="18" s="1"/>
  <c r="BS107" i="18"/>
  <c r="CC96" i="18"/>
  <c r="CD96" i="18" s="1"/>
  <c r="CE96" i="18" s="1"/>
  <c r="CB107" i="18"/>
  <c r="C119" i="5"/>
  <c r="AE26" i="5"/>
  <c r="AF27" i="5"/>
  <c r="B119" i="5" s="1"/>
  <c r="E118" i="5"/>
  <c r="AA36" i="10"/>
  <c r="C11" i="16"/>
  <c r="C11" i="19"/>
  <c r="C121" i="19" s="1"/>
  <c r="Z36" i="10"/>
  <c r="B11" i="19"/>
  <c r="B11" i="16"/>
  <c r="I117" i="5"/>
  <c r="J117" i="5" s="1"/>
  <c r="AB37" i="10"/>
  <c r="L117" i="5"/>
  <c r="G10" i="19" s="1"/>
  <c r="G120" i="19" s="1"/>
  <c r="D10" i="16"/>
  <c r="B120" i="19"/>
  <c r="E120" i="19" s="1"/>
  <c r="E10" i="19"/>
  <c r="AS226" i="9"/>
  <c r="AT226" i="9" s="1"/>
  <c r="AU226" i="9" s="1"/>
  <c r="AV226" i="9" s="1"/>
  <c r="BM226" i="9"/>
  <c r="BN226" i="9" s="1"/>
  <c r="BO226" i="9" s="1"/>
  <c r="BP226" i="9" s="1"/>
  <c r="BC226" i="9"/>
  <c r="BD226" i="9" s="1"/>
  <c r="BE226" i="9" s="1"/>
  <c r="BF226" i="9" s="1"/>
  <c r="AJ226" i="9"/>
  <c r="AK226" i="9" s="1"/>
  <c r="AL226" i="9" s="1"/>
  <c r="CF226" i="9"/>
  <c r="CG226" i="9"/>
  <c r="BC164" i="9"/>
  <c r="BD164" i="9" s="1"/>
  <c r="BE164" i="9" s="1"/>
  <c r="BF164" i="9" s="1"/>
  <c r="BM164" i="9"/>
  <c r="BN164" i="9" s="1"/>
  <c r="BO164" i="9" s="1"/>
  <c r="BP164" i="9" s="1"/>
  <c r="AS164" i="9"/>
  <c r="AT164" i="9" s="1"/>
  <c r="AU164" i="9" s="1"/>
  <c r="AV164" i="9" s="1"/>
  <c r="AJ164" i="9"/>
  <c r="AK164" i="9" s="1"/>
  <c r="AL164" i="9" s="1"/>
  <c r="CF164" i="9"/>
  <c r="CG164" i="9"/>
  <c r="BR38" i="9"/>
  <c r="BQ38" i="9"/>
  <c r="AM38" i="9"/>
  <c r="AN38" i="9"/>
  <c r="CF38" i="9"/>
  <c r="CG38" i="9"/>
  <c r="BH38" i="9"/>
  <c r="BG38" i="9"/>
  <c r="AX38" i="9"/>
  <c r="AW38" i="9"/>
  <c r="AJ100" i="9"/>
  <c r="AK100" i="9" s="1"/>
  <c r="AL100" i="9" s="1"/>
  <c r="BC100" i="9"/>
  <c r="BD100" i="9" s="1"/>
  <c r="BE100" i="9" s="1"/>
  <c r="BF100" i="9" s="1"/>
  <c r="BM100" i="9"/>
  <c r="BN100" i="9" s="1"/>
  <c r="BO100" i="9" s="1"/>
  <c r="BP100" i="9" s="1"/>
  <c r="AS100" i="9"/>
  <c r="AT100" i="9" s="1"/>
  <c r="AU100" i="9" s="1"/>
  <c r="AV100" i="9" s="1"/>
  <c r="CF100" i="9"/>
  <c r="CG100" i="9"/>
  <c r="W31" i="13"/>
  <c r="W30" i="13"/>
  <c r="E31" i="13"/>
  <c r="E30" i="13"/>
  <c r="X31" i="13"/>
  <c r="X30" i="13"/>
  <c r="F30" i="13"/>
  <c r="F31" i="13"/>
  <c r="U4" i="13"/>
  <c r="U5" i="13" s="1"/>
  <c r="U6" i="13" s="1"/>
  <c r="CF102" i="18"/>
  <c r="CG102" i="18"/>
  <c r="BV102" i="18"/>
  <c r="BW102" i="18"/>
  <c r="AS225" i="9"/>
  <c r="AT225" i="9" s="1"/>
  <c r="AU225" i="9" s="1"/>
  <c r="AV225" i="9" s="1"/>
  <c r="BC225" i="9"/>
  <c r="BD225" i="9" s="1"/>
  <c r="BE225" i="9" s="1"/>
  <c r="BF225" i="9" s="1"/>
  <c r="BM225" i="9"/>
  <c r="BN225" i="9" s="1"/>
  <c r="BO225" i="9" s="1"/>
  <c r="BP225" i="9" s="1"/>
  <c r="AJ225" i="9"/>
  <c r="AK225" i="9" s="1"/>
  <c r="AL225" i="9" s="1"/>
  <c r="CF225" i="9"/>
  <c r="CG225" i="9"/>
  <c r="BM163" i="9"/>
  <c r="BN163" i="9" s="1"/>
  <c r="BO163" i="9" s="1"/>
  <c r="BP163" i="9" s="1"/>
  <c r="AJ163" i="9"/>
  <c r="AK163" i="9" s="1"/>
  <c r="AL163" i="9" s="1"/>
  <c r="BC163" i="9"/>
  <c r="BD163" i="9" s="1"/>
  <c r="BE163" i="9" s="1"/>
  <c r="BF163" i="9" s="1"/>
  <c r="AS163" i="9"/>
  <c r="AT163" i="9" s="1"/>
  <c r="AU163" i="9" s="1"/>
  <c r="AV163" i="9" s="1"/>
  <c r="CF163" i="9"/>
  <c r="CG163" i="9"/>
  <c r="AX37" i="9"/>
  <c r="AW37" i="9"/>
  <c r="BR37" i="9"/>
  <c r="BQ37" i="9"/>
  <c r="BG37" i="9"/>
  <c r="BH37" i="9"/>
  <c r="AN37" i="9"/>
  <c r="AM37" i="9"/>
  <c r="CG37" i="9"/>
  <c r="CF37" i="9"/>
  <c r="BC99" i="9"/>
  <c r="BD99" i="9" s="1"/>
  <c r="BE99" i="9" s="1"/>
  <c r="BF99" i="9" s="1"/>
  <c r="AJ99" i="9"/>
  <c r="AK99" i="9" s="1"/>
  <c r="AL99" i="9" s="1"/>
  <c r="BM99" i="9"/>
  <c r="BN99" i="9" s="1"/>
  <c r="BO99" i="9" s="1"/>
  <c r="BP99" i="9" s="1"/>
  <c r="AS99" i="9"/>
  <c r="AT99" i="9" s="1"/>
  <c r="AU99" i="9" s="1"/>
  <c r="AV99" i="9" s="1"/>
  <c r="CF99" i="9"/>
  <c r="CG99" i="9"/>
  <c r="CF101" i="18"/>
  <c r="CG101" i="18"/>
  <c r="BV101" i="18"/>
  <c r="BW101" i="18"/>
  <c r="Z13" i="17"/>
  <c r="K13" i="17"/>
  <c r="Y13" i="17"/>
  <c r="J13" i="17"/>
  <c r="AA13" i="17"/>
  <c r="L13" i="17"/>
  <c r="AB13" i="17"/>
  <c r="M13" i="17"/>
  <c r="CF102" i="9"/>
  <c r="CG102" i="9"/>
  <c r="BC102" i="9"/>
  <c r="BD102" i="9" s="1"/>
  <c r="BE102" i="9" s="1"/>
  <c r="BF102" i="9" s="1"/>
  <c r="AJ102" i="9"/>
  <c r="AK102" i="9" s="1"/>
  <c r="AL102" i="9" s="1"/>
  <c r="BM102" i="9"/>
  <c r="BN102" i="9" s="1"/>
  <c r="BO102" i="9" s="1"/>
  <c r="BP102" i="9" s="1"/>
  <c r="AS102" i="9"/>
  <c r="AT102" i="9" s="1"/>
  <c r="AU102" i="9" s="1"/>
  <c r="AV102" i="9" s="1"/>
  <c r="BR40" i="9"/>
  <c r="BQ40" i="9"/>
  <c r="BG40" i="9"/>
  <c r="BH40" i="9"/>
  <c r="AX40" i="9"/>
  <c r="AW40" i="9"/>
  <c r="CF40" i="9"/>
  <c r="CG40" i="9"/>
  <c r="AM40" i="9"/>
  <c r="AN40" i="9"/>
  <c r="BC161" i="9"/>
  <c r="BD161" i="9" s="1"/>
  <c r="BE161" i="9" s="1"/>
  <c r="BF161" i="9" s="1"/>
  <c r="BM161" i="9"/>
  <c r="BN161" i="9" s="1"/>
  <c r="BO161" i="9" s="1"/>
  <c r="BP161" i="9" s="1"/>
  <c r="AJ161" i="9"/>
  <c r="AK161" i="9" s="1"/>
  <c r="AL161" i="9" s="1"/>
  <c r="AS161" i="9"/>
  <c r="AT161" i="9" s="1"/>
  <c r="AU161" i="9" s="1"/>
  <c r="AV161" i="9" s="1"/>
  <c r="CF161" i="9"/>
  <c r="CG161" i="9"/>
  <c r="AS223" i="9"/>
  <c r="AT223" i="9" s="1"/>
  <c r="AU223" i="9" s="1"/>
  <c r="AV223" i="9" s="1"/>
  <c r="BM223" i="9"/>
  <c r="BN223" i="9" s="1"/>
  <c r="BO223" i="9" s="1"/>
  <c r="BP223" i="9" s="1"/>
  <c r="AJ223" i="9"/>
  <c r="AK223" i="9" s="1"/>
  <c r="AL223" i="9" s="1"/>
  <c r="BC223" i="9"/>
  <c r="BD223" i="9" s="1"/>
  <c r="BE223" i="9" s="1"/>
  <c r="BF223" i="9" s="1"/>
  <c r="CG223" i="9"/>
  <c r="CF223" i="9"/>
  <c r="BQ35" i="9"/>
  <c r="BR35" i="9"/>
  <c r="AX35" i="9"/>
  <c r="AW35" i="9"/>
  <c r="AM35" i="9"/>
  <c r="AN35" i="9"/>
  <c r="BH35" i="9"/>
  <c r="BG35" i="9"/>
  <c r="CF35" i="9"/>
  <c r="CG35" i="9"/>
  <c r="AS97" i="9"/>
  <c r="AT97" i="9" s="1"/>
  <c r="AU97" i="9" s="1"/>
  <c r="AV97" i="9" s="1"/>
  <c r="BM97" i="9"/>
  <c r="BN97" i="9" s="1"/>
  <c r="BO97" i="9" s="1"/>
  <c r="BP97" i="9" s="1"/>
  <c r="AJ97" i="9"/>
  <c r="AK97" i="9" s="1"/>
  <c r="AL97" i="9" s="1"/>
  <c r="BC97" i="9"/>
  <c r="BD97" i="9" s="1"/>
  <c r="BE97" i="9" s="1"/>
  <c r="BF97" i="9" s="1"/>
  <c r="CG97" i="9"/>
  <c r="CF97" i="9"/>
  <c r="BM156" i="9"/>
  <c r="BN156" i="9" s="1"/>
  <c r="BO156" i="9" s="1"/>
  <c r="BP156" i="9" s="1"/>
  <c r="AS156" i="9"/>
  <c r="AT156" i="9" s="1"/>
  <c r="AU156" i="9" s="1"/>
  <c r="AV156" i="9" s="1"/>
  <c r="BC156" i="9"/>
  <c r="BD156" i="9" s="1"/>
  <c r="BE156" i="9" s="1"/>
  <c r="BF156" i="9" s="1"/>
  <c r="AJ156" i="9"/>
  <c r="AK156" i="9" s="1"/>
  <c r="AL156" i="9" s="1"/>
  <c r="AI167" i="9"/>
  <c r="CC156" i="9"/>
  <c r="CD156" i="9" s="1"/>
  <c r="CE156" i="9" s="1"/>
  <c r="CB167" i="9"/>
  <c r="AS218" i="9"/>
  <c r="AT218" i="9" s="1"/>
  <c r="AU218" i="9" s="1"/>
  <c r="AV218" i="9" s="1"/>
  <c r="AJ218" i="9"/>
  <c r="AK218" i="9" s="1"/>
  <c r="AL218" i="9" s="1"/>
  <c r="BM218" i="9"/>
  <c r="BN218" i="9" s="1"/>
  <c r="BO218" i="9" s="1"/>
  <c r="BP218" i="9" s="1"/>
  <c r="BC218" i="9"/>
  <c r="BD218" i="9" s="1"/>
  <c r="BE218" i="9" s="1"/>
  <c r="BF218" i="9" s="1"/>
  <c r="AI229" i="9"/>
  <c r="CC218" i="9"/>
  <c r="CB229" i="9"/>
  <c r="BW97" i="18"/>
  <c r="BV97" i="18"/>
  <c r="CG97" i="18"/>
  <c r="CF97" i="18"/>
  <c r="CF99" i="18"/>
  <c r="CG99" i="18"/>
  <c r="BW99" i="18"/>
  <c r="BV99" i="18"/>
  <c r="R23" i="17"/>
  <c r="R24" i="17"/>
  <c r="R25" i="17"/>
  <c r="R26" i="17"/>
  <c r="R27" i="17" s="1"/>
  <c r="R28" i="17" s="1"/>
  <c r="R29" i="17"/>
  <c r="R30" i="17" s="1"/>
  <c r="R31" i="17" s="1"/>
  <c r="R32" i="17" s="1"/>
  <c r="R33" i="17" s="1"/>
  <c r="R34" i="17" s="1"/>
  <c r="R35" i="17" s="1"/>
  <c r="R36" i="17" s="1"/>
  <c r="R37" i="17" s="1"/>
  <c r="R38" i="17" s="1"/>
  <c r="R39" i="17" s="1"/>
  <c r="R40" i="17" s="1"/>
  <c r="R41" i="17" s="1"/>
  <c r="R42" i="17" s="1"/>
  <c r="R43" i="17" s="1"/>
  <c r="R44" i="17" s="1"/>
  <c r="R45" i="17" s="1"/>
  <c r="R46" i="17" s="1"/>
  <c r="R47" i="17" s="1"/>
  <c r="I11" i="17" s="1"/>
  <c r="BQ39" i="9"/>
  <c r="BR39" i="9"/>
  <c r="AX39" i="9"/>
  <c r="AW39" i="9"/>
  <c r="BH39" i="9"/>
  <c r="BG39" i="9"/>
  <c r="AM39" i="9"/>
  <c r="AN39" i="9"/>
  <c r="CF39" i="9"/>
  <c r="CG39" i="9"/>
  <c r="AS101" i="9"/>
  <c r="AT101" i="9" s="1"/>
  <c r="AU101" i="9" s="1"/>
  <c r="AV101" i="9" s="1"/>
  <c r="AJ101" i="9"/>
  <c r="AK101" i="9" s="1"/>
  <c r="AL101" i="9" s="1"/>
  <c r="BM101" i="9"/>
  <c r="BN101" i="9" s="1"/>
  <c r="BO101" i="9" s="1"/>
  <c r="BP101" i="9" s="1"/>
  <c r="BC101" i="9"/>
  <c r="BD101" i="9" s="1"/>
  <c r="BE101" i="9" s="1"/>
  <c r="BF101" i="9" s="1"/>
  <c r="CF101" i="9"/>
  <c r="CG101" i="9"/>
  <c r="BW103" i="18"/>
  <c r="BV103" i="18"/>
  <c r="CG103" i="18"/>
  <c r="CF103" i="18"/>
  <c r="AX57" i="18"/>
  <c r="BF152" i="9"/>
  <c r="AM152" i="9"/>
  <c r="AN152" i="9"/>
  <c r="AV152" i="9"/>
  <c r="CF152" i="9"/>
  <c r="CG152" i="9"/>
  <c r="Y170" i="9"/>
  <c r="Z168" i="9"/>
  <c r="AD155" i="9"/>
  <c r="AD167" i="9" s="1"/>
  <c r="AD168" i="9" s="1"/>
  <c r="Y173" i="9" s="1"/>
  <c r="AC155" i="9"/>
  <c r="AC167" i="9" s="1"/>
  <c r="AC168" i="9" s="1"/>
  <c r="Y176" i="9" s="1"/>
  <c r="AB167" i="9"/>
  <c r="AB168" i="9" s="1"/>
  <c r="Y174" i="9" s="1"/>
  <c r="Y177" i="9" s="1"/>
  <c r="Y175" i="9"/>
  <c r="AI33" i="18"/>
  <c r="AD43" i="9"/>
  <c r="AD44" i="9" s="1"/>
  <c r="Y49" i="9" s="1"/>
  <c r="Y54" i="9" s="1"/>
  <c r="AC45" i="7"/>
  <c r="A36" i="13" s="1"/>
  <c r="I45" i="7"/>
  <c r="C37" i="4"/>
  <c r="J114" i="10"/>
  <c r="J168" i="10" s="1"/>
  <c r="U53" i="19"/>
  <c r="J217" i="14"/>
  <c r="J107" i="19"/>
  <c r="J161" i="14"/>
  <c r="J217" i="19"/>
  <c r="J107" i="14"/>
  <c r="J52" i="14"/>
  <c r="CD153" i="9"/>
  <c r="CC167" i="9"/>
  <c r="AT153" i="9"/>
  <c r="AS167" i="9"/>
  <c r="BN153" i="9"/>
  <c r="BM167" i="9"/>
  <c r="BD153" i="9"/>
  <c r="BC167" i="9"/>
  <c r="AK153" i="9"/>
  <c r="AJ167" i="9"/>
  <c r="AT215" i="9"/>
  <c r="AU215" i="9" s="1"/>
  <c r="AV215" i="9" s="1"/>
  <c r="AS229" i="9"/>
  <c r="BN215" i="9"/>
  <c r="BM229" i="9"/>
  <c r="BD215" i="9"/>
  <c r="BE215" i="9" s="1"/>
  <c r="BF215" i="9" s="1"/>
  <c r="BC229" i="9"/>
  <c r="AK215" i="9"/>
  <c r="AL215" i="9" s="1"/>
  <c r="AJ229" i="9"/>
  <c r="CD92" i="9"/>
  <c r="CC105" i="9"/>
  <c r="AT92" i="9"/>
  <c r="AS105" i="9"/>
  <c r="AK92" i="9"/>
  <c r="AJ105" i="9"/>
  <c r="BD92" i="9"/>
  <c r="BC105" i="9"/>
  <c r="BN92" i="9"/>
  <c r="BM105" i="9"/>
  <c r="BO30" i="9"/>
  <c r="BN43" i="9"/>
  <c r="BE30" i="9"/>
  <c r="BD43" i="9"/>
  <c r="CD30" i="9"/>
  <c r="CC43" i="9"/>
  <c r="AK30" i="9"/>
  <c r="AJ43" i="9"/>
  <c r="AU30" i="9"/>
  <c r="AT43" i="9"/>
  <c r="AN93" i="9"/>
  <c r="AM93" i="9"/>
  <c r="BQ93" i="9"/>
  <c r="BR93" i="9"/>
  <c r="BH93" i="9"/>
  <c r="BG93" i="9"/>
  <c r="AW93" i="9"/>
  <c r="AX93" i="9"/>
  <c r="BQ216" i="9"/>
  <c r="BR216" i="9"/>
  <c r="BG216" i="9"/>
  <c r="BH216" i="9"/>
  <c r="AW216" i="9"/>
  <c r="AX216" i="9"/>
  <c r="AM216" i="9"/>
  <c r="AN216" i="9"/>
  <c r="AW154" i="9"/>
  <c r="AX154" i="9"/>
  <c r="BR154" i="9"/>
  <c r="BQ154" i="9"/>
  <c r="BG154" i="9"/>
  <c r="BH154" i="9"/>
  <c r="AN154" i="9"/>
  <c r="AM154" i="9"/>
  <c r="AW155" i="9"/>
  <c r="AX155" i="9"/>
  <c r="AN155" i="9"/>
  <c r="AM155" i="9"/>
  <c r="BG155" i="9"/>
  <c r="BH155" i="9"/>
  <c r="BR155" i="9"/>
  <c r="BQ155" i="9"/>
  <c r="BQ217" i="9"/>
  <c r="BR217" i="9"/>
  <c r="AM217" i="9"/>
  <c r="AN217" i="9"/>
  <c r="AW217" i="9"/>
  <c r="AX217" i="9"/>
  <c r="BG217" i="9"/>
  <c r="BH217" i="9"/>
  <c r="BG94" i="9"/>
  <c r="BH94" i="9"/>
  <c r="AM94" i="9"/>
  <c r="AN94" i="9"/>
  <c r="AW94" i="9"/>
  <c r="AX94" i="9"/>
  <c r="BQ94" i="9"/>
  <c r="BR94" i="9"/>
  <c r="AW157" i="9"/>
  <c r="AX157" i="9"/>
  <c r="AN157" i="9"/>
  <c r="AM157" i="9"/>
  <c r="BR157" i="9"/>
  <c r="BQ157" i="9"/>
  <c r="BG157" i="9"/>
  <c r="BH157" i="9"/>
  <c r="BR219" i="9"/>
  <c r="BQ219" i="9"/>
  <c r="AM219" i="9"/>
  <c r="AN219" i="9"/>
  <c r="BG219" i="9"/>
  <c r="BH219" i="9"/>
  <c r="AX219" i="9"/>
  <c r="AW219" i="9"/>
  <c r="BR220" i="9"/>
  <c r="BQ220" i="9"/>
  <c r="AX220" i="9"/>
  <c r="AW220" i="9"/>
  <c r="AN220" i="9"/>
  <c r="AM220" i="9"/>
  <c r="BH220" i="9"/>
  <c r="BG220" i="9"/>
  <c r="AX158" i="9"/>
  <c r="AW158" i="9"/>
  <c r="BG158" i="9"/>
  <c r="BH158" i="9"/>
  <c r="BR158" i="9"/>
  <c r="BQ158" i="9"/>
  <c r="AM158" i="9"/>
  <c r="AN158" i="9"/>
  <c r="BH110" i="18"/>
  <c r="BI108" i="18"/>
  <c r="BM94" i="18"/>
  <c r="BM107" i="18" s="1"/>
  <c r="BM108" i="18" s="1"/>
  <c r="BH113" i="18" s="1"/>
  <c r="BL94" i="18"/>
  <c r="BL107" i="18" s="1"/>
  <c r="BL108" i="18" s="1"/>
  <c r="BH116" i="18" s="1"/>
  <c r="BK107" i="18"/>
  <c r="BK108" i="18" s="1"/>
  <c r="BH114" i="18" s="1"/>
  <c r="BH117" i="18" s="1"/>
  <c r="BH115" i="18"/>
  <c r="BU94" i="18"/>
  <c r="BT107" i="18"/>
  <c r="BR110" i="18" s="1"/>
  <c r="CD94" i="18"/>
  <c r="CC107" i="18"/>
  <c r="AU115" i="18"/>
  <c r="AX117" i="18"/>
  <c r="AU117" i="18" s="1"/>
  <c r="AU114" i="18"/>
  <c r="AU113" i="18"/>
  <c r="AX118" i="18"/>
  <c r="Y233" i="9"/>
  <c r="AB217" i="9"/>
  <c r="AA229" i="9"/>
  <c r="Y108" i="9"/>
  <c r="V108" i="9" s="1"/>
  <c r="Z106" i="9"/>
  <c r="AC93" i="9"/>
  <c r="AC105" i="9" s="1"/>
  <c r="AC106" i="9" s="1"/>
  <c r="Y114" i="9" s="1"/>
  <c r="V114" i="9" s="1"/>
  <c r="AD93" i="9"/>
  <c r="AD105" i="9" s="1"/>
  <c r="AD106" i="9" s="1"/>
  <c r="Y111" i="9" s="1"/>
  <c r="AB105" i="9"/>
  <c r="AB106" i="9" s="1"/>
  <c r="Y112" i="9" s="1"/>
  <c r="V109" i="9"/>
  <c r="Y113" i="9"/>
  <c r="BE214" i="9"/>
  <c r="BD229" i="9"/>
  <c r="AL214" i="9"/>
  <c r="AK229" i="9"/>
  <c r="AI232" i="9" s="1"/>
  <c r="AU214" i="9"/>
  <c r="AT229" i="9"/>
  <c r="CE214" i="9"/>
  <c r="CG214" i="9" l="1"/>
  <c r="CF214" i="9"/>
  <c r="AS233" i="9"/>
  <c r="AV214" i="9"/>
  <c r="AU229" i="9"/>
  <c r="AN214" i="9"/>
  <c r="AM214" i="9"/>
  <c r="AL229" i="9"/>
  <c r="AL230" i="9" s="1"/>
  <c r="AI236" i="9" s="1"/>
  <c r="AI239" i="9" s="1"/>
  <c r="BC233" i="9"/>
  <c r="BF214" i="9"/>
  <c r="BE229" i="9"/>
  <c r="V113" i="9"/>
  <c r="V112" i="9"/>
  <c r="Y115" i="9"/>
  <c r="V115" i="9" s="1"/>
  <c r="V111" i="9"/>
  <c r="Y116" i="9"/>
  <c r="Y232" i="9"/>
  <c r="Z230" i="9"/>
  <c r="AC217" i="9"/>
  <c r="AC229" i="9" s="1"/>
  <c r="AC230" i="9" s="1"/>
  <c r="Y238" i="9" s="1"/>
  <c r="AD217" i="9"/>
  <c r="AD229" i="9" s="1"/>
  <c r="AD230" i="9" s="1"/>
  <c r="Y235" i="9" s="1"/>
  <c r="AB229" i="9"/>
  <c r="AB230" i="9" s="1"/>
  <c r="Y236" i="9" s="1"/>
  <c r="Y239" i="9" s="1"/>
  <c r="Y237" i="9"/>
  <c r="AU118" i="18"/>
  <c r="AX119" i="18"/>
  <c r="CB111" i="18"/>
  <c r="CE94" i="18"/>
  <c r="CD107" i="18"/>
  <c r="BV94" i="18"/>
  <c r="BW94" i="18"/>
  <c r="BU107" i="18"/>
  <c r="BU108" i="18" s="1"/>
  <c r="BR114" i="18" s="1"/>
  <c r="BR117" i="18" s="1"/>
  <c r="BH118" i="18"/>
  <c r="AS47" i="9"/>
  <c r="AV30" i="9"/>
  <c r="AU43" i="9"/>
  <c r="AI47" i="9"/>
  <c r="AL30" i="9"/>
  <c r="AK43" i="9"/>
  <c r="CB47" i="9"/>
  <c r="CE30" i="9"/>
  <c r="CD43" i="9"/>
  <c r="BC47" i="9"/>
  <c r="BF30" i="9"/>
  <c r="BE43" i="9"/>
  <c r="BM47" i="9"/>
  <c r="BP30" i="9"/>
  <c r="BO43" i="9"/>
  <c r="BO92" i="9"/>
  <c r="BN105" i="9"/>
  <c r="BE92" i="9"/>
  <c r="BD105" i="9"/>
  <c r="AI109" i="9"/>
  <c r="AL92" i="9"/>
  <c r="AK105" i="9"/>
  <c r="AU92" i="9"/>
  <c r="AT105" i="9"/>
  <c r="CB109" i="9"/>
  <c r="CE92" i="9"/>
  <c r="CD105" i="9"/>
  <c r="AI233" i="9"/>
  <c r="AI237" i="9" s="1"/>
  <c r="AJ230" i="9"/>
  <c r="AN215" i="9"/>
  <c r="AM215" i="9"/>
  <c r="BH215" i="9"/>
  <c r="BG215" i="9"/>
  <c r="BO215" i="9"/>
  <c r="BN229" i="9"/>
  <c r="AX215" i="9"/>
  <c r="AW215" i="9"/>
  <c r="AI171" i="9"/>
  <c r="AL153" i="9"/>
  <c r="AK167" i="9"/>
  <c r="BE153" i="9"/>
  <c r="BD167" i="9"/>
  <c r="BO153" i="9"/>
  <c r="BN167" i="9"/>
  <c r="AU153" i="9"/>
  <c r="AT167" i="9"/>
  <c r="CB171" i="9"/>
  <c r="CE153" i="9"/>
  <c r="CD167" i="9"/>
  <c r="Y55" i="9"/>
  <c r="AE137" i="9"/>
  <c r="AF137" i="9" s="1"/>
  <c r="AE10" i="9"/>
  <c r="AF10" i="9" s="1"/>
  <c r="C12" i="12" s="1"/>
  <c r="AE39" i="9"/>
  <c r="AF39" i="9" s="1"/>
  <c r="C41" i="12" s="1"/>
  <c r="AE19" i="9"/>
  <c r="AF19" i="9" s="1"/>
  <c r="C21" i="12" s="1"/>
  <c r="AE38" i="9"/>
  <c r="AF38" i="9" s="1"/>
  <c r="C40" i="12" s="1"/>
  <c r="AE8" i="9"/>
  <c r="AF8" i="9" s="1"/>
  <c r="C10" i="12" s="1"/>
  <c r="AE143" i="9"/>
  <c r="AF143" i="9" s="1"/>
  <c r="AE160" i="9"/>
  <c r="AF160" i="9" s="1"/>
  <c r="AE23" i="9"/>
  <c r="AF23" i="9" s="1"/>
  <c r="C25" i="12" s="1"/>
  <c r="AE139" i="9"/>
  <c r="AF139" i="9" s="1"/>
  <c r="AE144" i="9"/>
  <c r="AF144" i="9" s="1"/>
  <c r="AE156" i="9"/>
  <c r="AF156" i="9" s="1"/>
  <c r="AE18" i="9"/>
  <c r="AF18" i="9" s="1"/>
  <c r="C20" i="12" s="1"/>
  <c r="AE13" i="9"/>
  <c r="AF13" i="9" s="1"/>
  <c r="C15" i="12" s="1"/>
  <c r="AE141" i="9"/>
  <c r="AF141" i="9" s="1"/>
  <c r="AE24" i="9"/>
  <c r="AF24" i="9" s="1"/>
  <c r="C26" i="12" s="1"/>
  <c r="AE157" i="9"/>
  <c r="AF157" i="9" s="1"/>
  <c r="AE132" i="9"/>
  <c r="AF132" i="9" s="1"/>
  <c r="AE35" i="9"/>
  <c r="AF35" i="9" s="1"/>
  <c r="C37" i="12" s="1"/>
  <c r="AE29" i="9"/>
  <c r="AF29" i="9" s="1"/>
  <c r="C31" i="12" s="1"/>
  <c r="AE40" i="9"/>
  <c r="AF40" i="9" s="1"/>
  <c r="C42" i="12" s="1"/>
  <c r="AE149" i="9"/>
  <c r="AF149" i="9" s="1"/>
  <c r="AE152" i="9"/>
  <c r="AF152" i="9" s="1"/>
  <c r="AE147" i="9"/>
  <c r="AF147" i="9" s="1"/>
  <c r="AE151" i="9"/>
  <c r="AF151" i="9" s="1"/>
  <c r="AE41" i="9"/>
  <c r="AF41" i="9" s="1"/>
  <c r="C43" i="12" s="1"/>
  <c r="AE154" i="9"/>
  <c r="AF154" i="9" s="1"/>
  <c r="AE161" i="9"/>
  <c r="AF161" i="9" s="1"/>
  <c r="AE14" i="9"/>
  <c r="AF14" i="9" s="1"/>
  <c r="C16" i="12" s="1"/>
  <c r="AE16" i="9"/>
  <c r="AF16" i="9" s="1"/>
  <c r="C18" i="12" s="1"/>
  <c r="AE140" i="9"/>
  <c r="AF140" i="9" s="1"/>
  <c r="AE148" i="9"/>
  <c r="AF148" i="9" s="1"/>
  <c r="AE142" i="9"/>
  <c r="AF142" i="9" s="1"/>
  <c r="AE20" i="9"/>
  <c r="AF20" i="9" s="1"/>
  <c r="C22" i="12" s="1"/>
  <c r="AE136" i="9"/>
  <c r="AF136" i="9" s="1"/>
  <c r="AE25" i="9"/>
  <c r="AF25" i="9" s="1"/>
  <c r="C27" i="12" s="1"/>
  <c r="AE15" i="9"/>
  <c r="AF15" i="9" s="1"/>
  <c r="C17" i="12" s="1"/>
  <c r="AE166" i="9"/>
  <c r="AF166" i="9" s="1"/>
  <c r="AE133" i="9"/>
  <c r="AF133" i="9" s="1"/>
  <c r="AE27" i="9"/>
  <c r="AF27" i="9" s="1"/>
  <c r="C29" i="12" s="1"/>
  <c r="AE138" i="9"/>
  <c r="AF138" i="9" s="1"/>
  <c r="AE159" i="9"/>
  <c r="AF159" i="9" s="1"/>
  <c r="Y56" i="9"/>
  <c r="Y57" i="9" s="1"/>
  <c r="AE155" i="9"/>
  <c r="AF155" i="9" s="1"/>
  <c r="AE22" i="9"/>
  <c r="AF22" i="9" s="1"/>
  <c r="C24" i="12" s="1"/>
  <c r="AE134" i="9"/>
  <c r="AF134" i="9" s="1"/>
  <c r="AE37" i="9"/>
  <c r="AF37" i="9" s="1"/>
  <c r="C39" i="12" s="1"/>
  <c r="AE31" i="9"/>
  <c r="AF31" i="9" s="1"/>
  <c r="C33" i="12" s="1"/>
  <c r="AE12" i="9"/>
  <c r="AF12" i="9" s="1"/>
  <c r="C14" i="12" s="1"/>
  <c r="AE165" i="9"/>
  <c r="AF165" i="9" s="1"/>
  <c r="AE150" i="9"/>
  <c r="AF150" i="9" s="1"/>
  <c r="AE42" i="9"/>
  <c r="AF42" i="9" s="1"/>
  <c r="C44" i="12" s="1"/>
  <c r="AE153" i="9"/>
  <c r="AF153" i="9" s="1"/>
  <c r="AE146" i="9"/>
  <c r="AF146" i="9" s="1"/>
  <c r="AE32" i="9"/>
  <c r="AF32" i="9" s="1"/>
  <c r="C34" i="12" s="1"/>
  <c r="AE145" i="9"/>
  <c r="AF145" i="9" s="1"/>
  <c r="AE9" i="9"/>
  <c r="AF9" i="9" s="1"/>
  <c r="C11" i="12" s="1"/>
  <c r="AE11" i="9"/>
  <c r="AF11" i="9" s="1"/>
  <c r="C13" i="12" s="1"/>
  <c r="AE162" i="9"/>
  <c r="AF162" i="9" s="1"/>
  <c r="AE163" i="9"/>
  <c r="AF163" i="9" s="1"/>
  <c r="AE30" i="9"/>
  <c r="AF30" i="9" s="1"/>
  <c r="C32" i="12" s="1"/>
  <c r="AE7" i="9"/>
  <c r="AF7" i="9" s="1"/>
  <c r="C9" i="12" s="1"/>
  <c r="AE36" i="9"/>
  <c r="AF36" i="9" s="1"/>
  <c r="C38" i="12" s="1"/>
  <c r="AE33" i="9"/>
  <c r="AF33" i="9" s="1"/>
  <c r="C35" i="12" s="1"/>
  <c r="AE21" i="9"/>
  <c r="AF21" i="9" s="1"/>
  <c r="C23" i="12" s="1"/>
  <c r="AE28" i="9"/>
  <c r="AF28" i="9" s="1"/>
  <c r="C30" i="12" s="1"/>
  <c r="AE34" i="9"/>
  <c r="AF34" i="9" s="1"/>
  <c r="C36" i="12" s="1"/>
  <c r="AE158" i="9"/>
  <c r="AF158" i="9" s="1"/>
  <c r="AE131" i="9"/>
  <c r="AF131" i="9" s="1"/>
  <c r="AE17" i="9"/>
  <c r="AF17" i="9" s="1"/>
  <c r="C19" i="12" s="1"/>
  <c r="AE135" i="9"/>
  <c r="AF135" i="9" s="1"/>
  <c r="AE164" i="9"/>
  <c r="AF164" i="9" s="1"/>
  <c r="AE26" i="9"/>
  <c r="AF26" i="9" s="1"/>
  <c r="C28" i="12" s="1"/>
  <c r="Y178" i="9"/>
  <c r="Y179" i="9" s="1"/>
  <c r="Y180" i="9" s="1"/>
  <c r="Y181" i="9" s="1"/>
  <c r="AX152" i="9"/>
  <c r="AW152" i="9"/>
  <c r="BH152" i="9"/>
  <c r="BG152" i="9"/>
  <c r="BD39" i="18"/>
  <c r="BE39" i="18" s="1"/>
  <c r="BD26" i="18"/>
  <c r="BE26" i="18" s="1"/>
  <c r="BD27" i="18"/>
  <c r="BE27" i="18" s="1"/>
  <c r="BD12" i="18"/>
  <c r="BE12" i="18" s="1"/>
  <c r="BD9" i="18"/>
  <c r="BE9" i="18" s="1"/>
  <c r="BD28" i="18"/>
  <c r="BE28" i="18" s="1"/>
  <c r="AX58" i="18"/>
  <c r="AX59" i="18" s="1"/>
  <c r="BD36" i="18"/>
  <c r="BE36" i="18" s="1"/>
  <c r="BD29" i="18"/>
  <c r="BE29" i="18" s="1"/>
  <c r="BD40" i="18"/>
  <c r="BE40" i="18" s="1"/>
  <c r="BD18" i="18"/>
  <c r="BE18" i="18" s="1"/>
  <c r="BD32" i="18"/>
  <c r="BE32" i="18" s="1"/>
  <c r="BD33" i="18"/>
  <c r="BE33" i="18" s="1"/>
  <c r="BD44" i="18"/>
  <c r="BE44" i="18" s="1"/>
  <c r="BD37" i="18"/>
  <c r="BE37" i="18" s="1"/>
  <c r="BD15" i="18"/>
  <c r="BE15" i="18" s="1"/>
  <c r="BD16" i="18"/>
  <c r="BE16" i="18" s="1"/>
  <c r="BD13" i="18"/>
  <c r="BE13" i="18" s="1"/>
  <c r="BD19" i="18"/>
  <c r="BE19" i="18" s="1"/>
  <c r="BD11" i="18"/>
  <c r="BE11" i="18" s="1"/>
  <c r="BD25" i="18"/>
  <c r="BE25" i="18" s="1"/>
  <c r="BD30" i="18"/>
  <c r="BE30" i="18" s="1"/>
  <c r="BD24" i="18"/>
  <c r="BE24" i="18" s="1"/>
  <c r="BD21" i="18"/>
  <c r="BE21" i="18" s="1"/>
  <c r="BD35" i="18"/>
  <c r="BE35" i="18" s="1"/>
  <c r="BD41" i="18"/>
  <c r="BE41" i="18" s="1"/>
  <c r="BD14" i="18"/>
  <c r="BE14" i="18" s="1"/>
  <c r="BD22" i="18"/>
  <c r="BE22" i="18" s="1"/>
  <c r="BD23" i="18"/>
  <c r="BE23" i="18" s="1"/>
  <c r="BD10" i="18"/>
  <c r="BE10" i="18" s="1"/>
  <c r="BD31" i="18"/>
  <c r="BE31" i="18" s="1"/>
  <c r="BD17" i="18"/>
  <c r="BE17" i="18" s="1"/>
  <c r="BD34" i="18"/>
  <c r="BE34" i="18" s="1"/>
  <c r="BD43" i="18"/>
  <c r="BE43" i="18" s="1"/>
  <c r="BD20" i="18"/>
  <c r="BE20" i="18" s="1"/>
  <c r="BD42" i="18"/>
  <c r="BE42" i="18" s="1"/>
  <c r="BD38" i="18"/>
  <c r="BE38" i="18" s="1"/>
  <c r="BG101" i="9"/>
  <c r="BH101" i="9"/>
  <c r="BQ101" i="9"/>
  <c r="BR101" i="9"/>
  <c r="AM101" i="9"/>
  <c r="AN101" i="9"/>
  <c r="AX101" i="9"/>
  <c r="AW101" i="9"/>
  <c r="I30" i="17"/>
  <c r="I37" i="17"/>
  <c r="I27" i="17"/>
  <c r="I47" i="17"/>
  <c r="I25" i="17"/>
  <c r="I46" i="17"/>
  <c r="I33" i="17"/>
  <c r="I39" i="17"/>
  <c r="I35" i="17"/>
  <c r="I40" i="17"/>
  <c r="I44" i="17"/>
  <c r="I28" i="17"/>
  <c r="I36" i="17"/>
  <c r="I43" i="17"/>
  <c r="I34" i="17"/>
  <c r="I29" i="17"/>
  <c r="I32" i="17"/>
  <c r="I26" i="17"/>
  <c r="I38" i="17"/>
  <c r="I24" i="17"/>
  <c r="I41" i="17"/>
  <c r="I42" i="17"/>
  <c r="I31" i="17"/>
  <c r="I45" i="17"/>
  <c r="I22" i="17"/>
  <c r="I23" i="17"/>
  <c r="I14" i="17"/>
  <c r="I19" i="17"/>
  <c r="I21" i="17"/>
  <c r="I17" i="17"/>
  <c r="I18" i="17"/>
  <c r="I15" i="17"/>
  <c r="I20" i="17"/>
  <c r="I16" i="17"/>
  <c r="CD218" i="9"/>
  <c r="CC229" i="9"/>
  <c r="BG218" i="9"/>
  <c r="BH218" i="9"/>
  <c r="BR218" i="9"/>
  <c r="BQ218" i="9"/>
  <c r="AN218" i="9"/>
  <c r="AM218" i="9"/>
  <c r="AW218" i="9"/>
  <c r="AX218" i="9"/>
  <c r="CG156" i="9"/>
  <c r="CF156" i="9"/>
  <c r="AN156" i="9"/>
  <c r="AM156" i="9"/>
  <c r="BG156" i="9"/>
  <c r="BH156" i="9"/>
  <c r="AW156" i="9"/>
  <c r="AX156" i="9"/>
  <c r="BQ156" i="9"/>
  <c r="BR156" i="9"/>
  <c r="BG97" i="9"/>
  <c r="BH97" i="9"/>
  <c r="AN97" i="9"/>
  <c r="AM97" i="9"/>
  <c r="BR97" i="9"/>
  <c r="BQ97" i="9"/>
  <c r="AX97" i="9"/>
  <c r="AW97" i="9"/>
  <c r="BH223" i="9"/>
  <c r="BG223" i="9"/>
  <c r="AN223" i="9"/>
  <c r="AM223" i="9"/>
  <c r="BQ223" i="9"/>
  <c r="BR223" i="9"/>
  <c r="AW223" i="9"/>
  <c r="AX223" i="9"/>
  <c r="AW161" i="9"/>
  <c r="AX161" i="9"/>
  <c r="AN161" i="9"/>
  <c r="AM161" i="9"/>
  <c r="BQ161" i="9"/>
  <c r="BR161" i="9"/>
  <c r="BG161" i="9"/>
  <c r="BH161" i="9"/>
  <c r="AW102" i="9"/>
  <c r="AX102" i="9"/>
  <c r="BR102" i="9"/>
  <c r="BQ102" i="9"/>
  <c r="AM102" i="9"/>
  <c r="AN102" i="9"/>
  <c r="BG102" i="9"/>
  <c r="BH102" i="9"/>
  <c r="AW99" i="9"/>
  <c r="AX99" i="9"/>
  <c r="BQ99" i="9"/>
  <c r="BR99" i="9"/>
  <c r="AN99" i="9"/>
  <c r="AM99" i="9"/>
  <c r="BH99" i="9"/>
  <c r="BG99" i="9"/>
  <c r="AW163" i="9"/>
  <c r="AX163" i="9"/>
  <c r="BG163" i="9"/>
  <c r="BH163" i="9"/>
  <c r="AM163" i="9"/>
  <c r="AN163" i="9"/>
  <c r="BQ163" i="9"/>
  <c r="BR163" i="9"/>
  <c r="AM225" i="9"/>
  <c r="AN225" i="9"/>
  <c r="BQ225" i="9"/>
  <c r="BR225" i="9"/>
  <c r="BG225" i="9"/>
  <c r="BH225" i="9"/>
  <c r="AX225" i="9"/>
  <c r="AW225" i="9"/>
  <c r="G43" i="4"/>
  <c r="AA54" i="19"/>
  <c r="U53" i="14"/>
  <c r="P115" i="10"/>
  <c r="P169" i="10" s="1"/>
  <c r="Q115" i="10"/>
  <c r="Q169" i="10" s="1"/>
  <c r="AB54" i="19"/>
  <c r="V53" i="14"/>
  <c r="H43" i="4"/>
  <c r="G42" i="4"/>
  <c r="U54" i="14"/>
  <c r="AA55" i="19"/>
  <c r="P116" i="10"/>
  <c r="P170" i="10" s="1"/>
  <c r="H42" i="4"/>
  <c r="V54" i="14"/>
  <c r="Q116" i="10"/>
  <c r="Q170" i="10" s="1"/>
  <c r="AB55" i="19"/>
  <c r="AX100" i="9"/>
  <c r="AW100" i="9"/>
  <c r="BR100" i="9"/>
  <c r="BQ100" i="9"/>
  <c r="BG100" i="9"/>
  <c r="BH100" i="9"/>
  <c r="AM100" i="9"/>
  <c r="AN100" i="9"/>
  <c r="AN164" i="9"/>
  <c r="AM164" i="9"/>
  <c r="AW164" i="9"/>
  <c r="AX164" i="9"/>
  <c r="BR164" i="9"/>
  <c r="BQ164" i="9"/>
  <c r="BG164" i="9"/>
  <c r="BH164" i="9"/>
  <c r="AM226" i="9"/>
  <c r="AN226" i="9"/>
  <c r="BH226" i="9"/>
  <c r="BG226" i="9"/>
  <c r="BR226" i="9"/>
  <c r="BQ226" i="9"/>
  <c r="AW226" i="9"/>
  <c r="AX226" i="9"/>
  <c r="B121" i="19"/>
  <c r="E121" i="19" s="1"/>
  <c r="E11" i="19"/>
  <c r="D11" i="16"/>
  <c r="L118" i="5"/>
  <c r="G11" i="19" s="1"/>
  <c r="G121" i="19" s="1"/>
  <c r="AB36" i="10"/>
  <c r="I118" i="5"/>
  <c r="Z35" i="10"/>
  <c r="B12" i="19"/>
  <c r="E119" i="5"/>
  <c r="B12" i="16"/>
  <c r="C120" i="5"/>
  <c r="AE25" i="5"/>
  <c r="AF26" i="5"/>
  <c r="B120" i="5" s="1"/>
  <c r="C12" i="19"/>
  <c r="C122" i="19" s="1"/>
  <c r="C12" i="16"/>
  <c r="AA35" i="10"/>
  <c r="CF96" i="18"/>
  <c r="CG96" i="18"/>
  <c r="BS108" i="18"/>
  <c r="BR111" i="18"/>
  <c r="BR115" i="18" s="1"/>
  <c r="BV96" i="18"/>
  <c r="BW96" i="18"/>
  <c r="P114" i="10"/>
  <c r="P168" i="10" s="1"/>
  <c r="G44" i="4"/>
  <c r="U52" i="14"/>
  <c r="AA53" i="19"/>
  <c r="Q114" i="10"/>
  <c r="Q168" i="10" s="1"/>
  <c r="H44" i="4"/>
  <c r="V52" i="14"/>
  <c r="AB53" i="19"/>
  <c r="AM96" i="9"/>
  <c r="AN96" i="9"/>
  <c r="BH96" i="9"/>
  <c r="BG96" i="9"/>
  <c r="BR96" i="9"/>
  <c r="BQ96" i="9"/>
  <c r="AW96" i="9"/>
  <c r="AX96" i="9"/>
  <c r="AX222" i="9"/>
  <c r="AW222" i="9"/>
  <c r="BH222" i="9"/>
  <c r="BG222" i="9"/>
  <c r="BR222" i="9"/>
  <c r="BQ222" i="9"/>
  <c r="AM222" i="9"/>
  <c r="AN222" i="9"/>
  <c r="AN160" i="9"/>
  <c r="AM160" i="9"/>
  <c r="AX160" i="9"/>
  <c r="AW160" i="9"/>
  <c r="BG160" i="9"/>
  <c r="BH160" i="9"/>
  <c r="BR160" i="9"/>
  <c r="BQ160" i="9"/>
  <c r="CF95" i="9"/>
  <c r="CG95" i="9"/>
  <c r="AW95" i="9"/>
  <c r="AX95" i="9"/>
  <c r="AM95" i="9"/>
  <c r="AN95" i="9"/>
  <c r="BR95" i="9"/>
  <c r="BQ95" i="9"/>
  <c r="BH95" i="9"/>
  <c r="BG95" i="9"/>
  <c r="BH33" i="9"/>
  <c r="BG33" i="9"/>
  <c r="BR33" i="9"/>
  <c r="BQ33" i="9"/>
  <c r="AM33" i="9"/>
  <c r="AN33" i="9"/>
  <c r="AW33" i="9"/>
  <c r="AX33" i="9"/>
  <c r="CF33" i="9"/>
  <c r="CG33" i="9"/>
  <c r="BQ221" i="9"/>
  <c r="BR221" i="9"/>
  <c r="BH221" i="9"/>
  <c r="BG221" i="9"/>
  <c r="AM221" i="9"/>
  <c r="AN221" i="9"/>
  <c r="AX221" i="9"/>
  <c r="AW221" i="9"/>
  <c r="AW159" i="9"/>
  <c r="AX159" i="9"/>
  <c r="AM159" i="9"/>
  <c r="AN159" i="9"/>
  <c r="BR159" i="9"/>
  <c r="BQ159" i="9"/>
  <c r="BG159" i="9"/>
  <c r="BH159" i="9"/>
  <c r="BH98" i="9"/>
  <c r="BG98" i="9"/>
  <c r="BR98" i="9"/>
  <c r="BQ98" i="9"/>
  <c r="AW98" i="9"/>
  <c r="AX98" i="9"/>
  <c r="AM98" i="9"/>
  <c r="AN98" i="9"/>
  <c r="AW162" i="9"/>
  <c r="AX162" i="9"/>
  <c r="BQ162" i="9"/>
  <c r="BR162" i="9"/>
  <c r="BG162" i="9"/>
  <c r="BH162" i="9"/>
  <c r="AN162" i="9"/>
  <c r="AM162" i="9"/>
  <c r="AW224" i="9"/>
  <c r="AX224" i="9"/>
  <c r="BR224" i="9"/>
  <c r="BQ224" i="9"/>
  <c r="AM224" i="9"/>
  <c r="AN224" i="9"/>
  <c r="BH224" i="9"/>
  <c r="BG224" i="9"/>
  <c r="Z34" i="10" l="1"/>
  <c r="B13" i="19"/>
  <c r="E120" i="5"/>
  <c r="B13" i="16"/>
  <c r="C121" i="5"/>
  <c r="AE24" i="5"/>
  <c r="AF25" i="5"/>
  <c r="B121" i="5" s="1"/>
  <c r="AA34" i="10"/>
  <c r="C13" i="16"/>
  <c r="C13" i="19"/>
  <c r="C123" i="19" s="1"/>
  <c r="D12" i="16"/>
  <c r="I119" i="5"/>
  <c r="AB35" i="10"/>
  <c r="L119" i="5"/>
  <c r="G12" i="19" s="1"/>
  <c r="G122" i="19" s="1"/>
  <c r="E12" i="19"/>
  <c r="B122" i="19"/>
  <c r="E122" i="19" s="1"/>
  <c r="L11" i="16"/>
  <c r="V11" i="16" s="1"/>
  <c r="V57" i="16"/>
  <c r="CB233" i="9"/>
  <c r="CE218" i="9"/>
  <c r="CD229" i="9"/>
  <c r="N16" i="17"/>
  <c r="W16" i="17"/>
  <c r="N20" i="17"/>
  <c r="W20" i="17"/>
  <c r="N15" i="17"/>
  <c r="W15" i="17"/>
  <c r="N18" i="17"/>
  <c r="W18" i="17"/>
  <c r="N17" i="17"/>
  <c r="W17" i="17"/>
  <c r="N21" i="17"/>
  <c r="W21" i="17"/>
  <c r="N19" i="17"/>
  <c r="W19" i="17"/>
  <c r="W14" i="17"/>
  <c r="N14" i="17"/>
  <c r="V14" i="17"/>
  <c r="U14" i="17"/>
  <c r="T14" i="17"/>
  <c r="S14" i="17"/>
  <c r="M14" i="17"/>
  <c r="J14" i="17"/>
  <c r="L14" i="17"/>
  <c r="K14" i="17"/>
  <c r="W23" i="17"/>
  <c r="N23" i="17"/>
  <c r="N22" i="17"/>
  <c r="W22" i="17"/>
  <c r="W45" i="17"/>
  <c r="N45" i="17"/>
  <c r="W31" i="17"/>
  <c r="N31" i="17"/>
  <c r="N42" i="17"/>
  <c r="W42" i="17"/>
  <c r="N41" i="17"/>
  <c r="W41" i="17"/>
  <c r="W24" i="17"/>
  <c r="N24" i="17"/>
  <c r="W38" i="17"/>
  <c r="N38" i="17"/>
  <c r="W26" i="17"/>
  <c r="N26" i="17"/>
  <c r="W32" i="17"/>
  <c r="N32" i="17"/>
  <c r="W29" i="17"/>
  <c r="N29" i="17"/>
  <c r="N34" i="17"/>
  <c r="W34" i="17"/>
  <c r="W43" i="17"/>
  <c r="N43" i="17"/>
  <c r="N36" i="17"/>
  <c r="W36" i="17"/>
  <c r="N28" i="17"/>
  <c r="W28" i="17"/>
  <c r="W44" i="17"/>
  <c r="N44" i="17"/>
  <c r="W40" i="17"/>
  <c r="N40" i="17"/>
  <c r="N35" i="17"/>
  <c r="W35" i="17"/>
  <c r="N39" i="17"/>
  <c r="W39" i="17"/>
  <c r="N33" i="17"/>
  <c r="W33" i="17"/>
  <c r="N46" i="17"/>
  <c r="W46" i="17"/>
  <c r="N25" i="17"/>
  <c r="W25" i="17"/>
  <c r="W47" i="17"/>
  <c r="N47" i="17"/>
  <c r="W27" i="17"/>
  <c r="N27" i="17"/>
  <c r="N37" i="17"/>
  <c r="W37" i="17"/>
  <c r="N30" i="17"/>
  <c r="W30" i="17"/>
  <c r="CB170" i="9"/>
  <c r="CC168" i="9"/>
  <c r="CF153" i="9"/>
  <c r="CF167" i="9" s="1"/>
  <c r="CF168" i="9" s="1"/>
  <c r="CB176" i="9" s="1"/>
  <c r="CG153" i="9"/>
  <c r="CG167" i="9" s="1"/>
  <c r="CG168" i="9" s="1"/>
  <c r="CB173" i="9" s="1"/>
  <c r="CE167" i="9"/>
  <c r="CE168" i="9" s="1"/>
  <c r="CB174" i="9" s="1"/>
  <c r="CB177" i="9" s="1"/>
  <c r="CB175" i="9"/>
  <c r="AS171" i="9"/>
  <c r="AV153" i="9"/>
  <c r="AU167" i="9"/>
  <c r="BM171" i="9"/>
  <c r="BP153" i="9"/>
  <c r="BO167" i="9"/>
  <c r="BC171" i="9"/>
  <c r="BF153" i="9"/>
  <c r="BE167" i="9"/>
  <c r="AI170" i="9"/>
  <c r="AJ168" i="9"/>
  <c r="AN153" i="9"/>
  <c r="AN167" i="9" s="1"/>
  <c r="AN168" i="9" s="1"/>
  <c r="AI173" i="9" s="1"/>
  <c r="AM153" i="9"/>
  <c r="AM167" i="9" s="1"/>
  <c r="AM168" i="9" s="1"/>
  <c r="AI176" i="9" s="1"/>
  <c r="AL167" i="9"/>
  <c r="AL168" i="9" s="1"/>
  <c r="AI174" i="9" s="1"/>
  <c r="AI177" i="9" s="1"/>
  <c r="AI175" i="9"/>
  <c r="BM233" i="9"/>
  <c r="BP215" i="9"/>
  <c r="BO229" i="9"/>
  <c r="AM229" i="9"/>
  <c r="AM230" i="9" s="1"/>
  <c r="AI238" i="9" s="1"/>
  <c r="AN229" i="9"/>
  <c r="AN230" i="9" s="1"/>
  <c r="AI235" i="9" s="1"/>
  <c r="AI240" i="9" s="1"/>
  <c r="AI241" i="9" s="1"/>
  <c r="AI242" i="9" s="1"/>
  <c r="CB108" i="9"/>
  <c r="CC106" i="9"/>
  <c r="CF92" i="9"/>
  <c r="CF105" i="9" s="1"/>
  <c r="CF106" i="9" s="1"/>
  <c r="CB114" i="9" s="1"/>
  <c r="CG92" i="9"/>
  <c r="CG105" i="9" s="1"/>
  <c r="CG106" i="9" s="1"/>
  <c r="CB111" i="9" s="1"/>
  <c r="CE105" i="9"/>
  <c r="CE106" i="9" s="1"/>
  <c r="CB112" i="9" s="1"/>
  <c r="CB115" i="9" s="1"/>
  <c r="CB113" i="9"/>
  <c r="AS109" i="9"/>
  <c r="AV92" i="9"/>
  <c r="AU105" i="9"/>
  <c r="AI108" i="9"/>
  <c r="AJ106" i="9"/>
  <c r="AM92" i="9"/>
  <c r="AM105" i="9" s="1"/>
  <c r="AM106" i="9" s="1"/>
  <c r="AI114" i="9" s="1"/>
  <c r="AN92" i="9"/>
  <c r="AN105" i="9" s="1"/>
  <c r="AN106" i="9" s="1"/>
  <c r="AI111" i="9" s="1"/>
  <c r="AL105" i="9"/>
  <c r="AL106" i="9" s="1"/>
  <c r="AI112" i="9" s="1"/>
  <c r="AI115" i="9" s="1"/>
  <c r="AI113" i="9"/>
  <c r="BC109" i="9"/>
  <c r="BF92" i="9"/>
  <c r="BE105" i="9"/>
  <c r="BM109" i="9"/>
  <c r="BP92" i="9"/>
  <c r="BO105" i="9"/>
  <c r="BM46" i="9"/>
  <c r="BN44" i="9"/>
  <c r="BR30" i="9"/>
  <c r="BR43" i="9" s="1"/>
  <c r="BR44" i="9" s="1"/>
  <c r="BM49" i="9" s="1"/>
  <c r="BQ30" i="9"/>
  <c r="BQ43" i="9" s="1"/>
  <c r="BQ44" i="9" s="1"/>
  <c r="BM52" i="9" s="1"/>
  <c r="BP43" i="9"/>
  <c r="BP44" i="9" s="1"/>
  <c r="BM50" i="9" s="1"/>
  <c r="BM53" i="9" s="1"/>
  <c r="BM51" i="9"/>
  <c r="BC46" i="9"/>
  <c r="BD44" i="9"/>
  <c r="BG30" i="9"/>
  <c r="BG43" i="9" s="1"/>
  <c r="BG44" i="9" s="1"/>
  <c r="BC52" i="9" s="1"/>
  <c r="BH30" i="9"/>
  <c r="BH43" i="9" s="1"/>
  <c r="BH44" i="9" s="1"/>
  <c r="BC49" i="9" s="1"/>
  <c r="BF43" i="9"/>
  <c r="BF44" i="9" s="1"/>
  <c r="BC50" i="9" s="1"/>
  <c r="BC53" i="9" s="1"/>
  <c r="BC51" i="9"/>
  <c r="CB46" i="9"/>
  <c r="CC44" i="9"/>
  <c r="CG30" i="9"/>
  <c r="CG43" i="9" s="1"/>
  <c r="CG44" i="9" s="1"/>
  <c r="CB49" i="9" s="1"/>
  <c r="CF30" i="9"/>
  <c r="CF43" i="9" s="1"/>
  <c r="CF44" i="9" s="1"/>
  <c r="CB52" i="9" s="1"/>
  <c r="CE43" i="9"/>
  <c r="CE44" i="9" s="1"/>
  <c r="CB50" i="9" s="1"/>
  <c r="CB53" i="9" s="1"/>
  <c r="CB51" i="9"/>
  <c r="AI46" i="9"/>
  <c r="AJ44" i="9"/>
  <c r="AM30" i="9"/>
  <c r="AM43" i="9" s="1"/>
  <c r="AM44" i="9" s="1"/>
  <c r="AI52" i="9" s="1"/>
  <c r="AN30" i="9"/>
  <c r="AN43" i="9" s="1"/>
  <c r="AN44" i="9" s="1"/>
  <c r="AI49" i="9" s="1"/>
  <c r="AL43" i="9"/>
  <c r="AL44" i="9" s="1"/>
  <c r="AI50" i="9" s="1"/>
  <c r="AI53" i="9" s="1"/>
  <c r="AI51" i="9"/>
  <c r="AS46" i="9"/>
  <c r="AT44" i="9"/>
  <c r="AX30" i="9"/>
  <c r="AX43" i="9" s="1"/>
  <c r="AX44" i="9" s="1"/>
  <c r="AS49" i="9" s="1"/>
  <c r="AW30" i="9"/>
  <c r="AW43" i="9" s="1"/>
  <c r="AW44" i="9" s="1"/>
  <c r="AS52" i="9" s="1"/>
  <c r="AV43" i="9"/>
  <c r="AV44" i="9" s="1"/>
  <c r="AS50" i="9" s="1"/>
  <c r="AS53" i="9" s="1"/>
  <c r="AS51" i="9"/>
  <c r="BH119" i="18"/>
  <c r="BN105" i="18" s="1"/>
  <c r="BO105" i="18" s="1"/>
  <c r="BN71" i="18"/>
  <c r="BO71" i="18" s="1"/>
  <c r="BN95" i="18"/>
  <c r="BO95" i="18" s="1"/>
  <c r="BN82" i="18"/>
  <c r="BO82" i="18" s="1"/>
  <c r="BN100" i="18"/>
  <c r="BO100" i="18" s="1"/>
  <c r="BN87" i="18"/>
  <c r="BO87" i="18" s="1"/>
  <c r="BN84" i="18"/>
  <c r="BO84" i="18" s="1"/>
  <c r="BN76" i="18"/>
  <c r="BO76" i="18" s="1"/>
  <c r="BN74" i="18"/>
  <c r="BO74" i="18" s="1"/>
  <c r="BN91" i="18"/>
  <c r="BO91" i="18" s="1"/>
  <c r="BN102" i="18"/>
  <c r="BO102" i="18" s="1"/>
  <c r="BN85" i="18"/>
  <c r="BO85" i="18" s="1"/>
  <c r="BN77" i="18"/>
  <c r="BO77" i="18" s="1"/>
  <c r="BH120" i="18"/>
  <c r="BH121" i="18" s="1"/>
  <c r="BN93" i="18"/>
  <c r="BO93" i="18" s="1"/>
  <c r="BN103" i="18"/>
  <c r="BO103" i="18" s="1"/>
  <c r="BN89" i="18"/>
  <c r="BO89" i="18" s="1"/>
  <c r="BN73" i="18"/>
  <c r="BO73" i="18" s="1"/>
  <c r="BN78" i="18"/>
  <c r="BO78" i="18" s="1"/>
  <c r="BN97" i="18"/>
  <c r="BO97" i="18" s="1"/>
  <c r="BN92" i="18"/>
  <c r="BO92" i="18" s="1"/>
  <c r="BN90" i="18"/>
  <c r="BO90" i="18" s="1"/>
  <c r="BN99" i="18"/>
  <c r="BO99" i="18" s="1"/>
  <c r="BN101" i="18"/>
  <c r="BO101" i="18" s="1"/>
  <c r="BN72" i="18"/>
  <c r="BO72" i="18" s="1"/>
  <c r="BN83" i="18"/>
  <c r="BO83" i="18" s="1"/>
  <c r="BN94" i="18"/>
  <c r="BO94" i="18" s="1"/>
  <c r="BN96" i="18"/>
  <c r="BO96" i="18" s="1"/>
  <c r="BN80" i="18"/>
  <c r="BO80" i="18" s="1"/>
  <c r="BN98" i="18"/>
  <c r="BO98" i="18" s="1"/>
  <c r="BN86" i="18"/>
  <c r="BO86" i="18" s="1"/>
  <c r="BN79" i="18"/>
  <c r="BO79" i="18" s="1"/>
  <c r="BN81" i="18"/>
  <c r="BO81" i="18" s="1"/>
  <c r="BN104" i="18"/>
  <c r="BO104" i="18" s="1"/>
  <c r="BN106" i="18"/>
  <c r="BO106" i="18" s="1"/>
  <c r="BN88" i="18"/>
  <c r="BO88" i="18" s="1"/>
  <c r="BN75" i="18"/>
  <c r="BO75" i="18" s="1"/>
  <c r="BW107" i="18"/>
  <c r="BW108" i="18" s="1"/>
  <c r="BR113" i="18" s="1"/>
  <c r="BV107" i="18"/>
  <c r="BV108" i="18" s="1"/>
  <c r="BR116" i="18" s="1"/>
  <c r="CB110" i="18"/>
  <c r="CC108" i="18"/>
  <c r="CF94" i="18"/>
  <c r="CF107" i="18" s="1"/>
  <c r="CF108" i="18" s="1"/>
  <c r="CB116" i="18" s="1"/>
  <c r="CG94" i="18"/>
  <c r="CG107" i="18" s="1"/>
  <c r="CG108" i="18" s="1"/>
  <c r="CB113" i="18" s="1"/>
  <c r="CE107" i="18"/>
  <c r="CE108" i="18" s="1"/>
  <c r="CB114" i="18" s="1"/>
  <c r="CB117" i="18" s="1"/>
  <c r="CB115" i="18"/>
  <c r="AU119" i="18"/>
  <c r="BD100" i="18"/>
  <c r="BE100" i="18" s="1"/>
  <c r="BD74" i="18"/>
  <c r="BE74" i="18" s="1"/>
  <c r="BD93" i="18"/>
  <c r="BE93" i="18" s="1"/>
  <c r="BD98" i="18"/>
  <c r="BE98" i="18" s="1"/>
  <c r="BD87" i="18"/>
  <c r="BE87" i="18" s="1"/>
  <c r="BD103" i="18"/>
  <c r="BE103" i="18" s="1"/>
  <c r="BD77" i="18"/>
  <c r="BE77" i="18" s="1"/>
  <c r="BD101" i="18"/>
  <c r="BE101" i="18" s="1"/>
  <c r="BD91" i="18"/>
  <c r="BE91" i="18" s="1"/>
  <c r="BD92" i="18"/>
  <c r="BE92" i="18" s="1"/>
  <c r="BD71" i="18"/>
  <c r="BE71" i="18" s="1"/>
  <c r="BD85" i="18"/>
  <c r="BE85" i="18" s="1"/>
  <c r="BD76" i="18"/>
  <c r="BE76" i="18" s="1"/>
  <c r="BD89" i="18"/>
  <c r="BE89" i="18" s="1"/>
  <c r="BD95" i="18"/>
  <c r="BE95" i="18" s="1"/>
  <c r="BD82" i="18"/>
  <c r="BE82" i="18" s="1"/>
  <c r="BD81" i="18"/>
  <c r="BE81" i="18" s="1"/>
  <c r="BD80" i="18"/>
  <c r="BE80" i="18" s="1"/>
  <c r="BD104" i="18"/>
  <c r="BE104" i="18" s="1"/>
  <c r="BD96" i="18"/>
  <c r="BE96" i="18" s="1"/>
  <c r="BD106" i="18"/>
  <c r="BE106" i="18" s="1"/>
  <c r="BD97" i="18"/>
  <c r="BE97" i="18" s="1"/>
  <c r="BD79" i="18"/>
  <c r="BE79" i="18" s="1"/>
  <c r="BD88" i="18"/>
  <c r="BE88" i="18" s="1"/>
  <c r="BD105" i="18"/>
  <c r="BE105" i="18" s="1"/>
  <c r="BD75" i="18"/>
  <c r="BE75" i="18" s="1"/>
  <c r="BD73" i="18"/>
  <c r="BE73" i="18" s="1"/>
  <c r="BD86" i="18"/>
  <c r="BE86" i="18" s="1"/>
  <c r="BD78" i="18"/>
  <c r="BE78" i="18" s="1"/>
  <c r="BD94" i="18"/>
  <c r="BE94" i="18" s="1"/>
  <c r="BD99" i="18"/>
  <c r="BE99" i="18" s="1"/>
  <c r="BD72" i="18"/>
  <c r="BE72" i="18" s="1"/>
  <c r="BD83" i="18"/>
  <c r="BE83" i="18" s="1"/>
  <c r="AX120" i="18"/>
  <c r="BD90" i="18"/>
  <c r="BE90" i="18" s="1"/>
  <c r="BD84" i="18"/>
  <c r="BE84" i="18" s="1"/>
  <c r="BD102" i="18"/>
  <c r="BE102" i="18" s="1"/>
  <c r="Y240" i="9"/>
  <c r="Y241" i="9" s="1"/>
  <c r="Y242" i="9" s="1"/>
  <c r="Y243" i="9" s="1"/>
  <c r="V116" i="9"/>
  <c r="Y117" i="9"/>
  <c r="BC232" i="9"/>
  <c r="BD230" i="9"/>
  <c r="BG214" i="9"/>
  <c r="BG229" i="9" s="1"/>
  <c r="BG230" i="9" s="1"/>
  <c r="BC238" i="9" s="1"/>
  <c r="BH214" i="9"/>
  <c r="BH229" i="9" s="1"/>
  <c r="BH230" i="9" s="1"/>
  <c r="BC235" i="9" s="1"/>
  <c r="BF229" i="9"/>
  <c r="BF230" i="9" s="1"/>
  <c r="BC236" i="9" s="1"/>
  <c r="BC239" i="9" s="1"/>
  <c r="BC237" i="9"/>
  <c r="AS232" i="9"/>
  <c r="AT230" i="9"/>
  <c r="AX214" i="9"/>
  <c r="AX229" i="9" s="1"/>
  <c r="AX230" i="9" s="1"/>
  <c r="AS235" i="9" s="1"/>
  <c r="AW214" i="9"/>
  <c r="AW229" i="9" s="1"/>
  <c r="AW230" i="9" s="1"/>
  <c r="AS238" i="9" s="1"/>
  <c r="AV229" i="9"/>
  <c r="AV230" i="9" s="1"/>
  <c r="AS236" i="9" s="1"/>
  <c r="AS239" i="9" s="1"/>
  <c r="AS237" i="9"/>
  <c r="AS240" i="9" l="1"/>
  <c r="AS241" i="9" s="1"/>
  <c r="AS242" i="9" s="1"/>
  <c r="BC240" i="9"/>
  <c r="BC241" i="9" s="1"/>
  <c r="BC242" i="9" s="1"/>
  <c r="V117" i="9"/>
  <c r="AE84" i="9"/>
  <c r="AF84" i="9" s="1"/>
  <c r="F24" i="12" s="1"/>
  <c r="G24" i="12" s="1"/>
  <c r="AE14" i="12" s="1"/>
  <c r="AE80" i="9"/>
  <c r="AF80" i="9" s="1"/>
  <c r="F20" i="12" s="1"/>
  <c r="G20" i="12" s="1"/>
  <c r="AD22" i="12" s="1"/>
  <c r="AE92" i="9"/>
  <c r="AF92" i="9" s="1"/>
  <c r="F32" i="12" s="1"/>
  <c r="G32" i="12" s="1"/>
  <c r="AE22" i="12" s="1"/>
  <c r="AE83" i="9"/>
  <c r="AF83" i="9" s="1"/>
  <c r="F23" i="12" s="1"/>
  <c r="G23" i="12" s="1"/>
  <c r="AE13" i="12" s="1"/>
  <c r="AE215" i="9"/>
  <c r="AF215" i="9" s="1"/>
  <c r="AE69" i="9"/>
  <c r="AF69" i="9" s="1"/>
  <c r="F9" i="12" s="1"/>
  <c r="G9" i="12" s="1"/>
  <c r="AD11" i="12" s="1"/>
  <c r="AE211" i="9"/>
  <c r="AF211" i="9" s="1"/>
  <c r="AE95" i="9"/>
  <c r="AF95" i="9" s="1"/>
  <c r="F35" i="12" s="1"/>
  <c r="G35" i="12" s="1"/>
  <c r="AF13" i="12" s="1"/>
  <c r="AE202" i="9"/>
  <c r="AF202" i="9" s="1"/>
  <c r="AE200" i="9"/>
  <c r="AF200" i="9" s="1"/>
  <c r="AE70" i="9"/>
  <c r="AF70" i="9" s="1"/>
  <c r="F10" i="12" s="1"/>
  <c r="G10" i="12" s="1"/>
  <c r="AD12" i="12" s="1"/>
  <c r="AE89" i="9"/>
  <c r="AF89" i="9" s="1"/>
  <c r="F29" i="12" s="1"/>
  <c r="G29" i="12" s="1"/>
  <c r="AE19" i="12" s="1"/>
  <c r="AE203" i="9"/>
  <c r="AF203" i="9" s="1"/>
  <c r="AE212" i="9"/>
  <c r="AF212" i="9" s="1"/>
  <c r="AE100" i="9"/>
  <c r="AF100" i="9" s="1"/>
  <c r="F40" i="12" s="1"/>
  <c r="G40" i="12" s="1"/>
  <c r="AF18" i="12" s="1"/>
  <c r="AE227" i="9"/>
  <c r="AF227" i="9" s="1"/>
  <c r="AE87" i="9"/>
  <c r="AF87" i="9" s="1"/>
  <c r="F27" i="12" s="1"/>
  <c r="G27" i="12" s="1"/>
  <c r="AE17" i="12" s="1"/>
  <c r="AE221" i="9"/>
  <c r="AF221" i="9" s="1"/>
  <c r="AE228" i="9"/>
  <c r="AF228" i="9" s="1"/>
  <c r="AE205" i="9"/>
  <c r="AF205" i="9" s="1"/>
  <c r="AE79" i="9"/>
  <c r="AF79" i="9" s="1"/>
  <c r="F19" i="12" s="1"/>
  <c r="G19" i="12" s="1"/>
  <c r="AD21" i="12" s="1"/>
  <c r="AE86" i="9"/>
  <c r="AF86" i="9" s="1"/>
  <c r="F26" i="12" s="1"/>
  <c r="G26" i="12" s="1"/>
  <c r="AE16" i="12" s="1"/>
  <c r="AI13" i="12" s="1"/>
  <c r="AE194" i="9"/>
  <c r="AF194" i="9" s="1"/>
  <c r="AE217" i="9"/>
  <c r="AF217" i="9" s="1"/>
  <c r="AE220" i="9"/>
  <c r="AF220" i="9" s="1"/>
  <c r="AE78" i="9"/>
  <c r="AF78" i="9" s="1"/>
  <c r="F18" i="12" s="1"/>
  <c r="G18" i="12" s="1"/>
  <c r="AD20" i="12" s="1"/>
  <c r="AE88" i="9"/>
  <c r="AF88" i="9" s="1"/>
  <c r="F28" i="12" s="1"/>
  <c r="G28" i="12" s="1"/>
  <c r="AE18" i="12" s="1"/>
  <c r="AE225" i="9"/>
  <c r="AF225" i="9" s="1"/>
  <c r="AE98" i="9"/>
  <c r="AF98" i="9" s="1"/>
  <c r="F38" i="12" s="1"/>
  <c r="G38" i="12" s="1"/>
  <c r="AF16" i="12" s="1"/>
  <c r="AJ13" i="12" s="1"/>
  <c r="AE75" i="9"/>
  <c r="AF75" i="9" s="1"/>
  <c r="F15" i="12" s="1"/>
  <c r="G15" i="12" s="1"/>
  <c r="AD17" i="12" s="1"/>
  <c r="AE94" i="9"/>
  <c r="AF94" i="9" s="1"/>
  <c r="F34" i="12" s="1"/>
  <c r="G34" i="12" s="1"/>
  <c r="AF12" i="12" s="1"/>
  <c r="AJ21" i="12" s="1"/>
  <c r="AE226" i="9"/>
  <c r="AF226" i="9" s="1"/>
  <c r="AE213" i="9"/>
  <c r="AF213" i="9" s="1"/>
  <c r="AE219" i="9"/>
  <c r="AF219" i="9" s="1"/>
  <c r="AE73" i="9"/>
  <c r="AF73" i="9" s="1"/>
  <c r="F13" i="12" s="1"/>
  <c r="G13" i="12" s="1"/>
  <c r="AD15" i="12" s="1"/>
  <c r="AH12" i="12" s="1"/>
  <c r="AE93" i="9"/>
  <c r="AF93" i="9" s="1"/>
  <c r="F33" i="12" s="1"/>
  <c r="G33" i="12" s="1"/>
  <c r="AF11" i="12" s="1"/>
  <c r="AE102" i="9"/>
  <c r="AF102" i="9" s="1"/>
  <c r="F42" i="12" s="1"/>
  <c r="AE210" i="9"/>
  <c r="AF210" i="9" s="1"/>
  <c r="AE218" i="9"/>
  <c r="AF218" i="9" s="1"/>
  <c r="AE77" i="9"/>
  <c r="AF77" i="9" s="1"/>
  <c r="F17" i="12" s="1"/>
  <c r="G17" i="12" s="1"/>
  <c r="AD19" i="12" s="1"/>
  <c r="Y118" i="9"/>
  <c r="AE204" i="9"/>
  <c r="AF204" i="9" s="1"/>
  <c r="AE214" i="9"/>
  <c r="AF214" i="9" s="1"/>
  <c r="AE223" i="9"/>
  <c r="AF223" i="9" s="1"/>
  <c r="AE76" i="9"/>
  <c r="AF76" i="9" s="1"/>
  <c r="F16" i="12" s="1"/>
  <c r="G16" i="12" s="1"/>
  <c r="AD18" i="12" s="1"/>
  <c r="AH15" i="12" s="1"/>
  <c r="AE90" i="9"/>
  <c r="AF90" i="9" s="1"/>
  <c r="F30" i="12" s="1"/>
  <c r="G30" i="12" s="1"/>
  <c r="AE20" i="12" s="1"/>
  <c r="AI17" i="12" s="1"/>
  <c r="AE196" i="9"/>
  <c r="AF196" i="9" s="1"/>
  <c r="AE101" i="9"/>
  <c r="AF101" i="9" s="1"/>
  <c r="F41" i="12" s="1"/>
  <c r="G41" i="12" s="1"/>
  <c r="AF19" i="12" s="1"/>
  <c r="AE103" i="9"/>
  <c r="AF103" i="9" s="1"/>
  <c r="F43" i="12" s="1"/>
  <c r="AE81" i="9"/>
  <c r="AF81" i="9" s="1"/>
  <c r="F21" i="12" s="1"/>
  <c r="G21" i="12" s="1"/>
  <c r="AE11" i="12" s="1"/>
  <c r="AI20" i="12" s="1"/>
  <c r="AE96" i="9"/>
  <c r="AF96" i="9" s="1"/>
  <c r="F36" i="12" s="1"/>
  <c r="G36" i="12" s="1"/>
  <c r="AF14" i="12" s="1"/>
  <c r="AJ11" i="12" s="1"/>
  <c r="AE209" i="9"/>
  <c r="AF209" i="9" s="1"/>
  <c r="AE97" i="9"/>
  <c r="AF97" i="9" s="1"/>
  <c r="F37" i="12" s="1"/>
  <c r="G37" i="12" s="1"/>
  <c r="AF15" i="12" s="1"/>
  <c r="AJ12" i="12" s="1"/>
  <c r="AE71" i="9"/>
  <c r="AF71" i="9" s="1"/>
  <c r="F11" i="12" s="1"/>
  <c r="G11" i="12" s="1"/>
  <c r="AD13" i="12" s="1"/>
  <c r="AH22" i="12" s="1"/>
  <c r="AE85" i="9"/>
  <c r="AF85" i="9" s="1"/>
  <c r="F25" i="12" s="1"/>
  <c r="G25" i="12" s="1"/>
  <c r="AE15" i="12" s="1"/>
  <c r="AE216" i="9"/>
  <c r="AF216" i="9" s="1"/>
  <c r="AE208" i="9"/>
  <c r="AF208" i="9" s="1"/>
  <c r="AE198" i="9"/>
  <c r="AF198" i="9" s="1"/>
  <c r="AE193" i="9"/>
  <c r="AF193" i="9" s="1"/>
  <c r="AE222" i="9"/>
  <c r="AF222" i="9" s="1"/>
  <c r="AE74" i="9"/>
  <c r="AF74" i="9" s="1"/>
  <c r="F14" i="12" s="1"/>
  <c r="G14" i="12" s="1"/>
  <c r="AD16" i="12" s="1"/>
  <c r="AH13" i="12" s="1"/>
  <c r="AE82" i="9"/>
  <c r="AF82" i="9" s="1"/>
  <c r="F22" i="12" s="1"/>
  <c r="G22" i="12" s="1"/>
  <c r="AE12" i="12" s="1"/>
  <c r="AE197" i="9"/>
  <c r="AF197" i="9" s="1"/>
  <c r="AE201" i="9"/>
  <c r="AF201" i="9" s="1"/>
  <c r="AE224" i="9"/>
  <c r="AF224" i="9" s="1"/>
  <c r="AE206" i="9"/>
  <c r="AF206" i="9" s="1"/>
  <c r="AE207" i="9"/>
  <c r="AF207" i="9" s="1"/>
  <c r="AE72" i="9"/>
  <c r="AF72" i="9" s="1"/>
  <c r="F12" i="12" s="1"/>
  <c r="G12" i="12" s="1"/>
  <c r="AD14" i="12" s="1"/>
  <c r="AH11" i="12" s="1"/>
  <c r="AE91" i="9"/>
  <c r="AF91" i="9" s="1"/>
  <c r="F31" i="12" s="1"/>
  <c r="G31" i="12" s="1"/>
  <c r="AE21" i="12" s="1"/>
  <c r="AI18" i="12" s="1"/>
  <c r="AE104" i="9"/>
  <c r="AF104" i="9" s="1"/>
  <c r="F44" i="12" s="1"/>
  <c r="AE199" i="9"/>
  <c r="AF199" i="9" s="1"/>
  <c r="AE195" i="9"/>
  <c r="AF195" i="9" s="1"/>
  <c r="AE99" i="9"/>
  <c r="AF99" i="9" s="1"/>
  <c r="F39" i="12" s="1"/>
  <c r="G39" i="12" s="1"/>
  <c r="AF17" i="12" s="1"/>
  <c r="AU120" i="18"/>
  <c r="AX121" i="18"/>
  <c r="AU121" i="18" s="1"/>
  <c r="CB118" i="18"/>
  <c r="BR118" i="18"/>
  <c r="AS54" i="9"/>
  <c r="A19" i="9"/>
  <c r="A12" i="9"/>
  <c r="D19" i="9"/>
  <c r="AI54" i="9"/>
  <c r="CB54" i="9"/>
  <c r="BC54" i="9"/>
  <c r="A20" i="9"/>
  <c r="A13" i="9"/>
  <c r="D20" i="9"/>
  <c r="BM54" i="9"/>
  <c r="A21" i="9"/>
  <c r="D21" i="9"/>
  <c r="A14" i="9"/>
  <c r="BM108" i="9"/>
  <c r="BN106" i="9"/>
  <c r="BQ92" i="9"/>
  <c r="BQ105" i="9" s="1"/>
  <c r="BQ106" i="9" s="1"/>
  <c r="BM114" i="9" s="1"/>
  <c r="BR92" i="9"/>
  <c r="BR105" i="9" s="1"/>
  <c r="BR106" i="9" s="1"/>
  <c r="BM111" i="9" s="1"/>
  <c r="BP105" i="9"/>
  <c r="BP106" i="9" s="1"/>
  <c r="BM112" i="9" s="1"/>
  <c r="BM115" i="9" s="1"/>
  <c r="BM113" i="9"/>
  <c r="BC108" i="9"/>
  <c r="BD106" i="9"/>
  <c r="BG92" i="9"/>
  <c r="BG105" i="9" s="1"/>
  <c r="BG106" i="9" s="1"/>
  <c r="BC114" i="9" s="1"/>
  <c r="BH92" i="9"/>
  <c r="BH105" i="9" s="1"/>
  <c r="BH106" i="9" s="1"/>
  <c r="BC111" i="9" s="1"/>
  <c r="BF105" i="9"/>
  <c r="BF106" i="9" s="1"/>
  <c r="BC112" i="9" s="1"/>
  <c r="BC115" i="9" s="1"/>
  <c r="BC113" i="9"/>
  <c r="AI116" i="9"/>
  <c r="AS108" i="9"/>
  <c r="AT106" i="9"/>
  <c r="AW92" i="9"/>
  <c r="AW105" i="9" s="1"/>
  <c r="AW106" i="9" s="1"/>
  <c r="AS114" i="9" s="1"/>
  <c r="AX92" i="9"/>
  <c r="AX105" i="9" s="1"/>
  <c r="AX106" i="9" s="1"/>
  <c r="AS111" i="9" s="1"/>
  <c r="AV105" i="9"/>
  <c r="AV106" i="9" s="1"/>
  <c r="AS112" i="9" s="1"/>
  <c r="AS115" i="9" s="1"/>
  <c r="AS113" i="9"/>
  <c r="CB116" i="9"/>
  <c r="H11" i="9"/>
  <c r="AI243" i="9"/>
  <c r="BM232" i="9"/>
  <c r="BN230" i="9"/>
  <c r="BR215" i="9"/>
  <c r="BR229" i="9" s="1"/>
  <c r="BR230" i="9" s="1"/>
  <c r="BM235" i="9" s="1"/>
  <c r="BQ215" i="9"/>
  <c r="BQ229" i="9" s="1"/>
  <c r="BQ230" i="9" s="1"/>
  <c r="BM238" i="9" s="1"/>
  <c r="BP229" i="9"/>
  <c r="BP230" i="9" s="1"/>
  <c r="BM236" i="9" s="1"/>
  <c r="BM239" i="9" s="1"/>
  <c r="BM237" i="9"/>
  <c r="AI178" i="9"/>
  <c r="BC170" i="9"/>
  <c r="BD168" i="9"/>
  <c r="BH153" i="9"/>
  <c r="BH167" i="9" s="1"/>
  <c r="BH168" i="9" s="1"/>
  <c r="BC173" i="9" s="1"/>
  <c r="BG153" i="9"/>
  <c r="BG167" i="9" s="1"/>
  <c r="BG168" i="9" s="1"/>
  <c r="BC176" i="9" s="1"/>
  <c r="BF167" i="9"/>
  <c r="BF168" i="9" s="1"/>
  <c r="BC174" i="9" s="1"/>
  <c r="BC177" i="9" s="1"/>
  <c r="BC175" i="9"/>
  <c r="BM170" i="9"/>
  <c r="BN168" i="9"/>
  <c r="BR153" i="9"/>
  <c r="BR167" i="9" s="1"/>
  <c r="BR168" i="9" s="1"/>
  <c r="BM173" i="9" s="1"/>
  <c r="BQ153" i="9"/>
  <c r="BQ167" i="9" s="1"/>
  <c r="BQ168" i="9" s="1"/>
  <c r="BM176" i="9" s="1"/>
  <c r="BP167" i="9"/>
  <c r="BP168" i="9" s="1"/>
  <c r="BM174" i="9" s="1"/>
  <c r="BM177" i="9" s="1"/>
  <c r="BM175" i="9"/>
  <c r="AS170" i="9"/>
  <c r="AT168" i="9"/>
  <c r="AX153" i="9"/>
  <c r="AX167" i="9" s="1"/>
  <c r="AX168" i="9" s="1"/>
  <c r="AS173" i="9" s="1"/>
  <c r="AW153" i="9"/>
  <c r="AW167" i="9" s="1"/>
  <c r="AW168" i="9" s="1"/>
  <c r="AS176" i="9" s="1"/>
  <c r="AV167" i="9"/>
  <c r="AV168" i="9" s="1"/>
  <c r="AS174" i="9" s="1"/>
  <c r="AS177" i="9" s="1"/>
  <c r="AS175" i="9"/>
  <c r="CB178" i="9"/>
  <c r="S15" i="17"/>
  <c r="T15" i="17"/>
  <c r="Z14" i="17"/>
  <c r="U15" i="17"/>
  <c r="AA14" i="17"/>
  <c r="V15" i="17"/>
  <c r="AB14" i="17"/>
  <c r="W49" i="17"/>
  <c r="N49" i="17" s="1"/>
  <c r="AC19" i="17"/>
  <c r="AC21" i="17"/>
  <c r="AC17" i="17"/>
  <c r="AC18" i="17"/>
  <c r="AC15" i="17"/>
  <c r="AC20" i="17"/>
  <c r="AC16" i="17"/>
  <c r="CB232" i="9"/>
  <c r="CC230" i="9"/>
  <c r="CF218" i="9"/>
  <c r="CF229" i="9" s="1"/>
  <c r="CF230" i="9" s="1"/>
  <c r="CB238" i="9" s="1"/>
  <c r="CG218" i="9"/>
  <c r="CG229" i="9" s="1"/>
  <c r="CG230" i="9" s="1"/>
  <c r="CB235" i="9" s="1"/>
  <c r="CE229" i="9"/>
  <c r="CE230" i="9" s="1"/>
  <c r="CB236" i="9" s="1"/>
  <c r="CB239" i="9" s="1"/>
  <c r="CB237" i="9"/>
  <c r="AA11" i="16"/>
  <c r="X11" i="16"/>
  <c r="W11" i="16"/>
  <c r="L12" i="16"/>
  <c r="V12" i="16" s="1"/>
  <c r="V58" i="16"/>
  <c r="Z33" i="10"/>
  <c r="E121" i="5"/>
  <c r="B14" i="19"/>
  <c r="B14" i="16"/>
  <c r="C122" i="5"/>
  <c r="AE23" i="5"/>
  <c r="AF24" i="5"/>
  <c r="B122" i="5" s="1"/>
  <c r="AA33" i="10"/>
  <c r="C14" i="19"/>
  <c r="C124" i="19" s="1"/>
  <c r="C14" i="16"/>
  <c r="D13" i="16"/>
  <c r="I120" i="5"/>
  <c r="AB34" i="10"/>
  <c r="L120" i="5"/>
  <c r="G13" i="19" s="1"/>
  <c r="G123" i="19" s="1"/>
  <c r="B123" i="19"/>
  <c r="E123" i="19" s="1"/>
  <c r="E13" i="19"/>
  <c r="AJ20" i="12" l="1"/>
  <c r="AI14" i="12"/>
  <c r="AJ22" i="12"/>
  <c r="AI22" i="12"/>
  <c r="AJ14" i="12"/>
  <c r="AJ17" i="12"/>
  <c r="AI21" i="12"/>
  <c r="AI12" i="12"/>
  <c r="AJ16" i="12"/>
  <c r="AJ19" i="12"/>
  <c r="AH16" i="12"/>
  <c r="AH14" i="12"/>
  <c r="AI15" i="12"/>
  <c r="AH17" i="12"/>
  <c r="AH18" i="12"/>
  <c r="AJ15" i="12"/>
  <c r="AJ18" i="12"/>
  <c r="AI16" i="12"/>
  <c r="AH21" i="12"/>
  <c r="AH20" i="12"/>
  <c r="AI19" i="12"/>
  <c r="AH19" i="12"/>
  <c r="AI11" i="12"/>
  <c r="V59" i="16"/>
  <c r="L13" i="16"/>
  <c r="V13" i="16" s="1"/>
  <c r="Z32" i="10"/>
  <c r="B15" i="19"/>
  <c r="E122" i="5"/>
  <c r="B15" i="16"/>
  <c r="C123" i="5"/>
  <c r="AE22" i="5"/>
  <c r="AF23" i="5"/>
  <c r="B123" i="5" s="1"/>
  <c r="AA32" i="10"/>
  <c r="C15" i="16"/>
  <c r="C15" i="19"/>
  <c r="C125" i="19" s="1"/>
  <c r="D14" i="16"/>
  <c r="B124" i="19"/>
  <c r="E124" i="19" s="1"/>
  <c r="E14" i="19"/>
  <c r="I121" i="5"/>
  <c r="AB33" i="10"/>
  <c r="L121" i="5"/>
  <c r="G14" i="19" s="1"/>
  <c r="G124" i="19" s="1"/>
  <c r="X12" i="16"/>
  <c r="AA12" i="16"/>
  <c r="W12" i="16"/>
  <c r="CB240" i="9"/>
  <c r="CB241" i="9" s="1"/>
  <c r="CB242" i="9" s="1"/>
  <c r="AC12" i="17"/>
  <c r="AC30" i="17"/>
  <c r="AC37" i="17"/>
  <c r="AC27" i="17"/>
  <c r="AC47" i="17"/>
  <c r="AC25" i="17"/>
  <c r="AC46" i="17"/>
  <c r="AC33" i="17"/>
  <c r="AC39" i="17"/>
  <c r="AC35" i="17"/>
  <c r="AC40" i="17"/>
  <c r="AC44" i="17"/>
  <c r="AC28" i="17"/>
  <c r="AC36" i="17"/>
  <c r="AC43" i="17"/>
  <c r="AC34" i="17"/>
  <c r="AC29" i="17"/>
  <c r="AC32" i="17"/>
  <c r="AC26" i="17"/>
  <c r="AC38" i="17"/>
  <c r="AC24" i="17"/>
  <c r="AC41" i="17"/>
  <c r="AC42" i="17"/>
  <c r="AC31" i="17"/>
  <c r="AC45" i="17"/>
  <c r="AC22" i="17"/>
  <c r="AC23" i="17"/>
  <c r="AC14" i="17"/>
  <c r="AB15" i="17"/>
  <c r="M15" i="17"/>
  <c r="V16" i="17"/>
  <c r="AA15" i="17"/>
  <c r="L15" i="17"/>
  <c r="U16" i="17"/>
  <c r="Z15" i="17"/>
  <c r="K15" i="17"/>
  <c r="J15" i="17"/>
  <c r="S16" i="17"/>
  <c r="T16" i="17"/>
  <c r="CB179" i="9"/>
  <c r="CB180" i="9"/>
  <c r="AS178" i="9"/>
  <c r="AS179" i="9" s="1"/>
  <c r="AS180" i="9" s="1"/>
  <c r="BM178" i="9"/>
  <c r="BM179" i="9" s="1"/>
  <c r="BM180" i="9" s="1"/>
  <c r="BC178" i="9"/>
  <c r="BC179" i="9" s="1"/>
  <c r="BC180" i="9" s="1"/>
  <c r="AI179" i="9"/>
  <c r="AI180" i="9"/>
  <c r="BM240" i="9"/>
  <c r="P52" i="14"/>
  <c r="Q45" i="7"/>
  <c r="AK45" i="7" s="1"/>
  <c r="P107" i="14"/>
  <c r="P107" i="19"/>
  <c r="P161" i="14"/>
  <c r="P217" i="19"/>
  <c r="P217" i="14"/>
  <c r="CB117" i="9"/>
  <c r="AS116" i="9"/>
  <c r="AI117" i="9"/>
  <c r="AO84" i="9"/>
  <c r="AP84" i="9" s="1"/>
  <c r="DT84" i="9" s="1"/>
  <c r="DU84" i="9" s="1"/>
  <c r="AO88" i="9"/>
  <c r="AP88" i="9" s="1"/>
  <c r="DT88" i="9" s="1"/>
  <c r="DU88" i="9" s="1"/>
  <c r="AO87" i="9"/>
  <c r="AP87" i="9" s="1"/>
  <c r="DT87" i="9" s="1"/>
  <c r="DU87" i="9" s="1"/>
  <c r="AO79" i="9"/>
  <c r="AP79" i="9" s="1"/>
  <c r="DT79" i="9" s="1"/>
  <c r="DU79" i="9" s="1"/>
  <c r="AO222" i="9"/>
  <c r="AP222" i="9" s="1"/>
  <c r="AO69" i="9"/>
  <c r="AP69" i="9" s="1"/>
  <c r="AO104" i="9"/>
  <c r="AP104" i="9" s="1"/>
  <c r="AO226" i="9"/>
  <c r="AP226" i="9" s="1"/>
  <c r="AO216" i="9"/>
  <c r="AP216" i="9" s="1"/>
  <c r="AO95" i="9"/>
  <c r="AP95" i="9" s="1"/>
  <c r="DT95" i="9" s="1"/>
  <c r="DU95" i="9" s="1"/>
  <c r="AO97" i="9"/>
  <c r="AP97" i="9" s="1"/>
  <c r="DT97" i="9" s="1"/>
  <c r="DU97" i="9" s="1"/>
  <c r="AO94" i="9"/>
  <c r="AP94" i="9" s="1"/>
  <c r="DT94" i="9" s="1"/>
  <c r="DU94" i="9" s="1"/>
  <c r="AO83" i="9"/>
  <c r="AP83" i="9" s="1"/>
  <c r="DT83" i="9" s="1"/>
  <c r="DU83" i="9" s="1"/>
  <c r="AO86" i="9"/>
  <c r="AP86" i="9" s="1"/>
  <c r="DT86" i="9" s="1"/>
  <c r="DU86" i="9" s="1"/>
  <c r="AO73" i="9"/>
  <c r="AP73" i="9" s="1"/>
  <c r="DT73" i="9" s="1"/>
  <c r="DU73" i="9" s="1"/>
  <c r="AO90" i="9"/>
  <c r="AP90" i="9" s="1"/>
  <c r="DT90" i="9" s="1"/>
  <c r="DU90" i="9" s="1"/>
  <c r="AO209" i="9"/>
  <c r="AP209" i="9" s="1"/>
  <c r="AO210" i="9"/>
  <c r="AP210" i="9" s="1"/>
  <c r="AO223" i="9"/>
  <c r="AP223" i="9" s="1"/>
  <c r="AO228" i="9"/>
  <c r="AP228" i="9" s="1"/>
  <c r="AO208" i="9"/>
  <c r="AP208" i="9" s="1"/>
  <c r="AO227" i="9"/>
  <c r="AP227" i="9" s="1"/>
  <c r="AO220" i="9"/>
  <c r="AP220" i="9" s="1"/>
  <c r="AO198" i="9"/>
  <c r="AP198" i="9" s="1"/>
  <c r="AO96" i="9"/>
  <c r="AP96" i="9" s="1"/>
  <c r="DT96" i="9" s="1"/>
  <c r="DU96" i="9" s="1"/>
  <c r="AO101" i="9"/>
  <c r="AP101" i="9" s="1"/>
  <c r="DT101" i="9" s="1"/>
  <c r="DU101" i="9" s="1"/>
  <c r="AO77" i="9"/>
  <c r="AP77" i="9" s="1"/>
  <c r="DT77" i="9" s="1"/>
  <c r="DU77" i="9" s="1"/>
  <c r="AO81" i="9"/>
  <c r="AP81" i="9" s="1"/>
  <c r="DT81" i="9" s="1"/>
  <c r="DU81" i="9" s="1"/>
  <c r="AO199" i="9"/>
  <c r="AP199" i="9" s="1"/>
  <c r="AO225" i="9"/>
  <c r="AP225" i="9" s="1"/>
  <c r="AO195" i="9"/>
  <c r="AP195" i="9" s="1"/>
  <c r="AO200" i="9"/>
  <c r="AP200" i="9" s="1"/>
  <c r="AO193" i="9"/>
  <c r="AP193" i="9" s="1"/>
  <c r="AO207" i="9"/>
  <c r="AP207" i="9" s="1"/>
  <c r="AO202" i="9"/>
  <c r="AP202" i="9" s="1"/>
  <c r="AO92" i="9"/>
  <c r="AP92" i="9" s="1"/>
  <c r="DT92" i="9" s="1"/>
  <c r="DU92" i="9" s="1"/>
  <c r="AO75" i="9"/>
  <c r="AP75" i="9" s="1"/>
  <c r="DT75" i="9" s="1"/>
  <c r="DU75" i="9" s="1"/>
  <c r="AO102" i="9"/>
  <c r="AP102" i="9" s="1"/>
  <c r="DT102" i="9" s="1"/>
  <c r="DU102" i="9" s="1"/>
  <c r="AO100" i="9"/>
  <c r="AP100" i="9" s="1"/>
  <c r="DT100" i="9" s="1"/>
  <c r="DU100" i="9" s="1"/>
  <c r="AO82" i="9"/>
  <c r="AP82" i="9" s="1"/>
  <c r="DT82" i="9" s="1"/>
  <c r="DU82" i="9" s="1"/>
  <c r="AO221" i="9"/>
  <c r="AP221" i="9" s="1"/>
  <c r="AO219" i="9"/>
  <c r="AP219" i="9" s="1"/>
  <c r="AO206" i="9"/>
  <c r="AP206" i="9" s="1"/>
  <c r="AO201" i="9"/>
  <c r="AP201" i="9" s="1"/>
  <c r="AO203" i="9"/>
  <c r="AP203" i="9" s="1"/>
  <c r="AO218" i="9"/>
  <c r="AP218" i="9" s="1"/>
  <c r="AO204" i="9"/>
  <c r="AP204" i="9" s="1"/>
  <c r="AO74" i="9"/>
  <c r="AP74" i="9" s="1"/>
  <c r="DT74" i="9" s="1"/>
  <c r="DU74" i="9" s="1"/>
  <c r="AO91" i="9"/>
  <c r="AP91" i="9" s="1"/>
  <c r="DT91" i="9" s="1"/>
  <c r="DU91" i="9" s="1"/>
  <c r="AO89" i="9"/>
  <c r="AP89" i="9" s="1"/>
  <c r="DT89" i="9" s="1"/>
  <c r="DU89" i="9" s="1"/>
  <c r="AO98" i="9"/>
  <c r="AP98" i="9" s="1"/>
  <c r="DT98" i="9" s="1"/>
  <c r="DU98" i="9" s="1"/>
  <c r="AO72" i="9"/>
  <c r="AP72" i="9" s="1"/>
  <c r="DT72" i="9" s="1"/>
  <c r="DU72" i="9" s="1"/>
  <c r="AO99" i="9"/>
  <c r="AP99" i="9" s="1"/>
  <c r="DT99" i="9" s="1"/>
  <c r="DU99" i="9" s="1"/>
  <c r="AO211" i="9"/>
  <c r="AP211" i="9" s="1"/>
  <c r="AO194" i="9"/>
  <c r="AP194" i="9" s="1"/>
  <c r="AO213" i="9"/>
  <c r="AP213" i="9" s="1"/>
  <c r="AO224" i="9"/>
  <c r="AP224" i="9" s="1"/>
  <c r="AO215" i="9"/>
  <c r="AP215" i="9" s="1"/>
  <c r="AO205" i="9"/>
  <c r="AP205" i="9" s="1"/>
  <c r="AO212" i="9"/>
  <c r="AP212" i="9" s="1"/>
  <c r="AO78" i="9"/>
  <c r="AP78" i="9" s="1"/>
  <c r="DT78" i="9" s="1"/>
  <c r="DU78" i="9" s="1"/>
  <c r="AO76" i="9"/>
  <c r="AP76" i="9" s="1"/>
  <c r="DT76" i="9" s="1"/>
  <c r="DU76" i="9" s="1"/>
  <c r="AO93" i="9"/>
  <c r="AP93" i="9" s="1"/>
  <c r="DT93" i="9" s="1"/>
  <c r="DU93" i="9" s="1"/>
  <c r="AO80" i="9"/>
  <c r="AP80" i="9" s="1"/>
  <c r="DT80" i="9" s="1"/>
  <c r="DU80" i="9" s="1"/>
  <c r="AO70" i="9"/>
  <c r="AP70" i="9" s="1"/>
  <c r="AO197" i="9"/>
  <c r="AP197" i="9" s="1"/>
  <c r="AO217" i="9"/>
  <c r="AP217" i="9" s="1"/>
  <c r="AO214" i="9"/>
  <c r="AP214" i="9" s="1"/>
  <c r="AO196" i="9"/>
  <c r="AP196" i="9" s="1"/>
  <c r="AO85" i="9"/>
  <c r="AP85" i="9" s="1"/>
  <c r="DT85" i="9" s="1"/>
  <c r="DU85" i="9" s="1"/>
  <c r="AO103" i="9"/>
  <c r="AP103" i="9" s="1"/>
  <c r="DT103" i="9" s="1"/>
  <c r="AO71" i="9"/>
  <c r="AP71" i="9" s="1"/>
  <c r="DT71" i="9" s="1"/>
  <c r="AI118" i="9"/>
  <c r="BC116" i="9"/>
  <c r="BM116" i="9"/>
  <c r="I48" i="7"/>
  <c r="AC48" i="7"/>
  <c r="A39" i="13" s="1"/>
  <c r="J110" i="14"/>
  <c r="J220" i="19"/>
  <c r="J220" i="14"/>
  <c r="J110" i="19"/>
  <c r="J55" i="14"/>
  <c r="J164" i="14"/>
  <c r="BM55" i="9"/>
  <c r="BS32" i="9"/>
  <c r="BT32" i="9" s="1"/>
  <c r="BS12" i="9"/>
  <c r="BT12" i="9" s="1"/>
  <c r="BS141" i="9"/>
  <c r="BT141" i="9" s="1"/>
  <c r="BS14" i="9"/>
  <c r="BT14" i="9" s="1"/>
  <c r="BS151" i="9"/>
  <c r="BT151" i="9" s="1"/>
  <c r="BS158" i="9"/>
  <c r="BT158" i="9" s="1"/>
  <c r="BS7" i="9"/>
  <c r="BT7" i="9" s="1"/>
  <c r="BS136" i="9"/>
  <c r="BT136" i="9" s="1"/>
  <c r="BS161" i="9"/>
  <c r="BT161" i="9" s="1"/>
  <c r="BS35" i="9"/>
  <c r="BT35" i="9" s="1"/>
  <c r="BS149" i="9"/>
  <c r="BT149" i="9" s="1"/>
  <c r="BS17" i="9"/>
  <c r="BT17" i="9" s="1"/>
  <c r="BS137" i="9"/>
  <c r="BT137" i="9" s="1"/>
  <c r="BS27" i="9"/>
  <c r="BT27" i="9" s="1"/>
  <c r="BS142" i="9"/>
  <c r="BT142" i="9" s="1"/>
  <c r="BS139" i="9"/>
  <c r="BT139" i="9" s="1"/>
  <c r="BS148" i="9"/>
  <c r="BT148" i="9" s="1"/>
  <c r="BS16" i="9"/>
  <c r="BT16" i="9" s="1"/>
  <c r="BS31" i="9"/>
  <c r="BT31" i="9" s="1"/>
  <c r="BS25" i="9"/>
  <c r="BT25" i="9" s="1"/>
  <c r="BS9" i="9"/>
  <c r="BT9" i="9" s="1"/>
  <c r="BS26" i="9"/>
  <c r="BT26" i="9" s="1"/>
  <c r="BS157" i="9"/>
  <c r="BT157" i="9" s="1"/>
  <c r="BS13" i="9"/>
  <c r="BT13" i="9" s="1"/>
  <c r="BS8" i="9"/>
  <c r="BT8" i="9" s="1"/>
  <c r="BS144" i="9"/>
  <c r="BT144" i="9" s="1"/>
  <c r="BS166" i="9"/>
  <c r="BT166" i="9" s="1"/>
  <c r="BS33" i="9"/>
  <c r="BT33" i="9" s="1"/>
  <c r="BS135" i="9"/>
  <c r="BT135" i="9" s="1"/>
  <c r="BS134" i="9"/>
  <c r="BT134" i="9" s="1"/>
  <c r="BS131" i="9"/>
  <c r="BT131" i="9" s="1"/>
  <c r="BS133" i="9"/>
  <c r="BT133" i="9" s="1"/>
  <c r="BS160" i="9"/>
  <c r="BT160" i="9" s="1"/>
  <c r="BS159" i="9"/>
  <c r="BT159" i="9" s="1"/>
  <c r="BS21" i="9"/>
  <c r="BT21" i="9" s="1"/>
  <c r="BS140" i="9"/>
  <c r="BT140" i="9" s="1"/>
  <c r="BS36" i="9"/>
  <c r="BT36" i="9" s="1"/>
  <c r="BS29" i="9"/>
  <c r="BT29" i="9" s="1"/>
  <c r="AX31" i="7" s="1"/>
  <c r="BS138" i="9"/>
  <c r="BT138" i="9" s="1"/>
  <c r="BS18" i="9"/>
  <c r="BT18" i="9" s="1"/>
  <c r="BS41" i="9"/>
  <c r="BT41" i="9" s="1"/>
  <c r="EK41" i="9" s="1"/>
  <c r="BS20" i="9"/>
  <c r="BT20" i="9" s="1"/>
  <c r="BS132" i="9"/>
  <c r="BT132" i="9" s="1"/>
  <c r="BS40" i="9"/>
  <c r="BT40" i="9" s="1"/>
  <c r="BS147" i="9"/>
  <c r="BT147" i="9" s="1"/>
  <c r="BM56" i="9"/>
  <c r="BS22" i="9"/>
  <c r="BT22" i="9" s="1"/>
  <c r="BS162" i="9"/>
  <c r="BT162" i="9" s="1"/>
  <c r="BS152" i="9"/>
  <c r="BT152" i="9" s="1"/>
  <c r="BS42" i="9"/>
  <c r="BT42" i="9" s="1"/>
  <c r="EK42" i="9" s="1"/>
  <c r="BS155" i="9"/>
  <c r="BT155" i="9" s="1"/>
  <c r="BS38" i="9"/>
  <c r="BT38" i="9" s="1"/>
  <c r="BS143" i="9"/>
  <c r="BT143" i="9" s="1"/>
  <c r="BS156" i="9"/>
  <c r="BT156" i="9" s="1"/>
  <c r="BS150" i="9"/>
  <c r="BT150" i="9" s="1"/>
  <c r="BS39" i="9"/>
  <c r="BT39" i="9" s="1"/>
  <c r="BS154" i="9"/>
  <c r="BT154" i="9" s="1"/>
  <c r="BS34" i="9"/>
  <c r="BT34" i="9" s="1"/>
  <c r="BS165" i="9"/>
  <c r="BT165" i="9" s="1"/>
  <c r="BS30" i="9"/>
  <c r="BT30" i="9" s="1"/>
  <c r="AX32" i="7" s="1"/>
  <c r="BS146" i="9"/>
  <c r="BT146" i="9" s="1"/>
  <c r="BS10" i="9"/>
  <c r="BT10" i="9" s="1"/>
  <c r="BS19" i="9"/>
  <c r="BT19" i="9" s="1"/>
  <c r="BS153" i="9"/>
  <c r="BT153" i="9" s="1"/>
  <c r="BS37" i="9"/>
  <c r="BT37" i="9" s="1"/>
  <c r="BS28" i="9"/>
  <c r="BT28" i="9" s="1"/>
  <c r="BS15" i="9"/>
  <c r="BT15" i="9" s="1"/>
  <c r="BS11" i="9"/>
  <c r="BT11" i="9" s="1"/>
  <c r="BS24" i="9"/>
  <c r="BT24" i="9" s="1"/>
  <c r="BS23" i="9"/>
  <c r="BT23" i="9" s="1"/>
  <c r="BS163" i="9"/>
  <c r="BT163" i="9" s="1"/>
  <c r="BS164" i="9"/>
  <c r="BT164" i="9" s="1"/>
  <c r="BS145" i="9"/>
  <c r="BT145" i="9" s="1"/>
  <c r="J163" i="14"/>
  <c r="J109" i="14"/>
  <c r="J54" i="14"/>
  <c r="J109" i="19"/>
  <c r="J219" i="19"/>
  <c r="J219" i="14"/>
  <c r="I47" i="7"/>
  <c r="C39" i="4"/>
  <c r="AC47" i="7"/>
  <c r="A38" i="13" s="1"/>
  <c r="J116" i="10"/>
  <c r="J170" i="10" s="1"/>
  <c r="U55" i="19"/>
  <c r="BC55" i="9"/>
  <c r="BI26" i="9"/>
  <c r="BJ26" i="9" s="1"/>
  <c r="BI150" i="9"/>
  <c r="BJ150" i="9" s="1"/>
  <c r="BI152" i="9"/>
  <c r="BJ152" i="9" s="1"/>
  <c r="BI12" i="9"/>
  <c r="BJ12" i="9" s="1"/>
  <c r="BI37" i="9"/>
  <c r="BJ37" i="9" s="1"/>
  <c r="BI35" i="9"/>
  <c r="BJ35" i="9" s="1"/>
  <c r="BI162" i="9"/>
  <c r="BJ162" i="9" s="1"/>
  <c r="BI165" i="9"/>
  <c r="BJ165" i="9" s="1"/>
  <c r="BI140" i="9"/>
  <c r="BJ140" i="9" s="1"/>
  <c r="BI142" i="9"/>
  <c r="BJ142" i="9" s="1"/>
  <c r="BI139" i="9"/>
  <c r="BJ139" i="9" s="1"/>
  <c r="BI135" i="9"/>
  <c r="BJ135" i="9" s="1"/>
  <c r="BI33" i="9"/>
  <c r="BJ33" i="9" s="1"/>
  <c r="BI134" i="9"/>
  <c r="BJ134" i="9" s="1"/>
  <c r="BI11" i="9"/>
  <c r="BJ11" i="9" s="1"/>
  <c r="BI17" i="9"/>
  <c r="BJ17" i="9" s="1"/>
  <c r="BI163" i="9"/>
  <c r="BJ163" i="9" s="1"/>
  <c r="BI131" i="9"/>
  <c r="BJ131" i="9" s="1"/>
  <c r="BI32" i="9"/>
  <c r="BJ32" i="9" s="1"/>
  <c r="BI146" i="9"/>
  <c r="BJ146" i="9" s="1"/>
  <c r="BI36" i="9"/>
  <c r="BJ36" i="9" s="1"/>
  <c r="BI151" i="9"/>
  <c r="BJ151" i="9" s="1"/>
  <c r="BI144" i="9"/>
  <c r="BJ144" i="9" s="1"/>
  <c r="BI158" i="9"/>
  <c r="BJ158" i="9" s="1"/>
  <c r="BI41" i="9"/>
  <c r="BJ41" i="9" s="1"/>
  <c r="BI38" i="9"/>
  <c r="BJ38" i="9" s="1"/>
  <c r="BI160" i="9"/>
  <c r="BJ160" i="9" s="1"/>
  <c r="BI21" i="9"/>
  <c r="BJ21" i="9" s="1"/>
  <c r="BI8" i="9"/>
  <c r="BJ8" i="9" s="1"/>
  <c r="BI157" i="9"/>
  <c r="BJ157" i="9" s="1"/>
  <c r="BI156" i="9"/>
  <c r="BJ156" i="9" s="1"/>
  <c r="BC56" i="9"/>
  <c r="BI42" i="9"/>
  <c r="BJ42" i="9" s="1"/>
  <c r="BI15" i="9"/>
  <c r="BJ15" i="9" s="1"/>
  <c r="BI7" i="9"/>
  <c r="BJ7" i="9" s="1"/>
  <c r="BI154" i="9"/>
  <c r="BJ154" i="9" s="1"/>
  <c r="BI10" i="9"/>
  <c r="BJ10" i="9" s="1"/>
  <c r="BI29" i="9"/>
  <c r="BJ29" i="9" s="1"/>
  <c r="BI34" i="9"/>
  <c r="BJ34" i="9" s="1"/>
  <c r="BI153" i="9"/>
  <c r="BJ153" i="9" s="1"/>
  <c r="BI16" i="9"/>
  <c r="BJ16" i="9" s="1"/>
  <c r="BI147" i="9"/>
  <c r="BJ147" i="9" s="1"/>
  <c r="BI159" i="9"/>
  <c r="BJ159" i="9" s="1"/>
  <c r="BI39" i="9"/>
  <c r="BJ39" i="9" s="1"/>
  <c r="BI28" i="9"/>
  <c r="BJ28" i="9" s="1"/>
  <c r="BI138" i="9"/>
  <c r="BJ138" i="9" s="1"/>
  <c r="BI13" i="9"/>
  <c r="BJ13" i="9" s="1"/>
  <c r="BI137" i="9"/>
  <c r="BJ137" i="9" s="1"/>
  <c r="BI20" i="9"/>
  <c r="BJ20" i="9" s="1"/>
  <c r="BI31" i="9"/>
  <c r="BJ31" i="9" s="1"/>
  <c r="BI141" i="9"/>
  <c r="BJ141" i="9" s="1"/>
  <c r="BI166" i="9"/>
  <c r="BJ166" i="9" s="1"/>
  <c r="BI143" i="9"/>
  <c r="BJ143" i="9" s="1"/>
  <c r="BI164" i="9"/>
  <c r="BJ164" i="9" s="1"/>
  <c r="BI24" i="9"/>
  <c r="BJ24" i="9" s="1"/>
  <c r="AW26" i="7" s="1"/>
  <c r="BI40" i="9"/>
  <c r="BJ40" i="9" s="1"/>
  <c r="BI23" i="9"/>
  <c r="BJ23" i="9" s="1"/>
  <c r="AW25" i="7" s="1"/>
  <c r="BI14" i="9"/>
  <c r="BJ14" i="9" s="1"/>
  <c r="BI155" i="9"/>
  <c r="BJ155" i="9" s="1"/>
  <c r="BI9" i="9"/>
  <c r="BJ9" i="9" s="1"/>
  <c r="BI161" i="9"/>
  <c r="BJ161" i="9" s="1"/>
  <c r="BI25" i="9"/>
  <c r="BJ25" i="9" s="1"/>
  <c r="BI133" i="9"/>
  <c r="BJ133" i="9" s="1"/>
  <c r="BI22" i="9"/>
  <c r="BJ22" i="9" s="1"/>
  <c r="BI148" i="9"/>
  <c r="BJ148" i="9" s="1"/>
  <c r="BI149" i="9"/>
  <c r="BJ149" i="9" s="1"/>
  <c r="BI145" i="9"/>
  <c r="BJ145" i="9" s="1"/>
  <c r="BI30" i="9"/>
  <c r="BJ30" i="9" s="1"/>
  <c r="BI136" i="9"/>
  <c r="BJ136" i="9" s="1"/>
  <c r="BI19" i="9"/>
  <c r="BJ19" i="9" s="1"/>
  <c r="BI27" i="9"/>
  <c r="BJ27" i="9" s="1"/>
  <c r="BI18" i="9"/>
  <c r="BJ18" i="9" s="1"/>
  <c r="BI132" i="9"/>
  <c r="BJ132" i="9" s="1"/>
  <c r="CB55" i="9"/>
  <c r="CH25" i="9"/>
  <c r="CI25" i="9" s="1"/>
  <c r="CH131" i="9"/>
  <c r="CI131" i="9" s="1"/>
  <c r="CH9" i="9"/>
  <c r="CI9" i="9" s="1"/>
  <c r="CH29" i="9"/>
  <c r="CI29" i="9" s="1"/>
  <c r="CH34" i="9"/>
  <c r="CI34" i="9" s="1"/>
  <c r="CH32" i="9"/>
  <c r="CI32" i="9" s="1"/>
  <c r="CH135" i="9"/>
  <c r="CI135" i="9" s="1"/>
  <c r="CH142" i="9"/>
  <c r="CI142" i="9" s="1"/>
  <c r="CH19" i="9"/>
  <c r="CI19" i="9" s="1"/>
  <c r="CH156" i="9"/>
  <c r="CI156" i="9" s="1"/>
  <c r="CH164" i="9"/>
  <c r="CI164" i="9" s="1"/>
  <c r="CH159" i="9"/>
  <c r="CI159" i="9" s="1"/>
  <c r="CH7" i="9"/>
  <c r="CI7" i="9" s="1"/>
  <c r="CH152" i="9"/>
  <c r="CI152" i="9" s="1"/>
  <c r="CH154" i="9"/>
  <c r="CI154" i="9" s="1"/>
  <c r="CH33" i="9"/>
  <c r="CI33" i="9" s="1"/>
  <c r="CH137" i="9"/>
  <c r="CI137" i="9" s="1"/>
  <c r="CH166" i="9"/>
  <c r="CI166" i="9" s="1"/>
  <c r="CH162" i="9"/>
  <c r="CI162" i="9" s="1"/>
  <c r="CH14" i="9"/>
  <c r="CI14" i="9" s="1"/>
  <c r="CH16" i="9"/>
  <c r="CI16" i="9" s="1"/>
  <c r="CH133" i="9"/>
  <c r="CI133" i="9" s="1"/>
  <c r="CH138" i="9"/>
  <c r="CI138" i="9" s="1"/>
  <c r="CH160" i="9"/>
  <c r="CI160" i="9" s="1"/>
  <c r="CH37" i="9"/>
  <c r="CI37" i="9" s="1"/>
  <c r="CH163" i="9"/>
  <c r="CI163" i="9" s="1"/>
  <c r="CH165" i="9"/>
  <c r="CI165" i="9" s="1"/>
  <c r="CH139" i="9"/>
  <c r="CI139" i="9" s="1"/>
  <c r="CH35" i="9"/>
  <c r="CI35" i="9" s="1"/>
  <c r="CH150" i="9"/>
  <c r="CI150" i="9" s="1"/>
  <c r="CH13" i="9"/>
  <c r="CI13" i="9" s="1"/>
  <c r="CH10" i="9"/>
  <c r="CI10" i="9" s="1"/>
  <c r="CH17" i="9"/>
  <c r="CI17" i="9" s="1"/>
  <c r="CH28" i="9"/>
  <c r="CI28" i="9" s="1"/>
  <c r="CH11" i="9"/>
  <c r="CI11" i="9" s="1"/>
  <c r="CH8" i="9"/>
  <c r="CI8" i="9" s="1"/>
  <c r="CH26" i="9"/>
  <c r="CI26" i="9" s="1"/>
  <c r="CH132" i="9"/>
  <c r="CI132" i="9" s="1"/>
  <c r="CH158" i="9"/>
  <c r="CI158" i="9" s="1"/>
  <c r="CH40" i="9"/>
  <c r="CI40" i="9" s="1"/>
  <c r="CH143" i="9"/>
  <c r="CI143" i="9" s="1"/>
  <c r="CH15" i="9"/>
  <c r="CI15" i="9" s="1"/>
  <c r="CH42" i="9"/>
  <c r="CI42" i="9" s="1"/>
  <c r="CH39" i="9"/>
  <c r="CI39" i="9" s="1"/>
  <c r="CH31" i="9"/>
  <c r="CI31" i="9" s="1"/>
  <c r="CH21" i="9"/>
  <c r="CI21" i="9" s="1"/>
  <c r="CH149" i="9"/>
  <c r="CI149" i="9" s="1"/>
  <c r="CB56" i="9"/>
  <c r="CH148" i="9"/>
  <c r="CI148" i="9" s="1"/>
  <c r="CH41" i="9"/>
  <c r="CI41" i="9" s="1"/>
  <c r="CH18" i="9"/>
  <c r="CI18" i="9" s="1"/>
  <c r="CH147" i="9"/>
  <c r="CI147" i="9" s="1"/>
  <c r="CH20" i="9"/>
  <c r="CI20" i="9" s="1"/>
  <c r="CH24" i="9"/>
  <c r="CI24" i="9" s="1"/>
  <c r="CH140" i="9"/>
  <c r="CI140" i="9" s="1"/>
  <c r="CH153" i="9"/>
  <c r="CI153" i="9" s="1"/>
  <c r="CH23" i="9"/>
  <c r="CI23" i="9" s="1"/>
  <c r="CH141" i="9"/>
  <c r="CI141" i="9" s="1"/>
  <c r="CH22" i="9"/>
  <c r="CI22" i="9" s="1"/>
  <c r="CH12" i="9"/>
  <c r="CI12" i="9" s="1"/>
  <c r="CH136" i="9"/>
  <c r="CI136" i="9" s="1"/>
  <c r="CH144" i="9"/>
  <c r="CI144" i="9" s="1"/>
  <c r="CH146" i="9"/>
  <c r="CI146" i="9" s="1"/>
  <c r="CH155" i="9"/>
  <c r="CI155" i="9" s="1"/>
  <c r="CH134" i="9"/>
  <c r="CI134" i="9" s="1"/>
  <c r="CH145" i="9"/>
  <c r="CI145" i="9" s="1"/>
  <c r="CH30" i="9"/>
  <c r="CI30" i="9" s="1"/>
  <c r="CH157" i="9"/>
  <c r="CI157" i="9" s="1"/>
  <c r="CH36" i="9"/>
  <c r="CI36" i="9" s="1"/>
  <c r="CH161" i="9"/>
  <c r="CI161" i="9" s="1"/>
  <c r="CH27" i="9"/>
  <c r="CI27" i="9" s="1"/>
  <c r="CH38" i="9"/>
  <c r="CI38" i="9" s="1"/>
  <c r="CH151" i="9"/>
  <c r="CI151" i="9" s="1"/>
  <c r="AI55" i="9"/>
  <c r="J218" i="14"/>
  <c r="J53" i="14"/>
  <c r="J162" i="14"/>
  <c r="J218" i="19"/>
  <c r="J108" i="19"/>
  <c r="J108" i="14"/>
  <c r="C38" i="4"/>
  <c r="I46" i="7"/>
  <c r="AC46" i="7"/>
  <c r="A37" i="13" s="1"/>
  <c r="J115" i="10"/>
  <c r="J169" i="10" s="1"/>
  <c r="U54" i="19"/>
  <c r="AS55" i="9"/>
  <c r="AY136" i="9" s="1"/>
  <c r="AZ136" i="9" s="1"/>
  <c r="AY30" i="9"/>
  <c r="AZ30" i="9" s="1"/>
  <c r="AY39" i="9"/>
  <c r="AZ39" i="9" s="1"/>
  <c r="AY38" i="9"/>
  <c r="AZ38" i="9" s="1"/>
  <c r="AY12" i="9"/>
  <c r="AZ12" i="9" s="1"/>
  <c r="AY152" i="9"/>
  <c r="AZ152" i="9" s="1"/>
  <c r="AY148" i="9"/>
  <c r="AZ148" i="9" s="1"/>
  <c r="AY166" i="9"/>
  <c r="AZ166" i="9" s="1"/>
  <c r="AY17" i="9"/>
  <c r="AZ17" i="9" s="1"/>
  <c r="AV19" i="7" s="1"/>
  <c r="AY155" i="9"/>
  <c r="AZ155" i="9" s="1"/>
  <c r="AY31" i="9"/>
  <c r="AZ31" i="9" s="1"/>
  <c r="AY35" i="9"/>
  <c r="AZ35" i="9" s="1"/>
  <c r="AY34" i="9"/>
  <c r="AZ34" i="9" s="1"/>
  <c r="AY14" i="9"/>
  <c r="AZ14" i="9" s="1"/>
  <c r="AY164" i="9"/>
  <c r="AZ164" i="9" s="1"/>
  <c r="AY146" i="9"/>
  <c r="AZ146" i="9" s="1"/>
  <c r="AY162" i="9"/>
  <c r="AZ162" i="9" s="1"/>
  <c r="AY11" i="9"/>
  <c r="AZ11" i="9" s="1"/>
  <c r="AY144" i="9"/>
  <c r="AZ144" i="9" s="1"/>
  <c r="AY41" i="9"/>
  <c r="AZ41" i="9" s="1"/>
  <c r="AY133" i="9"/>
  <c r="AZ133" i="9" s="1"/>
  <c r="AY42" i="9"/>
  <c r="AZ42" i="9" s="1"/>
  <c r="AY23" i="9"/>
  <c r="AZ23" i="9" s="1"/>
  <c r="AY25" i="9"/>
  <c r="AZ25" i="9" s="1"/>
  <c r="AY9" i="9"/>
  <c r="AZ9" i="9" s="1"/>
  <c r="AY161" i="9"/>
  <c r="AZ161" i="9" s="1"/>
  <c r="AY10" i="9"/>
  <c r="AZ10" i="9" s="1"/>
  <c r="AY13" i="9"/>
  <c r="AZ13" i="9" s="1"/>
  <c r="AY151" i="9"/>
  <c r="AZ151" i="9" s="1"/>
  <c r="AY7" i="9"/>
  <c r="AZ7" i="9" s="1"/>
  <c r="AY21" i="9"/>
  <c r="AZ21" i="9" s="1"/>
  <c r="AY36" i="9"/>
  <c r="AZ36" i="9" s="1"/>
  <c r="AY32" i="9"/>
  <c r="AZ32" i="9" s="1"/>
  <c r="AY16" i="9"/>
  <c r="AZ16" i="9" s="1"/>
  <c r="AY145" i="9"/>
  <c r="AZ145" i="9" s="1"/>
  <c r="AY141" i="9"/>
  <c r="AZ141" i="9" s="1"/>
  <c r="AY138" i="9"/>
  <c r="AZ138" i="9" s="1"/>
  <c r="AY134" i="9"/>
  <c r="AZ134" i="9" s="1"/>
  <c r="AY150" i="9"/>
  <c r="AZ150" i="9" s="1"/>
  <c r="AY24" i="9"/>
  <c r="AZ24" i="9" s="1"/>
  <c r="AY135" i="9"/>
  <c r="AZ135" i="9" s="1"/>
  <c r="AY40" i="9"/>
  <c r="AZ40" i="9" s="1"/>
  <c r="AY29" i="9"/>
  <c r="AZ29" i="9" s="1"/>
  <c r="AY22" i="9"/>
  <c r="AZ22" i="9" s="1"/>
  <c r="AY158" i="9"/>
  <c r="AZ158" i="9" s="1"/>
  <c r="AY160" i="9"/>
  <c r="AZ160" i="9" s="1"/>
  <c r="AY142" i="9"/>
  <c r="AZ142" i="9" s="1"/>
  <c r="AY163" i="9"/>
  <c r="AZ163" i="9" s="1"/>
  <c r="AY153" i="9"/>
  <c r="AZ153" i="9" s="1"/>
  <c r="AY159" i="9"/>
  <c r="AZ159" i="9" s="1"/>
  <c r="AY20" i="9"/>
  <c r="AZ20" i="9" s="1"/>
  <c r="AY139" i="9"/>
  <c r="AZ139" i="9" s="1"/>
  <c r="AY19" i="9"/>
  <c r="AZ19" i="9" s="1"/>
  <c r="AY33" i="9"/>
  <c r="AZ33" i="9" s="1"/>
  <c r="AY37" i="9"/>
  <c r="AZ37" i="9" s="1"/>
  <c r="AY131" i="9"/>
  <c r="AZ131" i="9" s="1"/>
  <c r="AY15" i="9"/>
  <c r="AZ15" i="9" s="1"/>
  <c r="AY165" i="9"/>
  <c r="AZ165" i="9" s="1"/>
  <c r="AY156" i="9"/>
  <c r="AZ156" i="9" s="1"/>
  <c r="AY18" i="9"/>
  <c r="AZ18" i="9" s="1"/>
  <c r="AV20" i="7" s="1"/>
  <c r="AY154" i="9"/>
  <c r="AZ154" i="9" s="1"/>
  <c r="AY28" i="9"/>
  <c r="AZ28" i="9" s="1"/>
  <c r="AY143" i="9"/>
  <c r="AZ143" i="9" s="1"/>
  <c r="AY147" i="9"/>
  <c r="AZ147" i="9" s="1"/>
  <c r="AY8" i="9"/>
  <c r="AZ8" i="9" s="1"/>
  <c r="AS56" i="9"/>
  <c r="AY26" i="9"/>
  <c r="AZ26" i="9" s="1"/>
  <c r="AY27" i="9"/>
  <c r="AZ27" i="9" s="1"/>
  <c r="AY157" i="9"/>
  <c r="AZ157" i="9" s="1"/>
  <c r="AY137" i="9"/>
  <c r="AZ137" i="9" s="1"/>
  <c r="AY132" i="9"/>
  <c r="AZ132" i="9" s="1"/>
  <c r="AY140" i="9"/>
  <c r="AZ140" i="9" s="1"/>
  <c r="AY149" i="9"/>
  <c r="AZ149" i="9" s="1"/>
  <c r="BR119" i="18"/>
  <c r="CB119" i="18"/>
  <c r="L12" i="12"/>
  <c r="V12" i="12" s="1"/>
  <c r="AM14" i="12"/>
  <c r="AX14" i="12"/>
  <c r="K16" i="12"/>
  <c r="U16" i="12" s="1"/>
  <c r="AT18" i="12"/>
  <c r="AP11" i="12"/>
  <c r="J9" i="12"/>
  <c r="AL11" i="12"/>
  <c r="AY11" i="12"/>
  <c r="AQ11" i="12"/>
  <c r="AU11" i="12"/>
  <c r="K19" i="12"/>
  <c r="U19" i="12" s="1"/>
  <c r="AT21" i="12"/>
  <c r="AQ13" i="12"/>
  <c r="AP13" i="12"/>
  <c r="AU13" i="12"/>
  <c r="J11" i="12"/>
  <c r="AY13" i="12"/>
  <c r="AL13" i="12"/>
  <c r="K10" i="12"/>
  <c r="U10" i="12" s="1"/>
  <c r="AT12" i="12"/>
  <c r="AP22" i="12"/>
  <c r="J20" i="12"/>
  <c r="AU22" i="12"/>
  <c r="AL22" i="12"/>
  <c r="AY22" i="12"/>
  <c r="AQ22" i="12"/>
  <c r="AM12" i="12"/>
  <c r="L10" i="12"/>
  <c r="V10" i="12" s="1"/>
  <c r="AX12" i="12"/>
  <c r="AM11" i="12"/>
  <c r="L9" i="12"/>
  <c r="AX11" i="12"/>
  <c r="AT20" i="12"/>
  <c r="K18" i="12"/>
  <c r="U18" i="12" s="1"/>
  <c r="L14" i="12"/>
  <c r="V14" i="12" s="1"/>
  <c r="AX16" i="12"/>
  <c r="AM16" i="12"/>
  <c r="AT17" i="12"/>
  <c r="K15" i="12"/>
  <c r="U15" i="12" s="1"/>
  <c r="J13" i="12"/>
  <c r="AP15" i="12"/>
  <c r="AQ15" i="12"/>
  <c r="AL15" i="12"/>
  <c r="AU15" i="12"/>
  <c r="AY15" i="12"/>
  <c r="V118" i="9"/>
  <c r="Y119" i="9"/>
  <c r="V119" i="9" s="1"/>
  <c r="J14" i="12"/>
  <c r="AP16" i="12"/>
  <c r="AL16" i="12"/>
  <c r="AU16" i="12"/>
  <c r="AY16" i="12"/>
  <c r="AQ16" i="12"/>
  <c r="AM20" i="12"/>
  <c r="AX20" i="12"/>
  <c r="L18" i="12"/>
  <c r="V18" i="12" s="1"/>
  <c r="AP12" i="12"/>
  <c r="J10" i="12"/>
  <c r="AL12" i="12"/>
  <c r="AQ12" i="12"/>
  <c r="AU12" i="12"/>
  <c r="AY12" i="12"/>
  <c r="L19" i="12"/>
  <c r="V19" i="12" s="1"/>
  <c r="AM21" i="12"/>
  <c r="AX21" i="12"/>
  <c r="AP14" i="12"/>
  <c r="AU14" i="12"/>
  <c r="J12" i="12"/>
  <c r="AL14" i="12"/>
  <c r="AY14" i="12"/>
  <c r="AQ14" i="12"/>
  <c r="AX13" i="12"/>
  <c r="L11" i="12"/>
  <c r="V11" i="12" s="1"/>
  <c r="AM13" i="12"/>
  <c r="AT15" i="12"/>
  <c r="K13" i="12"/>
  <c r="U13" i="12" s="1"/>
  <c r="AP17" i="12"/>
  <c r="J15" i="12"/>
  <c r="AL17" i="12"/>
  <c r="AQ17" i="12"/>
  <c r="AY17" i="12"/>
  <c r="AU17" i="12"/>
  <c r="K11" i="12"/>
  <c r="U11" i="12" s="1"/>
  <c r="AT13" i="12"/>
  <c r="AP18" i="12"/>
  <c r="AY18" i="12"/>
  <c r="AU18" i="12"/>
  <c r="J16" i="12"/>
  <c r="AL18" i="12"/>
  <c r="AQ18" i="12"/>
  <c r="K12" i="12"/>
  <c r="U12" i="12" s="1"/>
  <c r="AT14" i="12"/>
  <c r="L13" i="12"/>
  <c r="V13" i="12" s="1"/>
  <c r="AX15" i="12"/>
  <c r="AM15" i="12"/>
  <c r="AT16" i="12"/>
  <c r="K14" i="12"/>
  <c r="U14" i="12" s="1"/>
  <c r="AP21" i="12"/>
  <c r="J19" i="12"/>
  <c r="AL21" i="12"/>
  <c r="AY21" i="12"/>
  <c r="AQ21" i="12"/>
  <c r="AU21" i="12"/>
  <c r="L20" i="12"/>
  <c r="V20" i="12" s="1"/>
  <c r="AX22" i="12"/>
  <c r="AM22" i="12"/>
  <c r="AP20" i="12"/>
  <c r="AU20" i="12"/>
  <c r="J18" i="12"/>
  <c r="AY20" i="12"/>
  <c r="AL20" i="12"/>
  <c r="AQ20" i="12"/>
  <c r="AT22" i="12"/>
  <c r="K20" i="12"/>
  <c r="U20" i="12" s="1"/>
  <c r="K17" i="12"/>
  <c r="U17" i="12" s="1"/>
  <c r="AT19" i="12"/>
  <c r="AU19" i="12"/>
  <c r="AY19" i="12"/>
  <c r="AQ19" i="12"/>
  <c r="AL19" i="12"/>
  <c r="AP19" i="12"/>
  <c r="J17" i="12"/>
  <c r="AT11" i="12"/>
  <c r="AW12" i="12" s="1"/>
  <c r="K9" i="12"/>
  <c r="H13" i="9"/>
  <c r="BC243" i="9"/>
  <c r="H12" i="9"/>
  <c r="AS243" i="9"/>
  <c r="L16" i="12" l="1"/>
  <c r="V16" i="12" s="1"/>
  <c r="AX18" i="12"/>
  <c r="AM18" i="12"/>
  <c r="L17" i="12"/>
  <c r="V17" i="12" s="1"/>
  <c r="AX19" i="12"/>
  <c r="AM19" i="12"/>
  <c r="L15" i="12"/>
  <c r="V15" i="12" s="1"/>
  <c r="AM17" i="12"/>
  <c r="AX17" i="12"/>
  <c r="P162" i="14"/>
  <c r="P108" i="14"/>
  <c r="P53" i="14"/>
  <c r="P218" i="14"/>
  <c r="P108" i="19"/>
  <c r="P218" i="19"/>
  <c r="Q46" i="7"/>
  <c r="AK46" i="7" s="1"/>
  <c r="W36" i="13" s="1"/>
  <c r="O62" i="13" s="1"/>
  <c r="O63" i="13" s="1"/>
  <c r="O64" i="13" s="1"/>
  <c r="O65" i="13" s="1"/>
  <c r="O66" i="13" s="1"/>
  <c r="O67" i="13" s="1"/>
  <c r="O68" i="13" s="1"/>
  <c r="O69" i="13" s="1"/>
  <c r="O70" i="13" s="1"/>
  <c r="O71" i="13" s="1"/>
  <c r="O72" i="13" s="1"/>
  <c r="O73" i="13" s="1"/>
  <c r="O74" i="13" s="1"/>
  <c r="O75" i="13" s="1"/>
  <c r="O76" i="13" s="1"/>
  <c r="O77" i="13" s="1"/>
  <c r="O78" i="13" s="1"/>
  <c r="O79" i="13" s="1"/>
  <c r="O80" i="13" s="1"/>
  <c r="O81" i="13" s="1"/>
  <c r="O82" i="13" s="1"/>
  <c r="O83" i="13" s="1"/>
  <c r="P219" i="19"/>
  <c r="P54" i="14"/>
  <c r="P163" i="14"/>
  <c r="P109" i="14"/>
  <c r="P219" i="14"/>
  <c r="Q47" i="7"/>
  <c r="AK47" i="7" s="1"/>
  <c r="W37" i="13" s="1"/>
  <c r="P109" i="19"/>
  <c r="U9" i="12"/>
  <c r="K22" i="12"/>
  <c r="T17" i="12"/>
  <c r="M17" i="12"/>
  <c r="T18" i="12"/>
  <c r="M18" i="12"/>
  <c r="T19" i="12"/>
  <c r="M19" i="12"/>
  <c r="T16" i="12"/>
  <c r="M16" i="12"/>
  <c r="T15" i="12"/>
  <c r="M15" i="12"/>
  <c r="T12" i="12"/>
  <c r="M12" i="12"/>
  <c r="T10" i="12"/>
  <c r="M10" i="12"/>
  <c r="T14" i="12"/>
  <c r="M14" i="12"/>
  <c r="T13" i="12"/>
  <c r="M13" i="12"/>
  <c r="BA13" i="12"/>
  <c r="BA12" i="12"/>
  <c r="V9" i="12"/>
  <c r="L22" i="12"/>
  <c r="AO14" i="12"/>
  <c r="AO15" i="12"/>
  <c r="T20" i="12"/>
  <c r="M20" i="12"/>
  <c r="T11" i="12"/>
  <c r="M11" i="12"/>
  <c r="AW14" i="12"/>
  <c r="AS14" i="12"/>
  <c r="BA14" i="12"/>
  <c r="AO12" i="12"/>
  <c r="T9" i="12"/>
  <c r="M9" i="12"/>
  <c r="M22" i="12" s="1"/>
  <c r="O9" i="12" s="1"/>
  <c r="J22" i="12"/>
  <c r="AS12" i="12"/>
  <c r="CH99" i="18"/>
  <c r="CI99" i="18" s="1"/>
  <c r="CH103" i="18"/>
  <c r="CI103" i="18" s="1"/>
  <c r="CH93" i="18"/>
  <c r="CI93" i="18" s="1"/>
  <c r="CH71" i="18"/>
  <c r="CI71" i="18" s="1"/>
  <c r="CH95" i="18"/>
  <c r="CI95" i="18" s="1"/>
  <c r="CH83" i="18"/>
  <c r="CI83" i="18" s="1"/>
  <c r="CH96" i="18"/>
  <c r="CI96" i="18" s="1"/>
  <c r="CH73" i="18"/>
  <c r="CI73" i="18" s="1"/>
  <c r="CH78" i="18"/>
  <c r="CI78" i="18" s="1"/>
  <c r="CH102" i="18"/>
  <c r="CI102" i="18" s="1"/>
  <c r="CH77" i="18"/>
  <c r="CI77" i="18" s="1"/>
  <c r="CH105" i="18"/>
  <c r="CI105" i="18" s="1"/>
  <c r="CH88" i="18"/>
  <c r="CI88" i="18" s="1"/>
  <c r="CH104" i="18"/>
  <c r="CI104" i="18" s="1"/>
  <c r="CH89" i="18"/>
  <c r="CI89" i="18" s="1"/>
  <c r="CH98" i="18"/>
  <c r="CI98" i="18" s="1"/>
  <c r="CH106" i="18"/>
  <c r="CI106" i="18" s="1"/>
  <c r="CH101" i="18"/>
  <c r="CI101" i="18" s="1"/>
  <c r="CH79" i="18"/>
  <c r="CI79" i="18" s="1"/>
  <c r="CH76" i="18"/>
  <c r="CI76" i="18" s="1"/>
  <c r="CH86" i="18"/>
  <c r="CI86" i="18" s="1"/>
  <c r="CH91" i="18"/>
  <c r="CI91" i="18" s="1"/>
  <c r="CH87" i="18"/>
  <c r="CI87" i="18" s="1"/>
  <c r="CH94" i="18"/>
  <c r="CI94" i="18" s="1"/>
  <c r="CH74" i="18"/>
  <c r="CI74" i="18" s="1"/>
  <c r="CH80" i="18"/>
  <c r="CI80" i="18" s="1"/>
  <c r="CH84" i="18"/>
  <c r="CI84" i="18" s="1"/>
  <c r="CH82" i="18"/>
  <c r="CI82" i="18" s="1"/>
  <c r="CH97" i="18"/>
  <c r="CI97" i="18" s="1"/>
  <c r="CH90" i="18"/>
  <c r="CI90" i="18" s="1"/>
  <c r="CH100" i="18"/>
  <c r="CI100" i="18" s="1"/>
  <c r="CH92" i="18"/>
  <c r="CI92" i="18" s="1"/>
  <c r="CH81" i="18"/>
  <c r="CI81" i="18" s="1"/>
  <c r="CB120" i="18"/>
  <c r="CB121" i="18" s="1"/>
  <c r="CH72" i="18"/>
  <c r="CI72" i="18" s="1"/>
  <c r="CH85" i="18"/>
  <c r="CI85" i="18" s="1"/>
  <c r="CH75" i="18"/>
  <c r="CI75" i="18" s="1"/>
  <c r="BX87" i="18"/>
  <c r="BY87" i="18" s="1"/>
  <c r="BX100" i="18"/>
  <c r="BY100" i="18" s="1"/>
  <c r="BX94" i="18"/>
  <c r="BY94" i="18" s="1"/>
  <c r="BX106" i="18"/>
  <c r="BY106" i="18" s="1"/>
  <c r="BX71" i="18"/>
  <c r="BY71" i="18" s="1"/>
  <c r="BX104" i="18"/>
  <c r="BY104" i="18" s="1"/>
  <c r="BX85" i="18"/>
  <c r="BY85" i="18" s="1"/>
  <c r="BX76" i="18"/>
  <c r="BY76" i="18" s="1"/>
  <c r="BX84" i="18"/>
  <c r="BY84" i="18" s="1"/>
  <c r="BR120" i="18"/>
  <c r="BR121" i="18" s="1"/>
  <c r="BX103" i="18"/>
  <c r="BY103" i="18" s="1"/>
  <c r="BX88" i="18"/>
  <c r="BY88" i="18" s="1"/>
  <c r="BX79" i="18"/>
  <c r="BY79" i="18" s="1"/>
  <c r="BX74" i="18"/>
  <c r="BY74" i="18" s="1"/>
  <c r="BX75" i="18"/>
  <c r="BY75" i="18" s="1"/>
  <c r="BX73" i="18"/>
  <c r="BY73" i="18" s="1"/>
  <c r="BX95" i="18"/>
  <c r="BY95" i="18" s="1"/>
  <c r="BX97" i="18"/>
  <c r="BY97" i="18" s="1"/>
  <c r="BX77" i="18"/>
  <c r="BY77" i="18" s="1"/>
  <c r="BX102" i="18"/>
  <c r="BY102" i="18" s="1"/>
  <c r="BX89" i="18"/>
  <c r="BY89" i="18" s="1"/>
  <c r="BX91" i="18"/>
  <c r="BY91" i="18" s="1"/>
  <c r="BX101" i="18"/>
  <c r="BY101" i="18" s="1"/>
  <c r="BX96" i="18"/>
  <c r="BY96" i="18" s="1"/>
  <c r="BX81" i="18"/>
  <c r="BY81" i="18" s="1"/>
  <c r="BX83" i="18"/>
  <c r="BY83" i="18" s="1"/>
  <c r="BX78" i="18"/>
  <c r="BY78" i="18" s="1"/>
  <c r="BX82" i="18"/>
  <c r="BY82" i="18" s="1"/>
  <c r="BX80" i="18"/>
  <c r="BY80" i="18" s="1"/>
  <c r="BX93" i="18"/>
  <c r="BY93" i="18" s="1"/>
  <c r="BX86" i="18"/>
  <c r="BY86" i="18" s="1"/>
  <c r="BX105" i="18"/>
  <c r="BY105" i="18" s="1"/>
  <c r="BX92" i="18"/>
  <c r="BY92" i="18" s="1"/>
  <c r="BX72" i="18"/>
  <c r="BY72" i="18" s="1"/>
  <c r="BX90" i="18"/>
  <c r="BY90" i="18" s="1"/>
  <c r="BX99" i="18"/>
  <c r="BY99" i="18" s="1"/>
  <c r="BX98" i="18"/>
  <c r="BY98" i="18" s="1"/>
  <c r="EA27" i="9"/>
  <c r="AV29" i="7"/>
  <c r="AU53" i="7"/>
  <c r="AJ29" i="18"/>
  <c r="BI29" i="7"/>
  <c r="AV28" i="7"/>
  <c r="AU52" i="7"/>
  <c r="AJ28" i="18"/>
  <c r="BI28" i="7"/>
  <c r="EA26" i="9"/>
  <c r="E12" i="9"/>
  <c r="AS57" i="9"/>
  <c r="AV30" i="7"/>
  <c r="BI30" i="7"/>
  <c r="AU54" i="7"/>
  <c r="EA28" i="9"/>
  <c r="AJ30" i="18"/>
  <c r="BI39" i="7"/>
  <c r="EA37" i="9"/>
  <c r="AJ39" i="18"/>
  <c r="AU63" i="7"/>
  <c r="AV39" i="7"/>
  <c r="EA33" i="9"/>
  <c r="BI35" i="7"/>
  <c r="AJ35" i="18"/>
  <c r="AU59" i="7"/>
  <c r="AV35" i="7"/>
  <c r="AV21" i="7"/>
  <c r="AJ21" i="18"/>
  <c r="BI21" i="7"/>
  <c r="EA19" i="9"/>
  <c r="BI22" i="7"/>
  <c r="EA20" i="9"/>
  <c r="AV22" i="7"/>
  <c r="AJ22" i="18"/>
  <c r="AJ24" i="18"/>
  <c r="EA22" i="9"/>
  <c r="BI24" i="7"/>
  <c r="AV24" i="7"/>
  <c r="AU55" i="7"/>
  <c r="AJ31" i="18"/>
  <c r="EA29" i="9"/>
  <c r="BI31" i="7"/>
  <c r="AV31" i="7"/>
  <c r="EA40" i="9"/>
  <c r="AJ42" i="18"/>
  <c r="BI42" i="7"/>
  <c r="AU66" i="7"/>
  <c r="AV42" i="7"/>
  <c r="EA24" i="9"/>
  <c r="AJ26" i="18"/>
  <c r="BI26" i="7"/>
  <c r="AV26" i="7"/>
  <c r="AV34" i="7"/>
  <c r="EA32" i="9"/>
  <c r="BI34" i="7"/>
  <c r="AJ34" i="18"/>
  <c r="AU58" i="7"/>
  <c r="EA36" i="9"/>
  <c r="AJ38" i="18"/>
  <c r="BI38" i="7"/>
  <c r="AV38" i="7"/>
  <c r="AU62" i="7"/>
  <c r="BI23" i="7"/>
  <c r="AV23" i="7"/>
  <c r="AJ23" i="18"/>
  <c r="EA21" i="9"/>
  <c r="AU51" i="7"/>
  <c r="AJ27" i="18"/>
  <c r="AV27" i="7"/>
  <c r="BI27" i="7"/>
  <c r="EA25" i="9"/>
  <c r="AV25" i="7"/>
  <c r="BI25" i="7"/>
  <c r="AJ25" i="18"/>
  <c r="EA23" i="9"/>
  <c r="AJ44" i="18"/>
  <c r="BI44" i="7"/>
  <c r="AU68" i="7"/>
  <c r="AU67" i="7"/>
  <c r="EA41" i="9"/>
  <c r="EA42" i="9" s="1"/>
  <c r="BI43" i="7"/>
  <c r="AJ43" i="18"/>
  <c r="BI36" i="7"/>
  <c r="AJ36" i="18"/>
  <c r="EA34" i="9"/>
  <c r="AV36" i="7"/>
  <c r="AU60" i="7"/>
  <c r="AJ37" i="18"/>
  <c r="BI37" i="7"/>
  <c r="EA35" i="9"/>
  <c r="AU61" i="7"/>
  <c r="AV37" i="7"/>
  <c r="AJ33" i="18"/>
  <c r="BI33" i="7"/>
  <c r="EA31" i="9"/>
  <c r="AV33" i="7"/>
  <c r="AU57" i="7"/>
  <c r="AJ40" i="18"/>
  <c r="EA38" i="9"/>
  <c r="BI40" i="7"/>
  <c r="AV40" i="7"/>
  <c r="AU64" i="7"/>
  <c r="AJ41" i="18"/>
  <c r="BI41" i="7"/>
  <c r="EA39" i="9"/>
  <c r="AU65" i="7"/>
  <c r="AV41" i="7"/>
  <c r="AJ32" i="18"/>
  <c r="BI32" i="7"/>
  <c r="AU56" i="7"/>
  <c r="AV32" i="7"/>
  <c r="EA30" i="9"/>
  <c r="AO153" i="9"/>
  <c r="AP153" i="9" s="1"/>
  <c r="AO9" i="9"/>
  <c r="AP9" i="9" s="1"/>
  <c r="AO150" i="9"/>
  <c r="AP150" i="9" s="1"/>
  <c r="AO23" i="9"/>
  <c r="AP23" i="9" s="1"/>
  <c r="AO11" i="9"/>
  <c r="AP11" i="9" s="1"/>
  <c r="AO39" i="9"/>
  <c r="AP39" i="9" s="1"/>
  <c r="AO28" i="9"/>
  <c r="AP28" i="9" s="1"/>
  <c r="AO140" i="9"/>
  <c r="AP140" i="9" s="1"/>
  <c r="AI56" i="9"/>
  <c r="AO159" i="9"/>
  <c r="AP159" i="9" s="1"/>
  <c r="AO41" i="9"/>
  <c r="AP41" i="9" s="1"/>
  <c r="AO25" i="9"/>
  <c r="AP25" i="9" s="1"/>
  <c r="AO8" i="9"/>
  <c r="AP8" i="9" s="1"/>
  <c r="AU10" i="7" s="1"/>
  <c r="BA10" i="7" s="1"/>
  <c r="AO22" i="9"/>
  <c r="AP22" i="9" s="1"/>
  <c r="AO20" i="9"/>
  <c r="AP20" i="9" s="1"/>
  <c r="AO16" i="9"/>
  <c r="AP16" i="9" s="1"/>
  <c r="AO38" i="9"/>
  <c r="AP38" i="9" s="1"/>
  <c r="AO145" i="9"/>
  <c r="AP145" i="9" s="1"/>
  <c r="AO131" i="9"/>
  <c r="AP131" i="9" s="1"/>
  <c r="AO13" i="9"/>
  <c r="AP13" i="9" s="1"/>
  <c r="AO146" i="9"/>
  <c r="AP146" i="9" s="1"/>
  <c r="AO151" i="9"/>
  <c r="AP151" i="9" s="1"/>
  <c r="AO163" i="9"/>
  <c r="AP163" i="9" s="1"/>
  <c r="AO30" i="9"/>
  <c r="AP30" i="9" s="1"/>
  <c r="AO14" i="9"/>
  <c r="AP14" i="9" s="1"/>
  <c r="AO26" i="9"/>
  <c r="AP26" i="9" s="1"/>
  <c r="AO144" i="9"/>
  <c r="AP144" i="9" s="1"/>
  <c r="AO137" i="9"/>
  <c r="AP137" i="9" s="1"/>
  <c r="AO154" i="9"/>
  <c r="AP154" i="9" s="1"/>
  <c r="AO19" i="9"/>
  <c r="AP19" i="9" s="1"/>
  <c r="AO18" i="9"/>
  <c r="AP18" i="9" s="1"/>
  <c r="AO35" i="9"/>
  <c r="AP35" i="9" s="1"/>
  <c r="AO135" i="9"/>
  <c r="AP135" i="9" s="1"/>
  <c r="AO141" i="9"/>
  <c r="AP141" i="9" s="1"/>
  <c r="AO136" i="9"/>
  <c r="AP136" i="9" s="1"/>
  <c r="AO10" i="9"/>
  <c r="AP10" i="9" s="1"/>
  <c r="AO147" i="9"/>
  <c r="AP147" i="9" s="1"/>
  <c r="AO152" i="9"/>
  <c r="AP152" i="9" s="1"/>
  <c r="AO133" i="9"/>
  <c r="AP133" i="9" s="1"/>
  <c r="AO32" i="9"/>
  <c r="AP32" i="9" s="1"/>
  <c r="AO12" i="9"/>
  <c r="AP12" i="9" s="1"/>
  <c r="AO156" i="9"/>
  <c r="AP156" i="9" s="1"/>
  <c r="AO149" i="9"/>
  <c r="AP149" i="9" s="1"/>
  <c r="AO155" i="9"/>
  <c r="AP155" i="9" s="1"/>
  <c r="AO157" i="9"/>
  <c r="AP157" i="9" s="1"/>
  <c r="AO24" i="9"/>
  <c r="AP24" i="9" s="1"/>
  <c r="AO37" i="9"/>
  <c r="AP37" i="9" s="1"/>
  <c r="AO165" i="9"/>
  <c r="AP165" i="9" s="1"/>
  <c r="AO138" i="9"/>
  <c r="AP138" i="9" s="1"/>
  <c r="AO134" i="9"/>
  <c r="AP134" i="9" s="1"/>
  <c r="AO166" i="9"/>
  <c r="AP166" i="9" s="1"/>
  <c r="AO15" i="9"/>
  <c r="AP15" i="9" s="1"/>
  <c r="AO160" i="9"/>
  <c r="AP160" i="9" s="1"/>
  <c r="AO143" i="9"/>
  <c r="AP143" i="9" s="1"/>
  <c r="AO161" i="9"/>
  <c r="AP161" i="9" s="1"/>
  <c r="AO164" i="9"/>
  <c r="AP164" i="9" s="1"/>
  <c r="AO29" i="9"/>
  <c r="AP29" i="9" s="1"/>
  <c r="AO36" i="9"/>
  <c r="AP36" i="9" s="1"/>
  <c r="AO33" i="9"/>
  <c r="AP33" i="9" s="1"/>
  <c r="AO139" i="9"/>
  <c r="AP139" i="9" s="1"/>
  <c r="AO148" i="9"/>
  <c r="AP148" i="9" s="1"/>
  <c r="AO7" i="9"/>
  <c r="AP7" i="9" s="1"/>
  <c r="AO31" i="9"/>
  <c r="AP31" i="9" s="1"/>
  <c r="AO21" i="9"/>
  <c r="AP21" i="9" s="1"/>
  <c r="AO17" i="9"/>
  <c r="AP17" i="9" s="1"/>
  <c r="AO142" i="9"/>
  <c r="AP142" i="9" s="1"/>
  <c r="AO162" i="9"/>
  <c r="AP162" i="9" s="1"/>
  <c r="AO132" i="9"/>
  <c r="AP132" i="9" s="1"/>
  <c r="AO27" i="9"/>
  <c r="AP27" i="9" s="1"/>
  <c r="AO40" i="9"/>
  <c r="AP40" i="9" s="1"/>
  <c r="AO34" i="9"/>
  <c r="AP34" i="9" s="1"/>
  <c r="AO158" i="9"/>
  <c r="AP158" i="9" s="1"/>
  <c r="AO42" i="9"/>
  <c r="AP42" i="9" s="1"/>
  <c r="AU44" i="7" s="1"/>
  <c r="E35" i="9"/>
  <c r="CB57" i="9"/>
  <c r="BJ29" i="7"/>
  <c r="AK29" i="18"/>
  <c r="EF27" i="9"/>
  <c r="AW29" i="7"/>
  <c r="EF30" i="9"/>
  <c r="BJ32" i="7"/>
  <c r="AK32" i="18"/>
  <c r="AW32" i="7"/>
  <c r="BJ27" i="7"/>
  <c r="EF25" i="9"/>
  <c r="AW27" i="7"/>
  <c r="AK27" i="18"/>
  <c r="BJ42" i="7"/>
  <c r="EF40" i="9"/>
  <c r="AK42" i="18"/>
  <c r="AW42" i="7"/>
  <c r="BJ33" i="7"/>
  <c r="EF31" i="9"/>
  <c r="AK33" i="18"/>
  <c r="AW33" i="7"/>
  <c r="BJ30" i="7"/>
  <c r="AW30" i="7"/>
  <c r="EF28" i="9"/>
  <c r="AK30" i="18"/>
  <c r="AK41" i="18"/>
  <c r="EF39" i="9"/>
  <c r="BJ41" i="7"/>
  <c r="AW41" i="7"/>
  <c r="AK36" i="18"/>
  <c r="EF34" i="9"/>
  <c r="BJ36" i="7"/>
  <c r="AW36" i="7"/>
  <c r="BJ31" i="7"/>
  <c r="EF29" i="9"/>
  <c r="AK31" i="18"/>
  <c r="AW31" i="7"/>
  <c r="BJ44" i="7"/>
  <c r="AK44" i="18"/>
  <c r="BC57" i="9"/>
  <c r="E13" i="9"/>
  <c r="BJ40" i="7"/>
  <c r="AK40" i="18"/>
  <c r="EF38" i="9"/>
  <c r="AW40" i="7"/>
  <c r="BJ43" i="7"/>
  <c r="EF41" i="9"/>
  <c r="EF42" i="9" s="1"/>
  <c r="AK43" i="18"/>
  <c r="AK38" i="18"/>
  <c r="BJ38" i="7"/>
  <c r="EF36" i="9"/>
  <c r="AW38" i="7"/>
  <c r="BJ34" i="7"/>
  <c r="EF32" i="9"/>
  <c r="AK34" i="18"/>
  <c r="AW34" i="7"/>
  <c r="AK35" i="18"/>
  <c r="BJ35" i="7"/>
  <c r="EF33" i="9"/>
  <c r="AW35" i="7"/>
  <c r="EF35" i="9"/>
  <c r="AK37" i="18"/>
  <c r="BJ37" i="7"/>
  <c r="AW37" i="7"/>
  <c r="BJ39" i="7"/>
  <c r="EF37" i="9"/>
  <c r="AK39" i="18"/>
  <c r="AW39" i="7"/>
  <c r="AW28" i="7"/>
  <c r="AK28" i="18"/>
  <c r="EF26" i="9"/>
  <c r="BJ28" i="7"/>
  <c r="EK37" i="9"/>
  <c r="AX39" i="7"/>
  <c r="EK34" i="9"/>
  <c r="AX36" i="7"/>
  <c r="EK39" i="9"/>
  <c r="AX41" i="7"/>
  <c r="AX40" i="7"/>
  <c r="EK38" i="9"/>
  <c r="BM57" i="9"/>
  <c r="E14" i="9"/>
  <c r="N48" i="7" s="1"/>
  <c r="EK40" i="9"/>
  <c r="AX42" i="7"/>
  <c r="EK36" i="9"/>
  <c r="AX38" i="7"/>
  <c r="EK33" i="9"/>
  <c r="AX35" i="7"/>
  <c r="AX33" i="7"/>
  <c r="EK31" i="9"/>
  <c r="EK35" i="9"/>
  <c r="AX37" i="7"/>
  <c r="EK32" i="9"/>
  <c r="AX34" i="7"/>
  <c r="BM117" i="9"/>
  <c r="BC117" i="9"/>
  <c r="BI223" i="9" s="1"/>
  <c r="BJ223" i="9" s="1"/>
  <c r="BI84" i="9"/>
  <c r="BJ84" i="9" s="1"/>
  <c r="BI219" i="9"/>
  <c r="BJ219" i="9" s="1"/>
  <c r="BI69" i="9"/>
  <c r="BJ69" i="9" s="1"/>
  <c r="BI226" i="9"/>
  <c r="BJ226" i="9" s="1"/>
  <c r="BI95" i="9"/>
  <c r="BJ95" i="9" s="1"/>
  <c r="EF95" i="9" s="1"/>
  <c r="BI214" i="9"/>
  <c r="BJ214" i="9" s="1"/>
  <c r="BI73" i="9"/>
  <c r="BJ73" i="9" s="1"/>
  <c r="BI70" i="9"/>
  <c r="BJ70" i="9" s="1"/>
  <c r="BI72" i="9"/>
  <c r="BJ72" i="9" s="1"/>
  <c r="BI76" i="9"/>
  <c r="BJ76" i="9" s="1"/>
  <c r="BI82" i="9"/>
  <c r="BJ82" i="9" s="1"/>
  <c r="BI99" i="9"/>
  <c r="BJ99" i="9" s="1"/>
  <c r="EF99" i="9" s="1"/>
  <c r="BC118" i="9"/>
  <c r="BI215" i="9"/>
  <c r="BJ215" i="9" s="1"/>
  <c r="BI104" i="9"/>
  <c r="BJ104" i="9" s="1"/>
  <c r="BI213" i="9"/>
  <c r="BJ213" i="9" s="1"/>
  <c r="BI94" i="9"/>
  <c r="BJ94" i="9" s="1"/>
  <c r="EF94" i="9" s="1"/>
  <c r="BI92" i="9"/>
  <c r="BJ92" i="9" s="1"/>
  <c r="EF92" i="9" s="1"/>
  <c r="BI103" i="9"/>
  <c r="BJ103" i="9" s="1"/>
  <c r="EF103" i="9" s="1"/>
  <c r="BI89" i="9"/>
  <c r="BJ89" i="9" s="1"/>
  <c r="EF89" i="9" s="1"/>
  <c r="BI83" i="9"/>
  <c r="BJ83" i="9" s="1"/>
  <c r="BI197" i="9"/>
  <c r="BJ197" i="9" s="1"/>
  <c r="BI203" i="9"/>
  <c r="BJ203" i="9" s="1"/>
  <c r="BI87" i="9"/>
  <c r="BJ87" i="9" s="1"/>
  <c r="EF87" i="9" s="1"/>
  <c r="BI78" i="9"/>
  <c r="BJ78" i="9" s="1"/>
  <c r="BI75" i="9"/>
  <c r="BJ75" i="9" s="1"/>
  <c r="BI211" i="9"/>
  <c r="BJ211" i="9" s="1"/>
  <c r="BI222" i="9"/>
  <c r="BJ222" i="9" s="1"/>
  <c r="BI210" i="9"/>
  <c r="BJ210" i="9" s="1"/>
  <c r="BI100" i="9"/>
  <c r="BJ100" i="9" s="1"/>
  <c r="EF100" i="9" s="1"/>
  <c r="BI217" i="9"/>
  <c r="BJ217" i="9" s="1"/>
  <c r="BI195" i="9"/>
  <c r="BJ195" i="9" s="1"/>
  <c r="BI79" i="9"/>
  <c r="BJ79" i="9" s="1"/>
  <c r="BI209" i="9"/>
  <c r="BJ209" i="9" s="1"/>
  <c r="BI74" i="9"/>
  <c r="BJ74" i="9" s="1"/>
  <c r="BI194" i="9"/>
  <c r="BJ194" i="9" s="1"/>
  <c r="BI198" i="9"/>
  <c r="BJ198" i="9" s="1"/>
  <c r="BI224" i="9"/>
  <c r="BJ224" i="9" s="1"/>
  <c r="BI85" i="9"/>
  <c r="BJ85" i="9" s="1"/>
  <c r="BI77" i="9"/>
  <c r="BJ77" i="9" s="1"/>
  <c r="BI96" i="9"/>
  <c r="BJ96" i="9" s="1"/>
  <c r="EF96" i="9" s="1"/>
  <c r="BI207" i="9"/>
  <c r="BJ207" i="9" s="1"/>
  <c r="BI93" i="9"/>
  <c r="BJ93" i="9" s="1"/>
  <c r="EF93" i="9" s="1"/>
  <c r="BI216" i="9"/>
  <c r="BJ216" i="9" s="1"/>
  <c r="BI212" i="9"/>
  <c r="BJ212" i="9" s="1"/>
  <c r="BI220" i="9"/>
  <c r="BJ220" i="9" s="1"/>
  <c r="BI101" i="9"/>
  <c r="BJ101" i="9" s="1"/>
  <c r="EF101" i="9" s="1"/>
  <c r="BI205" i="9"/>
  <c r="BJ205" i="9" s="1"/>
  <c r="BI71" i="9"/>
  <c r="BJ71" i="9" s="1"/>
  <c r="BI196" i="9"/>
  <c r="BJ196" i="9" s="1"/>
  <c r="BI202" i="9"/>
  <c r="BJ202" i="9" s="1"/>
  <c r="BI206" i="9"/>
  <c r="BJ206" i="9" s="1"/>
  <c r="BI81" i="9"/>
  <c r="BJ81" i="9" s="1"/>
  <c r="BI221" i="9"/>
  <c r="BJ221" i="9" s="1"/>
  <c r="BI98" i="9"/>
  <c r="BJ98" i="9" s="1"/>
  <c r="EF98" i="9" s="1"/>
  <c r="BI193" i="9"/>
  <c r="BJ193" i="9" s="1"/>
  <c r="BI86" i="9"/>
  <c r="BJ86" i="9" s="1"/>
  <c r="BI199" i="9"/>
  <c r="BJ199" i="9" s="1"/>
  <c r="BI80" i="9"/>
  <c r="BJ80" i="9" s="1"/>
  <c r="BI91" i="9"/>
  <c r="BJ91" i="9" s="1"/>
  <c r="EF91" i="9" s="1"/>
  <c r="BI200" i="9"/>
  <c r="BJ200" i="9" s="1"/>
  <c r="BI102" i="9"/>
  <c r="BJ102" i="9" s="1"/>
  <c r="EF102" i="9" s="1"/>
  <c r="BI208" i="9"/>
  <c r="BJ208" i="9" s="1"/>
  <c r="BI204" i="9"/>
  <c r="BJ204" i="9" s="1"/>
  <c r="BI201" i="9"/>
  <c r="BJ201" i="9" s="1"/>
  <c r="BI97" i="9"/>
  <c r="BJ97" i="9" s="1"/>
  <c r="EF97" i="9" s="1"/>
  <c r="BI90" i="9"/>
  <c r="BJ90" i="9" s="1"/>
  <c r="EF90" i="9" s="1"/>
  <c r="BI218" i="9"/>
  <c r="BJ218" i="9" s="1"/>
  <c r="BI88" i="9"/>
  <c r="BJ88" i="9" s="1"/>
  <c r="EF88" i="9" s="1"/>
  <c r="BI228" i="9"/>
  <c r="BJ228" i="9" s="1"/>
  <c r="BI225" i="9"/>
  <c r="BJ225" i="9" s="1"/>
  <c r="BI227" i="9"/>
  <c r="BJ227" i="9" s="1"/>
  <c r="AI119" i="9"/>
  <c r="F11" i="9"/>
  <c r="DU71" i="9"/>
  <c r="DT104" i="9"/>
  <c r="DU103" i="9"/>
  <c r="AS117" i="9"/>
  <c r="CH225" i="9"/>
  <c r="CI225" i="9" s="1"/>
  <c r="CH100" i="9"/>
  <c r="CI100" i="9" s="1"/>
  <c r="CH215" i="9"/>
  <c r="CI215" i="9" s="1"/>
  <c r="CH213" i="9"/>
  <c r="CI213" i="9" s="1"/>
  <c r="CH77" i="9"/>
  <c r="CI77" i="9" s="1"/>
  <c r="CH227" i="9"/>
  <c r="CI227" i="9" s="1"/>
  <c r="CH198" i="9"/>
  <c r="CI198" i="9" s="1"/>
  <c r="CH93" i="9"/>
  <c r="CI93" i="9" s="1"/>
  <c r="CH95" i="9"/>
  <c r="CI95" i="9" s="1"/>
  <c r="CH196" i="9"/>
  <c r="CI196" i="9" s="1"/>
  <c r="CH85" i="9"/>
  <c r="CI85" i="9" s="1"/>
  <c r="CH195" i="9"/>
  <c r="CI195" i="9" s="1"/>
  <c r="CH218" i="9"/>
  <c r="CI218" i="9" s="1"/>
  <c r="CH80" i="9"/>
  <c r="CI80" i="9" s="1"/>
  <c r="CH200" i="9"/>
  <c r="CI200" i="9" s="1"/>
  <c r="CH214" i="9"/>
  <c r="CI214" i="9" s="1"/>
  <c r="CH91" i="9"/>
  <c r="CI91" i="9" s="1"/>
  <c r="CH212" i="9"/>
  <c r="CI212" i="9" s="1"/>
  <c r="CH226" i="9"/>
  <c r="CI226" i="9" s="1"/>
  <c r="CH97" i="9"/>
  <c r="CI97" i="9" s="1"/>
  <c r="CB118" i="9"/>
  <c r="CH78" i="9"/>
  <c r="CI78" i="9" s="1"/>
  <c r="CH103" i="9"/>
  <c r="CI103" i="9" s="1"/>
  <c r="CH104" i="9"/>
  <c r="CI104" i="9" s="1"/>
  <c r="CH228" i="9"/>
  <c r="CI228" i="9" s="1"/>
  <c r="CH193" i="9"/>
  <c r="CI193" i="9" s="1"/>
  <c r="CH84" i="9"/>
  <c r="CI84" i="9" s="1"/>
  <c r="CH86" i="9"/>
  <c r="CI86" i="9" s="1"/>
  <c r="CH88" i="9"/>
  <c r="CI88" i="9" s="1"/>
  <c r="CH76" i="9"/>
  <c r="CI76" i="9" s="1"/>
  <c r="CH202" i="9"/>
  <c r="CI202" i="9" s="1"/>
  <c r="CH221" i="9"/>
  <c r="CI221" i="9" s="1"/>
  <c r="CH201" i="9"/>
  <c r="CI201" i="9" s="1"/>
  <c r="CH207" i="9"/>
  <c r="CI207" i="9" s="1"/>
  <c r="CH223" i="9"/>
  <c r="CI223" i="9" s="1"/>
  <c r="CH99" i="9"/>
  <c r="CI99" i="9" s="1"/>
  <c r="CH199" i="9"/>
  <c r="CI199" i="9" s="1"/>
  <c r="CH70" i="9"/>
  <c r="CI70" i="9" s="1"/>
  <c r="CH81" i="9"/>
  <c r="CI81" i="9" s="1"/>
  <c r="CH206" i="9"/>
  <c r="CI206" i="9" s="1"/>
  <c r="CH98" i="9"/>
  <c r="CI98" i="9" s="1"/>
  <c r="CH219" i="9"/>
  <c r="CI219" i="9" s="1"/>
  <c r="CH211" i="9"/>
  <c r="CI211" i="9" s="1"/>
  <c r="CH205" i="9"/>
  <c r="CI205" i="9" s="1"/>
  <c r="CH216" i="9"/>
  <c r="CI216" i="9" s="1"/>
  <c r="CH220" i="9"/>
  <c r="CI220" i="9" s="1"/>
  <c r="CH210" i="9"/>
  <c r="CI210" i="9" s="1"/>
  <c r="CH72" i="9"/>
  <c r="CI72" i="9" s="1"/>
  <c r="CH71" i="9"/>
  <c r="CI71" i="9" s="1"/>
  <c r="CH75" i="9"/>
  <c r="CI75" i="9" s="1"/>
  <c r="CH74" i="9"/>
  <c r="CI74" i="9" s="1"/>
  <c r="CH96" i="9"/>
  <c r="CI96" i="9" s="1"/>
  <c r="CH69" i="9"/>
  <c r="CI69" i="9" s="1"/>
  <c r="CH83" i="9"/>
  <c r="CI83" i="9" s="1"/>
  <c r="CH224" i="9"/>
  <c r="CI224" i="9" s="1"/>
  <c r="CH92" i="9"/>
  <c r="CI92" i="9" s="1"/>
  <c r="CH194" i="9"/>
  <c r="CI194" i="9" s="1"/>
  <c r="CH73" i="9"/>
  <c r="CI73" i="9" s="1"/>
  <c r="CH89" i="9"/>
  <c r="CI89" i="9" s="1"/>
  <c r="CH82" i="9"/>
  <c r="CI82" i="9" s="1"/>
  <c r="CH94" i="9"/>
  <c r="CI94" i="9" s="1"/>
  <c r="CH222" i="9"/>
  <c r="CI222" i="9" s="1"/>
  <c r="CH101" i="9"/>
  <c r="CI101" i="9" s="1"/>
  <c r="CH204" i="9"/>
  <c r="CI204" i="9" s="1"/>
  <c r="CH209" i="9"/>
  <c r="CI209" i="9" s="1"/>
  <c r="CH217" i="9"/>
  <c r="CI217" i="9" s="1"/>
  <c r="CH79" i="9"/>
  <c r="CI79" i="9" s="1"/>
  <c r="CH90" i="9"/>
  <c r="CI90" i="9" s="1"/>
  <c r="CH208" i="9"/>
  <c r="CI208" i="9" s="1"/>
  <c r="CH102" i="9"/>
  <c r="CI102" i="9" s="1"/>
  <c r="CH197" i="9"/>
  <c r="CI197" i="9" s="1"/>
  <c r="CH203" i="9"/>
  <c r="CI203" i="9" s="1"/>
  <c r="CH87" i="9"/>
  <c r="CI87" i="9" s="1"/>
  <c r="BM241" i="9"/>
  <c r="BM242" i="9"/>
  <c r="AI181" i="9"/>
  <c r="G11" i="9"/>
  <c r="BC181" i="9"/>
  <c r="G13" i="9"/>
  <c r="G14" i="9"/>
  <c r="BM181" i="9"/>
  <c r="AS181" i="9"/>
  <c r="G12" i="9"/>
  <c r="CB181" i="9"/>
  <c r="G35" i="9"/>
  <c r="Z16" i="17"/>
  <c r="K16" i="17"/>
  <c r="U17" i="17"/>
  <c r="S17" i="17"/>
  <c r="J16" i="17"/>
  <c r="S18" i="17"/>
  <c r="T17" i="17"/>
  <c r="AA16" i="17"/>
  <c r="L16" i="17"/>
  <c r="V17" i="17"/>
  <c r="AB16" i="17"/>
  <c r="M16" i="17"/>
  <c r="AC49" i="17"/>
  <c r="N50" i="17" s="1"/>
  <c r="H35" i="9"/>
  <c r="CB243" i="9"/>
  <c r="V60" i="16"/>
  <c r="L14" i="16"/>
  <c r="V14" i="16" s="1"/>
  <c r="E123" i="5"/>
  <c r="B16" i="19"/>
  <c r="Z31" i="10"/>
  <c r="B16" i="16"/>
  <c r="C124" i="5"/>
  <c r="AE21" i="5"/>
  <c r="AF22" i="5"/>
  <c r="B124" i="5" s="1"/>
  <c r="C16" i="16"/>
  <c r="AA31" i="10"/>
  <c r="C16" i="19"/>
  <c r="C126" i="19" s="1"/>
  <c r="D15" i="16"/>
  <c r="I122" i="5"/>
  <c r="AB32" i="10"/>
  <c r="L122" i="5"/>
  <c r="G15" i="19" s="1"/>
  <c r="G125" i="19" s="1"/>
  <c r="B125" i="19"/>
  <c r="E125" i="19" s="1"/>
  <c r="E15" i="19"/>
  <c r="W13" i="16"/>
  <c r="AA13" i="16"/>
  <c r="X13" i="16"/>
  <c r="L15" i="16" l="1"/>
  <c r="V15" i="16" s="1"/>
  <c r="V61" i="16"/>
  <c r="Z30" i="10"/>
  <c r="E124" i="5"/>
  <c r="B17" i="19"/>
  <c r="B17" i="16"/>
  <c r="C125" i="5"/>
  <c r="AE20" i="5"/>
  <c r="AF21" i="5"/>
  <c r="B125" i="5" s="1"/>
  <c r="C17" i="16"/>
  <c r="AA30" i="10"/>
  <c r="C17" i="19"/>
  <c r="C127" i="19" s="1"/>
  <c r="D16" i="16"/>
  <c r="B126" i="19"/>
  <c r="E126" i="19" s="1"/>
  <c r="E16" i="19"/>
  <c r="AB31" i="10"/>
  <c r="I123" i="5"/>
  <c r="L123" i="5"/>
  <c r="G16" i="19" s="1"/>
  <c r="G126" i="19" s="1"/>
  <c r="X14" i="16"/>
  <c r="W14" i="16"/>
  <c r="AA14" i="16"/>
  <c r="AB17" i="17"/>
  <c r="M17" i="17"/>
  <c r="V18" i="17"/>
  <c r="Z17" i="17"/>
  <c r="K17" i="17"/>
  <c r="U18" i="17"/>
  <c r="T18" i="17"/>
  <c r="S19" i="17"/>
  <c r="J18" i="17"/>
  <c r="J17" i="17"/>
  <c r="S20" i="17"/>
  <c r="AA17" i="17"/>
  <c r="L17" i="17"/>
  <c r="O218" i="19"/>
  <c r="O53" i="14"/>
  <c r="O108" i="14"/>
  <c r="O108" i="19"/>
  <c r="O162" i="14"/>
  <c r="O218" i="14"/>
  <c r="P46" i="7"/>
  <c r="AJ46" i="7" s="1"/>
  <c r="E37" i="13" s="1"/>
  <c r="O55" i="14"/>
  <c r="O220" i="14"/>
  <c r="O110" i="19"/>
  <c r="P48" i="7"/>
  <c r="AJ48" i="7" s="1"/>
  <c r="E39" i="13" s="1"/>
  <c r="O110" i="14"/>
  <c r="O164" i="14"/>
  <c r="O220" i="19"/>
  <c r="O109" i="19"/>
  <c r="O109" i="14"/>
  <c r="O219" i="14"/>
  <c r="O219" i="19"/>
  <c r="P47" i="7"/>
  <c r="AJ47" i="7" s="1"/>
  <c r="E38" i="13" s="1"/>
  <c r="O54" i="14"/>
  <c r="O163" i="14"/>
  <c r="O217" i="14"/>
  <c r="O217" i="19"/>
  <c r="P45" i="7"/>
  <c r="AJ45" i="7" s="1"/>
  <c r="E36" i="13" s="1"/>
  <c r="H62" i="13" s="1"/>
  <c r="H63" i="13" s="1"/>
  <c r="H64" i="13" s="1"/>
  <c r="H65" i="13" s="1"/>
  <c r="H66" i="13" s="1"/>
  <c r="H67" i="13" s="1"/>
  <c r="H68" i="13" s="1"/>
  <c r="H69" i="13" s="1"/>
  <c r="H70" i="13" s="1"/>
  <c r="H71" i="13" s="1"/>
  <c r="H72" i="13" s="1"/>
  <c r="H73" i="13" s="1"/>
  <c r="H74" i="13" s="1"/>
  <c r="H75" i="13" s="1"/>
  <c r="H76" i="13" s="1"/>
  <c r="H77" i="13" s="1"/>
  <c r="H78" i="13" s="1"/>
  <c r="H79" i="13" s="1"/>
  <c r="H80" i="13" s="1"/>
  <c r="H81" i="13" s="1"/>
  <c r="H82" i="13" s="1"/>
  <c r="H83" i="13" s="1"/>
  <c r="O107" i="14"/>
  <c r="O161" i="14"/>
  <c r="O107" i="19"/>
  <c r="O52" i="14"/>
  <c r="BM243" i="9"/>
  <c r="H14" i="9"/>
  <c r="CB119" i="9"/>
  <c r="F35" i="9"/>
  <c r="AY215" i="9"/>
  <c r="AZ215" i="9" s="1"/>
  <c r="AY83" i="9"/>
  <c r="AZ83" i="9" s="1"/>
  <c r="EA83" i="9" s="1"/>
  <c r="AY199" i="9"/>
  <c r="AZ199" i="9" s="1"/>
  <c r="AY104" i="9"/>
  <c r="AZ104" i="9" s="1"/>
  <c r="AY214" i="9"/>
  <c r="AZ214" i="9" s="1"/>
  <c r="AY205" i="9"/>
  <c r="AZ205" i="9" s="1"/>
  <c r="AY213" i="9"/>
  <c r="AZ213" i="9" s="1"/>
  <c r="AY96" i="9"/>
  <c r="AZ96" i="9" s="1"/>
  <c r="EA96" i="9" s="1"/>
  <c r="AY218" i="9"/>
  <c r="AZ218" i="9" s="1"/>
  <c r="AY75" i="9"/>
  <c r="AZ75" i="9" s="1"/>
  <c r="AY197" i="9"/>
  <c r="AZ197" i="9" s="1"/>
  <c r="AY81" i="9"/>
  <c r="AZ81" i="9" s="1"/>
  <c r="EA81" i="9" s="1"/>
  <c r="AY216" i="9"/>
  <c r="AZ216" i="9" s="1"/>
  <c r="AY94" i="9"/>
  <c r="AZ94" i="9" s="1"/>
  <c r="EA94" i="9" s="1"/>
  <c r="AY206" i="9"/>
  <c r="AZ206" i="9" s="1"/>
  <c r="AY217" i="9"/>
  <c r="AZ217" i="9" s="1"/>
  <c r="AY93" i="9"/>
  <c r="AZ93" i="9" s="1"/>
  <c r="EA93" i="9" s="1"/>
  <c r="AY72" i="9"/>
  <c r="AZ72" i="9" s="1"/>
  <c r="AY73" i="9"/>
  <c r="AZ73" i="9" s="1"/>
  <c r="AY101" i="9"/>
  <c r="AZ101" i="9" s="1"/>
  <c r="EA101" i="9" s="1"/>
  <c r="AY210" i="9"/>
  <c r="AZ210" i="9" s="1"/>
  <c r="AY221" i="9"/>
  <c r="AZ221" i="9" s="1"/>
  <c r="AY97" i="9"/>
  <c r="AZ97" i="9" s="1"/>
  <c r="EA97" i="9" s="1"/>
  <c r="AY99" i="9"/>
  <c r="AZ99" i="9" s="1"/>
  <c r="EA99" i="9" s="1"/>
  <c r="AY208" i="9"/>
  <c r="AZ208" i="9" s="1"/>
  <c r="AY79" i="9"/>
  <c r="AZ79" i="9" s="1"/>
  <c r="AY212" i="9"/>
  <c r="AZ212" i="9" s="1"/>
  <c r="AY222" i="9"/>
  <c r="AZ222" i="9" s="1"/>
  <c r="AY86" i="9"/>
  <c r="AZ86" i="9" s="1"/>
  <c r="EA86" i="9" s="1"/>
  <c r="AY102" i="9"/>
  <c r="AZ102" i="9" s="1"/>
  <c r="EA102" i="9" s="1"/>
  <c r="AY209" i="9"/>
  <c r="AZ209" i="9" s="1"/>
  <c r="AY211" i="9"/>
  <c r="AZ211" i="9" s="1"/>
  <c r="AY220" i="9"/>
  <c r="AZ220" i="9" s="1"/>
  <c r="AY100" i="9"/>
  <c r="AZ100" i="9" s="1"/>
  <c r="EA100" i="9" s="1"/>
  <c r="AY195" i="9"/>
  <c r="AZ195" i="9" s="1"/>
  <c r="AY193" i="9"/>
  <c r="AZ193" i="9" s="1"/>
  <c r="AY89" i="9"/>
  <c r="AZ89" i="9" s="1"/>
  <c r="EA89" i="9" s="1"/>
  <c r="AY194" i="9"/>
  <c r="AZ194" i="9" s="1"/>
  <c r="AY202" i="9"/>
  <c r="AZ202" i="9" s="1"/>
  <c r="AY88" i="9"/>
  <c r="AZ88" i="9" s="1"/>
  <c r="EA88" i="9" s="1"/>
  <c r="AY90" i="9"/>
  <c r="AZ90" i="9" s="1"/>
  <c r="EA90" i="9" s="1"/>
  <c r="AY80" i="9"/>
  <c r="AZ80" i="9" s="1"/>
  <c r="AY228" i="9"/>
  <c r="AZ228" i="9" s="1"/>
  <c r="AY69" i="9"/>
  <c r="AZ69" i="9" s="1"/>
  <c r="AY219" i="9"/>
  <c r="AZ219" i="9" s="1"/>
  <c r="AY225" i="9"/>
  <c r="AZ225" i="9" s="1"/>
  <c r="AY98" i="9"/>
  <c r="AZ98" i="9" s="1"/>
  <c r="EA98" i="9" s="1"/>
  <c r="AY224" i="9"/>
  <c r="AZ224" i="9" s="1"/>
  <c r="AY203" i="9"/>
  <c r="AZ203" i="9" s="1"/>
  <c r="AS118" i="9"/>
  <c r="AY84" i="9"/>
  <c r="AZ84" i="9" s="1"/>
  <c r="EA84" i="9" s="1"/>
  <c r="AY92" i="9"/>
  <c r="AZ92" i="9" s="1"/>
  <c r="EA92" i="9" s="1"/>
  <c r="AY204" i="9"/>
  <c r="AZ204" i="9" s="1"/>
  <c r="AY95" i="9"/>
  <c r="AZ95" i="9" s="1"/>
  <c r="EA95" i="9" s="1"/>
  <c r="AY207" i="9"/>
  <c r="AZ207" i="9" s="1"/>
  <c r="AY198" i="9"/>
  <c r="AZ198" i="9" s="1"/>
  <c r="AY87" i="9"/>
  <c r="AZ87" i="9" s="1"/>
  <c r="EA87" i="9" s="1"/>
  <c r="AY77" i="9"/>
  <c r="AZ77" i="9" s="1"/>
  <c r="AY227" i="9"/>
  <c r="AZ227" i="9" s="1"/>
  <c r="AY70" i="9"/>
  <c r="AZ70" i="9" s="1"/>
  <c r="AY200" i="9"/>
  <c r="AZ200" i="9" s="1"/>
  <c r="AY82" i="9"/>
  <c r="AZ82" i="9" s="1"/>
  <c r="EA82" i="9" s="1"/>
  <c r="AY74" i="9"/>
  <c r="AZ74" i="9" s="1"/>
  <c r="AY103" i="9"/>
  <c r="AZ103" i="9" s="1"/>
  <c r="EA103" i="9" s="1"/>
  <c r="EA104" i="9" s="1"/>
  <c r="AY76" i="9"/>
  <c r="AZ76" i="9" s="1"/>
  <c r="AY226" i="9"/>
  <c r="AZ226" i="9" s="1"/>
  <c r="AY196" i="9"/>
  <c r="AZ196" i="9" s="1"/>
  <c r="AY201" i="9"/>
  <c r="AZ201" i="9" s="1"/>
  <c r="AY91" i="9"/>
  <c r="AZ91" i="9" s="1"/>
  <c r="EA91" i="9" s="1"/>
  <c r="AY71" i="9"/>
  <c r="AZ71" i="9" s="1"/>
  <c r="AY223" i="9"/>
  <c r="AZ223" i="9" s="1"/>
  <c r="AY85" i="9"/>
  <c r="AZ85" i="9" s="1"/>
  <c r="EA85" i="9" s="1"/>
  <c r="AY78" i="9"/>
  <c r="AZ78" i="9" s="1"/>
  <c r="DU104" i="9"/>
  <c r="DS113" i="9"/>
  <c r="DS111" i="9"/>
  <c r="DS112" i="9"/>
  <c r="H37" i="4"/>
  <c r="O45" i="7"/>
  <c r="EF104" i="9"/>
  <c r="F13" i="9"/>
  <c r="BC119" i="9"/>
  <c r="BS104" i="9"/>
  <c r="BT104" i="9" s="1"/>
  <c r="EK104" i="9" s="1"/>
  <c r="BS216" i="9"/>
  <c r="BT216" i="9" s="1"/>
  <c r="BS94" i="9"/>
  <c r="BT94" i="9" s="1"/>
  <c r="EK94" i="9" s="1"/>
  <c r="BS222" i="9"/>
  <c r="BT222" i="9" s="1"/>
  <c r="BM118" i="9"/>
  <c r="BS205" i="9"/>
  <c r="BT205" i="9" s="1"/>
  <c r="BS97" i="9"/>
  <c r="BT97" i="9" s="1"/>
  <c r="EK97" i="9" s="1"/>
  <c r="BS83" i="9"/>
  <c r="BT83" i="9" s="1"/>
  <c r="BS224" i="9"/>
  <c r="BT224" i="9" s="1"/>
  <c r="BS89" i="9"/>
  <c r="BT89" i="9" s="1"/>
  <c r="BS80" i="9"/>
  <c r="BT80" i="9" s="1"/>
  <c r="BS198" i="9"/>
  <c r="BT198" i="9" s="1"/>
  <c r="BS72" i="9"/>
  <c r="BT72" i="9" s="1"/>
  <c r="BS196" i="9"/>
  <c r="BT196" i="9" s="1"/>
  <c r="BS206" i="9"/>
  <c r="BT206" i="9" s="1"/>
  <c r="BS78" i="9"/>
  <c r="BT78" i="9" s="1"/>
  <c r="BS197" i="9"/>
  <c r="BT197" i="9" s="1"/>
  <c r="BS218" i="9"/>
  <c r="BT218" i="9" s="1"/>
  <c r="BS100" i="9"/>
  <c r="BT100" i="9" s="1"/>
  <c r="EK100" i="9" s="1"/>
  <c r="BS201" i="9"/>
  <c r="BT201" i="9" s="1"/>
  <c r="BS92" i="9"/>
  <c r="BT92" i="9" s="1"/>
  <c r="BS101" i="9"/>
  <c r="BT101" i="9" s="1"/>
  <c r="EK101" i="9" s="1"/>
  <c r="BS203" i="9"/>
  <c r="BT203" i="9" s="1"/>
  <c r="BS91" i="9"/>
  <c r="BT91" i="9" s="1"/>
  <c r="BS195" i="9"/>
  <c r="BT195" i="9" s="1"/>
  <c r="BS102" i="9"/>
  <c r="BT102" i="9" s="1"/>
  <c r="EK102" i="9" s="1"/>
  <c r="BS81" i="9"/>
  <c r="BT81" i="9" s="1"/>
  <c r="BS225" i="9"/>
  <c r="BT225" i="9" s="1"/>
  <c r="BS207" i="9"/>
  <c r="BT207" i="9" s="1"/>
  <c r="BS217" i="9"/>
  <c r="BT217" i="9" s="1"/>
  <c r="BS86" i="9"/>
  <c r="BT86" i="9" s="1"/>
  <c r="BS79" i="9"/>
  <c r="BT79" i="9" s="1"/>
  <c r="BS99" i="9"/>
  <c r="BT99" i="9" s="1"/>
  <c r="EK99" i="9" s="1"/>
  <c r="BS193" i="9"/>
  <c r="BT193" i="9" s="1"/>
  <c r="BS98" i="9"/>
  <c r="BT98" i="9" s="1"/>
  <c r="EK98" i="9" s="1"/>
  <c r="BS75" i="9"/>
  <c r="BT75" i="9" s="1"/>
  <c r="BS223" i="9"/>
  <c r="BT223" i="9" s="1"/>
  <c r="BS210" i="9"/>
  <c r="BT210" i="9" s="1"/>
  <c r="BS88" i="9"/>
  <c r="BT88" i="9" s="1"/>
  <c r="BS202" i="9"/>
  <c r="BT202" i="9" s="1"/>
  <c r="BS214" i="9"/>
  <c r="BT214" i="9" s="1"/>
  <c r="BS84" i="9"/>
  <c r="BT84" i="9" s="1"/>
  <c r="BS209" i="9"/>
  <c r="BT209" i="9" s="1"/>
  <c r="BS199" i="9"/>
  <c r="BT199" i="9" s="1"/>
  <c r="BS227" i="9"/>
  <c r="BT227" i="9" s="1"/>
  <c r="BS215" i="9"/>
  <c r="BT215" i="9" s="1"/>
  <c r="BS194" i="9"/>
  <c r="BT194" i="9" s="1"/>
  <c r="BS103" i="9"/>
  <c r="BT103" i="9" s="1"/>
  <c r="EK103" i="9" s="1"/>
  <c r="BS93" i="9"/>
  <c r="BT93" i="9" s="1"/>
  <c r="EK93" i="9" s="1"/>
  <c r="BS204" i="9"/>
  <c r="BT204" i="9" s="1"/>
  <c r="BS69" i="9"/>
  <c r="BT69" i="9" s="1"/>
  <c r="BS85" i="9"/>
  <c r="BT85" i="9" s="1"/>
  <c r="BS228" i="9"/>
  <c r="BT228" i="9" s="1"/>
  <c r="BS211" i="9"/>
  <c r="BT211" i="9" s="1"/>
  <c r="BS73" i="9"/>
  <c r="BT73" i="9" s="1"/>
  <c r="BS213" i="9"/>
  <c r="BT213" i="9" s="1"/>
  <c r="BS226" i="9"/>
  <c r="BT226" i="9" s="1"/>
  <c r="BS90" i="9"/>
  <c r="BT90" i="9" s="1"/>
  <c r="BS212" i="9"/>
  <c r="BT212" i="9" s="1"/>
  <c r="BS71" i="9"/>
  <c r="BT71" i="9" s="1"/>
  <c r="BS76" i="9"/>
  <c r="BT76" i="9" s="1"/>
  <c r="BS221" i="9"/>
  <c r="BT221" i="9" s="1"/>
  <c r="BS74" i="9"/>
  <c r="BT74" i="9" s="1"/>
  <c r="BS96" i="9"/>
  <c r="BT96" i="9" s="1"/>
  <c r="EK96" i="9" s="1"/>
  <c r="BS200" i="9"/>
  <c r="BT200" i="9" s="1"/>
  <c r="BS208" i="9"/>
  <c r="BT208" i="9" s="1"/>
  <c r="BS70" i="9"/>
  <c r="BT70" i="9" s="1"/>
  <c r="BS220" i="9"/>
  <c r="BT220" i="9" s="1"/>
  <c r="BS219" i="9"/>
  <c r="BT219" i="9" s="1"/>
  <c r="BS77" i="9"/>
  <c r="BT77" i="9" s="1"/>
  <c r="BS95" i="9"/>
  <c r="BT95" i="9" s="1"/>
  <c r="EK95" i="9" s="1"/>
  <c r="BS82" i="9"/>
  <c r="BT82" i="9" s="1"/>
  <c r="BS87" i="9"/>
  <c r="BT87" i="9" s="1"/>
  <c r="EJ51" i="9"/>
  <c r="EJ50" i="9"/>
  <c r="EJ49" i="9"/>
  <c r="L55" i="14"/>
  <c r="L110" i="14"/>
  <c r="L110" i="19"/>
  <c r="L220" i="19"/>
  <c r="AH48" i="7"/>
  <c r="L164" i="14"/>
  <c r="L220" i="14"/>
  <c r="EE51" i="9"/>
  <c r="G39" i="4"/>
  <c r="N47" i="7"/>
  <c r="EE50" i="9"/>
  <c r="EE49" i="9"/>
  <c r="AT68" i="7"/>
  <c r="BA44" i="7"/>
  <c r="DT34" i="9"/>
  <c r="AU36" i="7"/>
  <c r="DT40" i="9"/>
  <c r="AU42" i="7"/>
  <c r="DT27" i="9"/>
  <c r="AU29" i="7"/>
  <c r="AU19" i="7"/>
  <c r="BA19" i="7" s="1"/>
  <c r="DT17" i="9"/>
  <c r="AU23" i="7"/>
  <c r="BA23" i="7" s="1"/>
  <c r="DT21" i="9"/>
  <c r="DT31" i="9"/>
  <c r="AU33" i="7"/>
  <c r="DT33" i="9"/>
  <c r="AU35" i="7"/>
  <c r="DT36" i="9"/>
  <c r="AU38" i="7"/>
  <c r="DT29" i="9"/>
  <c r="AU31" i="7"/>
  <c r="DT15" i="9"/>
  <c r="AU17" i="7"/>
  <c r="BA17" i="7" s="1"/>
  <c r="DT37" i="9"/>
  <c r="AU39" i="7"/>
  <c r="DT24" i="9"/>
  <c r="AU26" i="7"/>
  <c r="BA26" i="7" s="1"/>
  <c r="DT12" i="9"/>
  <c r="AU14" i="7"/>
  <c r="BA14" i="7" s="1"/>
  <c r="DT32" i="9"/>
  <c r="AU34" i="7"/>
  <c r="DT10" i="9"/>
  <c r="AU12" i="7"/>
  <c r="BA12" i="7" s="1"/>
  <c r="DT35" i="9"/>
  <c r="AU37" i="7"/>
  <c r="DT18" i="9"/>
  <c r="AU20" i="7"/>
  <c r="BA20" i="7" s="1"/>
  <c r="DT19" i="9"/>
  <c r="AU21" i="7"/>
  <c r="BA21" i="7" s="1"/>
  <c r="DT26" i="9"/>
  <c r="AU28" i="7"/>
  <c r="AU16" i="7"/>
  <c r="BA16" i="7" s="1"/>
  <c r="DT14" i="9"/>
  <c r="DT30" i="9"/>
  <c r="AU32" i="7"/>
  <c r="AU15" i="7"/>
  <c r="BA15" i="7" s="1"/>
  <c r="DT13" i="9"/>
  <c r="DT38" i="9"/>
  <c r="AU40" i="7"/>
  <c r="AU18" i="7"/>
  <c r="BA18" i="7" s="1"/>
  <c r="DT16" i="9"/>
  <c r="AU22" i="7"/>
  <c r="BA22" i="7" s="1"/>
  <c r="DT20" i="9"/>
  <c r="DT22" i="9"/>
  <c r="AU24" i="7"/>
  <c r="BA24" i="7" s="1"/>
  <c r="DT25" i="9"/>
  <c r="AU27" i="7"/>
  <c r="DT41" i="9"/>
  <c r="DT42" i="9" s="1"/>
  <c r="AU43" i="7"/>
  <c r="E11" i="9"/>
  <c r="AI57" i="9"/>
  <c r="DT28" i="9"/>
  <c r="AU30" i="7"/>
  <c r="DT39" i="9"/>
  <c r="AU41" i="7"/>
  <c r="AU13" i="7"/>
  <c r="BA13" i="7" s="1"/>
  <c r="DT11" i="9"/>
  <c r="DT23" i="9"/>
  <c r="AU25" i="7"/>
  <c r="BA25" i="7" s="1"/>
  <c r="AU11" i="7"/>
  <c r="BA11" i="7" s="1"/>
  <c r="DT9" i="9"/>
  <c r="DZ51" i="9"/>
  <c r="DZ50" i="9"/>
  <c r="DZ49" i="9"/>
  <c r="AK2" i="18"/>
  <c r="AK3" i="18" s="1"/>
  <c r="G38" i="4"/>
  <c r="N46" i="7"/>
  <c r="X9" i="12"/>
  <c r="V22" i="12"/>
  <c r="V25" i="12" s="1"/>
  <c r="V23" i="12"/>
  <c r="V26" i="12" s="1"/>
  <c r="V27" i="12" s="1"/>
  <c r="V28" i="12" s="1"/>
  <c r="O11" i="12"/>
  <c r="X11" i="12" s="1"/>
  <c r="O20" i="12"/>
  <c r="X20" i="12" s="1"/>
  <c r="O13" i="12"/>
  <c r="X13" i="12" s="1"/>
  <c r="O14" i="12"/>
  <c r="X14" i="12" s="1"/>
  <c r="O10" i="12"/>
  <c r="O12" i="12"/>
  <c r="X12" i="12" s="1"/>
  <c r="O15" i="12"/>
  <c r="X15" i="12" s="1"/>
  <c r="O16" i="12"/>
  <c r="X16" i="12" s="1"/>
  <c r="O19" i="12"/>
  <c r="X19" i="12" s="1"/>
  <c r="O18" i="12"/>
  <c r="X18" i="12" s="1"/>
  <c r="O17" i="12"/>
  <c r="X17" i="12" s="1"/>
  <c r="X10" i="12" l="1"/>
  <c r="O22" i="12"/>
  <c r="V31" i="12"/>
  <c r="V30" i="12"/>
  <c r="L108" i="19"/>
  <c r="L218" i="19"/>
  <c r="L108" i="14"/>
  <c r="L53" i="14"/>
  <c r="L115" i="10"/>
  <c r="L169" i="10" s="1"/>
  <c r="W54" i="19"/>
  <c r="L218" i="14"/>
  <c r="L162" i="14"/>
  <c r="AH46" i="7"/>
  <c r="DZ52" i="9"/>
  <c r="F37" i="13" s="1"/>
  <c r="DS51" i="9"/>
  <c r="DS49" i="9"/>
  <c r="AT65" i="7"/>
  <c r="BA41" i="7"/>
  <c r="AT54" i="7"/>
  <c r="BA30" i="7"/>
  <c r="G37" i="4"/>
  <c r="N45" i="7"/>
  <c r="AT67" i="7"/>
  <c r="BA43" i="7"/>
  <c r="DS50" i="9"/>
  <c r="BA27" i="7"/>
  <c r="AT51" i="7"/>
  <c r="AT64" i="7"/>
  <c r="BA40" i="7"/>
  <c r="AT56" i="7"/>
  <c r="BA32" i="7"/>
  <c r="AT52" i="7"/>
  <c r="BA28" i="7"/>
  <c r="AT61" i="7"/>
  <c r="BA37" i="7"/>
  <c r="AT58" i="7"/>
  <c r="BA34" i="7"/>
  <c r="AT63" i="7"/>
  <c r="BA39" i="7"/>
  <c r="AT55" i="7"/>
  <c r="BA31" i="7"/>
  <c r="AT62" i="7"/>
  <c r="BA38" i="7"/>
  <c r="AT59" i="7"/>
  <c r="BA35" i="7"/>
  <c r="AT57" i="7"/>
  <c r="BA33" i="7"/>
  <c r="AT53" i="7"/>
  <c r="BA29" i="7"/>
  <c r="AT66" i="7"/>
  <c r="BA42" i="7"/>
  <c r="AT60" i="7"/>
  <c r="BA36" i="7"/>
  <c r="L109" i="14"/>
  <c r="L54" i="14"/>
  <c r="L163" i="14"/>
  <c r="AH47" i="7"/>
  <c r="L109" i="19"/>
  <c r="W55" i="19"/>
  <c r="L219" i="14"/>
  <c r="L116" i="10"/>
  <c r="L170" i="10" s="1"/>
  <c r="L219" i="19"/>
  <c r="EE52" i="9"/>
  <c r="F38" i="13" s="1"/>
  <c r="EJ52" i="9"/>
  <c r="F39" i="13" s="1"/>
  <c r="EJ111" i="9"/>
  <c r="EJ112" i="9"/>
  <c r="EJ113" i="9"/>
  <c r="EJ114" i="9" s="1"/>
  <c r="F14" i="9"/>
  <c r="O48" i="7" s="1"/>
  <c r="BM119" i="9"/>
  <c r="H39" i="4"/>
  <c r="O47" i="7"/>
  <c r="EE113" i="9"/>
  <c r="EE111" i="9"/>
  <c r="EE112" i="9"/>
  <c r="EE114" i="9" s="1"/>
  <c r="X38" i="13" s="1"/>
  <c r="M107" i="19"/>
  <c r="M217" i="14"/>
  <c r="M107" i="14"/>
  <c r="M114" i="10"/>
  <c r="M168" i="10" s="1"/>
  <c r="M52" i="14"/>
  <c r="X53" i="19"/>
  <c r="M161" i="14"/>
  <c r="AI45" i="7"/>
  <c r="M217" i="19"/>
  <c r="DS114" i="9"/>
  <c r="X36" i="13" s="1"/>
  <c r="DZ112" i="9"/>
  <c r="F12" i="9"/>
  <c r="AS119" i="9"/>
  <c r="DZ111" i="9"/>
  <c r="DZ113" i="9"/>
  <c r="DZ114" i="9" s="1"/>
  <c r="X37" i="13" s="1"/>
  <c r="Q48" i="7"/>
  <c r="AK48" i="7" s="1"/>
  <c r="W38" i="13" s="1"/>
  <c r="P220" i="14"/>
  <c r="P110" i="19"/>
  <c r="P55" i="14"/>
  <c r="P110" i="14"/>
  <c r="P220" i="19"/>
  <c r="P164" i="14"/>
  <c r="S21" i="17"/>
  <c r="Y20" i="17"/>
  <c r="J20" i="17"/>
  <c r="J19" i="17"/>
  <c r="S22" i="17"/>
  <c r="T19" i="17"/>
  <c r="Z18" i="17"/>
  <c r="K18" i="17"/>
  <c r="U19" i="17"/>
  <c r="AA18" i="17"/>
  <c r="L18" i="17"/>
  <c r="V19" i="17"/>
  <c r="AB18" i="17"/>
  <c r="M18" i="17"/>
  <c r="V62" i="16"/>
  <c r="L16" i="16"/>
  <c r="V16" i="16" s="1"/>
  <c r="Z29" i="10"/>
  <c r="E125" i="5"/>
  <c r="B18" i="16"/>
  <c r="B18" i="19"/>
  <c r="C126" i="5"/>
  <c r="AE19" i="5"/>
  <c r="AF20" i="5"/>
  <c r="C18" i="19"/>
  <c r="C128" i="19" s="1"/>
  <c r="C18" i="16"/>
  <c r="AA29" i="10"/>
  <c r="D17" i="16"/>
  <c r="B127" i="19"/>
  <c r="E127" i="19" s="1"/>
  <c r="E17" i="19"/>
  <c r="AB30" i="10"/>
  <c r="I124" i="5"/>
  <c r="L124" i="5"/>
  <c r="G17" i="19" s="1"/>
  <c r="G127" i="19" s="1"/>
  <c r="W15" i="16"/>
  <c r="X15" i="16"/>
  <c r="AA15" i="16"/>
  <c r="V63" i="16" l="1"/>
  <c r="L17" i="16"/>
  <c r="V17" i="16" s="1"/>
  <c r="B126" i="5"/>
  <c r="C127" i="5"/>
  <c r="AE18" i="5"/>
  <c r="AF19" i="5"/>
  <c r="B127" i="5" s="1"/>
  <c r="C19" i="16"/>
  <c r="C19" i="19"/>
  <c r="C129" i="19" s="1"/>
  <c r="AA28" i="10"/>
  <c r="B128" i="19"/>
  <c r="E128" i="19" s="1"/>
  <c r="E18" i="19"/>
  <c r="D18" i="16"/>
  <c r="I125" i="5"/>
  <c r="AB29" i="10"/>
  <c r="L125" i="5"/>
  <c r="G18" i="19" s="1"/>
  <c r="G128" i="19" s="1"/>
  <c r="X16" i="16"/>
  <c r="W16" i="16"/>
  <c r="AA16" i="16"/>
  <c r="AB19" i="17"/>
  <c r="M19" i="17"/>
  <c r="V20" i="17"/>
  <c r="L19" i="17"/>
  <c r="AA19" i="17"/>
  <c r="U20" i="17"/>
  <c r="T20" i="17"/>
  <c r="Z19" i="17"/>
  <c r="K19" i="17"/>
  <c r="T21" i="17"/>
  <c r="T22" i="17"/>
  <c r="Y22" i="17"/>
  <c r="J22" i="17"/>
  <c r="S23" i="17"/>
  <c r="T23" i="17"/>
  <c r="J21" i="17"/>
  <c r="Y21" i="17"/>
  <c r="O46" i="7"/>
  <c r="H38" i="4"/>
  <c r="X55" i="19"/>
  <c r="M116" i="10"/>
  <c r="M170" i="10" s="1"/>
  <c r="M109" i="19"/>
  <c r="M54" i="14"/>
  <c r="M219" i="14"/>
  <c r="AI47" i="7"/>
  <c r="M219" i="19"/>
  <c r="M109" i="14"/>
  <c r="M163" i="14"/>
  <c r="M55" i="14"/>
  <c r="AI48" i="7"/>
  <c r="M110" i="19"/>
  <c r="M220" i="19"/>
  <c r="M220" i="14"/>
  <c r="M110" i="14"/>
  <c r="M164" i="14"/>
  <c r="AW2" i="7"/>
  <c r="L161" i="14"/>
  <c r="AH45" i="7"/>
  <c r="W53" i="19"/>
  <c r="L114" i="10"/>
  <c r="L168" i="10" s="1"/>
  <c r="L107" i="19"/>
  <c r="L217" i="14"/>
  <c r="L217" i="19"/>
  <c r="L107" i="14"/>
  <c r="L52" i="14"/>
  <c r="DS52" i="9"/>
  <c r="F36" i="13" s="1"/>
  <c r="BB3" i="7" l="1"/>
  <c r="AW3" i="7"/>
  <c r="M108" i="14"/>
  <c r="M53" i="14"/>
  <c r="M218" i="14"/>
  <c r="M218" i="19"/>
  <c r="X54" i="19"/>
  <c r="M108" i="19"/>
  <c r="M162" i="14"/>
  <c r="AI46" i="7"/>
  <c r="M115" i="10"/>
  <c r="M169" i="10" s="1"/>
  <c r="K23" i="17"/>
  <c r="Y23" i="17"/>
  <c r="J23" i="17"/>
  <c r="S24" i="17"/>
  <c r="T24" i="17"/>
  <c r="S25" i="17"/>
  <c r="T25" i="17"/>
  <c r="K22" i="17"/>
  <c r="K21" i="17"/>
  <c r="K20" i="17"/>
  <c r="U21" i="17"/>
  <c r="L20" i="17"/>
  <c r="AA20" i="17"/>
  <c r="V21" i="17"/>
  <c r="V22" i="17"/>
  <c r="M20" i="17"/>
  <c r="AB20" i="17"/>
  <c r="V64" i="16"/>
  <c r="L18" i="16"/>
  <c r="V18" i="16" s="1"/>
  <c r="E127" i="5"/>
  <c r="Z27" i="10"/>
  <c r="B20" i="19"/>
  <c r="B20" i="16"/>
  <c r="AE17" i="5"/>
  <c r="C128" i="5"/>
  <c r="AF18" i="5"/>
  <c r="B128" i="5" s="1"/>
  <c r="C20" i="16"/>
  <c r="AA27" i="10"/>
  <c r="C20" i="19"/>
  <c r="C130" i="19" s="1"/>
  <c r="E126" i="5"/>
  <c r="B19" i="16"/>
  <c r="D19" i="16" s="1"/>
  <c r="Z28" i="10"/>
  <c r="B19" i="19"/>
  <c r="W17" i="16"/>
  <c r="AA17" i="16"/>
  <c r="X17" i="16"/>
  <c r="E19" i="19" l="1"/>
  <c r="B129" i="19"/>
  <c r="E129" i="19" s="1"/>
  <c r="L19" i="16"/>
  <c r="V19" i="16" s="1"/>
  <c r="V65" i="16"/>
  <c r="I126" i="5"/>
  <c r="AB28" i="10"/>
  <c r="L126" i="5"/>
  <c r="G19" i="19" s="1"/>
  <c r="G129" i="19" s="1"/>
  <c r="B21" i="16"/>
  <c r="Z26" i="10"/>
  <c r="B21" i="19"/>
  <c r="E128" i="5"/>
  <c r="C21" i="16"/>
  <c r="AA26" i="10"/>
  <c r="C21" i="19"/>
  <c r="C131" i="19" s="1"/>
  <c r="C58" i="5"/>
  <c r="C129" i="5"/>
  <c r="AE16" i="5"/>
  <c r="AF17" i="5"/>
  <c r="D20" i="16"/>
  <c r="E20" i="19"/>
  <c r="B130" i="19"/>
  <c r="E130" i="19" s="1"/>
  <c r="AB27" i="10"/>
  <c r="I127" i="5"/>
  <c r="L127" i="5"/>
  <c r="G20" i="19" s="1"/>
  <c r="G130" i="19" s="1"/>
  <c r="AA18" i="16"/>
  <c r="W18" i="16"/>
  <c r="X18" i="16"/>
  <c r="AB22" i="17"/>
  <c r="M22" i="17"/>
  <c r="AB21" i="17"/>
  <c r="M21" i="17"/>
  <c r="U22" i="17"/>
  <c r="AA21" i="17"/>
  <c r="L21" i="17"/>
  <c r="K25" i="17"/>
  <c r="Y25" i="17"/>
  <c r="J25" i="17"/>
  <c r="T26" i="17"/>
  <c r="S26" i="17"/>
  <c r="K24" i="17"/>
  <c r="Y24" i="17"/>
  <c r="J24" i="17"/>
  <c r="B129" i="5" l="1"/>
  <c r="C57" i="5"/>
  <c r="C59" i="5"/>
  <c r="Y26" i="17"/>
  <c r="J26" i="17"/>
  <c r="S27" i="17"/>
  <c r="T27" i="17"/>
  <c r="K26" i="17"/>
  <c r="Z26" i="17"/>
  <c r="AA22" i="17"/>
  <c r="L22" i="17"/>
  <c r="U23" i="17"/>
  <c r="U24" i="17"/>
  <c r="U25" i="17"/>
  <c r="V23" i="17"/>
  <c r="V66" i="16"/>
  <c r="L20" i="16"/>
  <c r="V20" i="16" s="1"/>
  <c r="B22" i="19"/>
  <c r="B22" i="16"/>
  <c r="Z25" i="10"/>
  <c r="E129" i="5"/>
  <c r="C130" i="5"/>
  <c r="AE15" i="5"/>
  <c r="AF16" i="5"/>
  <c r="B130" i="5" s="1"/>
  <c r="AA25" i="10"/>
  <c r="C22" i="19"/>
  <c r="C132" i="19" s="1"/>
  <c r="C22" i="16"/>
  <c r="AB26" i="10"/>
  <c r="I128" i="5"/>
  <c r="L128" i="5"/>
  <c r="G21" i="19" s="1"/>
  <c r="G131" i="19" s="1"/>
  <c r="E21" i="19"/>
  <c r="B131" i="19"/>
  <c r="E131" i="19" s="1"/>
  <c r="D21" i="16"/>
  <c r="W19" i="16"/>
  <c r="X19" i="16"/>
  <c r="AA19" i="16"/>
  <c r="V67" i="16" l="1"/>
  <c r="L21" i="16"/>
  <c r="V21" i="16" s="1"/>
  <c r="Z24" i="10"/>
  <c r="B23" i="16"/>
  <c r="B23" i="19"/>
  <c r="E130" i="5"/>
  <c r="C131" i="5"/>
  <c r="AE14" i="5"/>
  <c r="AF15" i="5"/>
  <c r="B131" i="5" s="1"/>
  <c r="AA24" i="10"/>
  <c r="C23" i="16"/>
  <c r="C23" i="19"/>
  <c r="C133" i="19" s="1"/>
  <c r="AB25" i="10"/>
  <c r="I129" i="5"/>
  <c r="L129" i="5"/>
  <c r="G22" i="19" s="1"/>
  <c r="G132" i="19" s="1"/>
  <c r="D22" i="16"/>
  <c r="E22" i="19"/>
  <c r="B132" i="19"/>
  <c r="E132" i="19" s="1"/>
  <c r="AA20" i="16"/>
  <c r="W20" i="16"/>
  <c r="X20" i="16"/>
  <c r="V24" i="17"/>
  <c r="AB23" i="17"/>
  <c r="M23" i="17"/>
  <c r="U26" i="17"/>
  <c r="AA25" i="17"/>
  <c r="L25" i="17"/>
  <c r="L24" i="17"/>
  <c r="AA24" i="17"/>
  <c r="AA23" i="17"/>
  <c r="L23" i="17"/>
  <c r="U27" i="17"/>
  <c r="Z27" i="17"/>
  <c r="K27" i="17"/>
  <c r="Y27" i="17"/>
  <c r="J27" i="17"/>
  <c r="S28" i="17"/>
  <c r="T28" i="17"/>
  <c r="Z28" i="17" l="1"/>
  <c r="K28" i="17"/>
  <c r="Y28" i="17"/>
  <c r="J28" i="17"/>
  <c r="T29" i="17"/>
  <c r="S29" i="17"/>
  <c r="U28" i="17"/>
  <c r="L27" i="17"/>
  <c r="L26" i="17"/>
  <c r="AB24" i="17"/>
  <c r="M24" i="17"/>
  <c r="V25" i="17"/>
  <c r="V68" i="16"/>
  <c r="L22" i="16"/>
  <c r="V22" i="16" s="1"/>
  <c r="B24" i="19"/>
  <c r="E131" i="5"/>
  <c r="B24" i="16"/>
  <c r="Z23" i="10"/>
  <c r="AE13" i="5"/>
  <c r="C132" i="5"/>
  <c r="AF14" i="5"/>
  <c r="B132" i="5" s="1"/>
  <c r="C24" i="19"/>
  <c r="C134" i="19" s="1"/>
  <c r="C24" i="16"/>
  <c r="AA23" i="10"/>
  <c r="AB24" i="10"/>
  <c r="I130" i="5"/>
  <c r="L130" i="5"/>
  <c r="G23" i="19" s="1"/>
  <c r="G133" i="19" s="1"/>
  <c r="E23" i="19"/>
  <c r="B133" i="19"/>
  <c r="E133" i="19" s="1"/>
  <c r="D23" i="16"/>
  <c r="X21" i="16"/>
  <c r="AA21" i="16"/>
  <c r="W21" i="16"/>
  <c r="V69" i="16" l="1"/>
  <c r="L23" i="16"/>
  <c r="V23" i="16" s="1"/>
  <c r="E132" i="5"/>
  <c r="Z22" i="10"/>
  <c r="B25" i="16"/>
  <c r="AA22" i="10"/>
  <c r="C25" i="16"/>
  <c r="AE12" i="5"/>
  <c r="C133" i="5"/>
  <c r="AF13" i="5"/>
  <c r="B133" i="5" s="1"/>
  <c r="D24" i="16"/>
  <c r="L131" i="5"/>
  <c r="G24" i="19" s="1"/>
  <c r="G134" i="19" s="1"/>
  <c r="AB23" i="10"/>
  <c r="I131" i="5"/>
  <c r="E24" i="19"/>
  <c r="B134" i="19"/>
  <c r="E134" i="19" s="1"/>
  <c r="X22" i="16"/>
  <c r="W22" i="16"/>
  <c r="AA22" i="16"/>
  <c r="AB25" i="17"/>
  <c r="M25" i="17"/>
  <c r="V26" i="17"/>
  <c r="L28" i="17"/>
  <c r="U29" i="17"/>
  <c r="S30" i="17"/>
  <c r="Y29" i="17"/>
  <c r="J29" i="17"/>
  <c r="S31" i="17"/>
  <c r="T30" i="17"/>
  <c r="S32" i="17"/>
  <c r="K29" i="17"/>
  <c r="Z29" i="17"/>
  <c r="U30" i="17"/>
  <c r="L30" i="17" l="1"/>
  <c r="U31" i="17"/>
  <c r="J32" i="17"/>
  <c r="Y32" i="17"/>
  <c r="Z30" i="17"/>
  <c r="K30" i="17"/>
  <c r="T31" i="17"/>
  <c r="J31" i="17"/>
  <c r="Y31" i="17"/>
  <c r="S33" i="17"/>
  <c r="Y30" i="17"/>
  <c r="J30" i="17"/>
  <c r="S34" i="17"/>
  <c r="L29" i="17"/>
  <c r="M26" i="17"/>
  <c r="AB26" i="17"/>
  <c r="V27" i="17"/>
  <c r="L24" i="16"/>
  <c r="V24" i="16" s="1"/>
  <c r="V70" i="16"/>
  <c r="Z21" i="10"/>
  <c r="E133" i="5"/>
  <c r="B26" i="16"/>
  <c r="C26" i="16"/>
  <c r="AA21" i="10"/>
  <c r="C134" i="5"/>
  <c r="AE11" i="5"/>
  <c r="AF11" i="5" s="1"/>
  <c r="AF12" i="5"/>
  <c r="B134" i="5" s="1"/>
  <c r="D25" i="16"/>
  <c r="L132" i="5"/>
  <c r="AB22" i="10"/>
  <c r="I132" i="5"/>
  <c r="X23" i="16"/>
  <c r="W23" i="16"/>
  <c r="AA23" i="16"/>
  <c r="L25" i="16" l="1"/>
  <c r="V25" i="16" s="1"/>
  <c r="V71" i="16"/>
  <c r="Z20" i="10"/>
  <c r="E134" i="5"/>
  <c r="B27" i="16"/>
  <c r="AA20" i="10"/>
  <c r="C27" i="16"/>
  <c r="D26" i="16"/>
  <c r="I133" i="5"/>
  <c r="AB21" i="10"/>
  <c r="L133" i="5"/>
  <c r="X24" i="16"/>
  <c r="AA24" i="16"/>
  <c r="W24" i="16"/>
  <c r="AB27" i="17"/>
  <c r="M27" i="17"/>
  <c r="V28" i="17"/>
  <c r="Y34" i="17"/>
  <c r="J34" i="17"/>
  <c r="J33" i="17"/>
  <c r="Y33" i="17"/>
  <c r="S35" i="17"/>
  <c r="Z31" i="17"/>
  <c r="K31" i="17"/>
  <c r="T32" i="17"/>
  <c r="U32" i="17"/>
  <c r="U33" i="17"/>
  <c r="L31" i="17"/>
  <c r="AA33" i="17" l="1"/>
  <c r="L33" i="17"/>
  <c r="L32" i="17"/>
  <c r="AA32" i="17"/>
  <c r="Z32" i="17"/>
  <c r="K32" i="17"/>
  <c r="T33" i="17"/>
  <c r="T34" i="17"/>
  <c r="T35" i="17"/>
  <c r="Y35" i="17"/>
  <c r="J35" i="17"/>
  <c r="S36" i="17"/>
  <c r="T36" i="17"/>
  <c r="S37" i="17"/>
  <c r="T37" i="17"/>
  <c r="S38" i="17"/>
  <c r="T38" i="17"/>
  <c r="M28" i="17"/>
  <c r="AB28" i="17"/>
  <c r="V29" i="17"/>
  <c r="V72" i="16"/>
  <c r="L26" i="16"/>
  <c r="V26" i="16" s="1"/>
  <c r="D27" i="16"/>
  <c r="I134" i="5"/>
  <c r="L134" i="5"/>
  <c r="AB20" i="10"/>
  <c r="AA25" i="16"/>
  <c r="X25" i="16"/>
  <c r="W25" i="16"/>
  <c r="L27" i="16" l="1"/>
  <c r="V27" i="16" s="1"/>
  <c r="V73" i="16"/>
  <c r="W26" i="16"/>
  <c r="X26" i="16"/>
  <c r="AA26" i="16"/>
  <c r="V28" i="16"/>
  <c r="V30" i="17"/>
  <c r="AB29" i="17"/>
  <c r="M29" i="17"/>
  <c r="V31" i="17"/>
  <c r="V32" i="17"/>
  <c r="Z38" i="17"/>
  <c r="K38" i="17"/>
  <c r="Y38" i="17"/>
  <c r="J38" i="17"/>
  <c r="Z37" i="17"/>
  <c r="K37" i="17"/>
  <c r="Y37" i="17"/>
  <c r="J37" i="17"/>
  <c r="Z36" i="17"/>
  <c r="K36" i="17"/>
  <c r="Y36" i="17"/>
  <c r="J36" i="17"/>
  <c r="S39" i="17"/>
  <c r="T39" i="17"/>
  <c r="Z35" i="17"/>
  <c r="K35" i="17"/>
  <c r="Z34" i="17"/>
  <c r="K34" i="17"/>
  <c r="Z33" i="17"/>
  <c r="K33" i="17"/>
  <c r="U34" i="17"/>
  <c r="U35" i="17"/>
  <c r="L35" i="17" l="1"/>
  <c r="AA35" i="17"/>
  <c r="U36" i="17"/>
  <c r="L34" i="17"/>
  <c r="AA34" i="17"/>
  <c r="Z39" i="17"/>
  <c r="K39" i="17"/>
  <c r="Y39" i="17"/>
  <c r="J39" i="17"/>
  <c r="S40" i="17"/>
  <c r="T40" i="17"/>
  <c r="S41" i="17"/>
  <c r="T41" i="17"/>
  <c r="M32" i="17"/>
  <c r="M31" i="17"/>
  <c r="AB31" i="17"/>
  <c r="V33" i="17"/>
  <c r="M30" i="17"/>
  <c r="AB30" i="17"/>
  <c r="X27" i="16"/>
  <c r="X28" i="16" s="1"/>
  <c r="AA27" i="16"/>
  <c r="AA28" i="16" s="1"/>
  <c r="AA29" i="16" s="1"/>
  <c r="V33" i="16" s="1"/>
  <c r="W27" i="16"/>
  <c r="W28" i="16" s="1"/>
  <c r="W29" i="16" s="1"/>
  <c r="Y29" i="16" l="1"/>
  <c r="V34" i="16" s="1"/>
  <c r="V32" i="16"/>
  <c r="V38" i="16" s="1"/>
  <c r="Z29" i="16"/>
  <c r="V36" i="16" s="1"/>
  <c r="V29" i="16"/>
  <c r="V35" i="16" s="1"/>
  <c r="M33" i="17"/>
  <c r="V34" i="17"/>
  <c r="Z41" i="17"/>
  <c r="K41" i="17"/>
  <c r="Y41" i="17"/>
  <c r="J41" i="17"/>
  <c r="S42" i="17"/>
  <c r="T42" i="17"/>
  <c r="Z40" i="17"/>
  <c r="K40" i="17"/>
  <c r="Y40" i="17"/>
  <c r="J40" i="17"/>
  <c r="S43" i="17"/>
  <c r="T43" i="17"/>
  <c r="S44" i="17"/>
  <c r="T44" i="17"/>
  <c r="AA36" i="17"/>
  <c r="L36" i="17"/>
  <c r="U37" i="17"/>
  <c r="AA37" i="17" l="1"/>
  <c r="L37" i="17"/>
  <c r="U38" i="17"/>
  <c r="U39" i="17"/>
  <c r="Z44" i="17"/>
  <c r="K44" i="17"/>
  <c r="Y44" i="17"/>
  <c r="J44" i="17"/>
  <c r="Z43" i="17"/>
  <c r="K43" i="17"/>
  <c r="Y43" i="17"/>
  <c r="J43" i="17"/>
  <c r="Z42" i="17"/>
  <c r="K42" i="17"/>
  <c r="Y42" i="17"/>
  <c r="J42" i="17"/>
  <c r="S45" i="17"/>
  <c r="T45" i="17"/>
  <c r="M34" i="17"/>
  <c r="V35" i="17"/>
  <c r="V39" i="16"/>
  <c r="V45" i="16" s="1"/>
  <c r="V37" i="16"/>
  <c r="V43" i="16"/>
  <c r="V40" i="16" l="1"/>
  <c r="V44" i="16"/>
  <c r="V46" i="16" s="1"/>
  <c r="D31" i="16" s="1"/>
  <c r="D32" i="16" s="1"/>
  <c r="M35" i="17"/>
  <c r="V36" i="17"/>
  <c r="Z45" i="17"/>
  <c r="K45" i="17"/>
  <c r="Y45" i="17"/>
  <c r="J45" i="17"/>
  <c r="S46" i="17"/>
  <c r="T46" i="17"/>
  <c r="AA39" i="17"/>
  <c r="L39" i="17"/>
  <c r="AA38" i="17"/>
  <c r="L38" i="17"/>
  <c r="U40" i="17"/>
  <c r="AA40" i="17" l="1"/>
  <c r="L40" i="17"/>
  <c r="U41" i="17"/>
  <c r="Z46" i="17"/>
  <c r="K46" i="17"/>
  <c r="Y46" i="17"/>
  <c r="J46" i="17"/>
  <c r="S47" i="17"/>
  <c r="T47" i="17"/>
  <c r="S49" i="17"/>
  <c r="M36" i="17"/>
  <c r="V37" i="17"/>
  <c r="V38" i="17"/>
  <c r="AF7" i="16"/>
  <c r="V41" i="16"/>
  <c r="AF8" i="16" s="1"/>
  <c r="D37" i="16" s="1"/>
  <c r="D42" i="16" s="1"/>
  <c r="D36" i="16" l="1"/>
  <c r="D41" i="16" s="1"/>
  <c r="D43" i="16" s="1"/>
  <c r="D49" i="16" s="1"/>
  <c r="AF12" i="16"/>
  <c r="M38" i="17"/>
  <c r="AB38" i="17"/>
  <c r="M37" i="17"/>
  <c r="V39" i="17"/>
  <c r="Z47" i="17"/>
  <c r="K47" i="17"/>
  <c r="T49" i="17"/>
  <c r="Y47" i="17"/>
  <c r="J47" i="17"/>
  <c r="J49" i="17"/>
  <c r="K49" i="17"/>
  <c r="AA41" i="17"/>
  <c r="L41" i="17"/>
  <c r="U42" i="17"/>
  <c r="AA42" i="17" l="1"/>
  <c r="L42" i="17"/>
  <c r="U43" i="17"/>
  <c r="U44" i="17"/>
  <c r="Z23" i="17"/>
  <c r="Z21" i="17"/>
  <c r="Z20" i="17"/>
  <c r="Z22" i="17"/>
  <c r="Z25" i="17"/>
  <c r="Z24" i="17"/>
  <c r="Y14" i="17"/>
  <c r="Y15" i="17"/>
  <c r="Y16" i="17"/>
  <c r="Y17" i="17"/>
  <c r="Y18" i="17"/>
  <c r="Y19" i="17"/>
  <c r="M39" i="17"/>
  <c r="AB39" i="17"/>
  <c r="V40" i="17"/>
  <c r="M40" i="17" l="1"/>
  <c r="AB40" i="17"/>
  <c r="V41" i="17"/>
  <c r="Y49" i="17"/>
  <c r="J50" i="17" s="1"/>
  <c r="Z49" i="17"/>
  <c r="K50" i="17" s="1"/>
  <c r="AA44" i="17"/>
  <c r="L44" i="17"/>
  <c r="U45" i="17"/>
  <c r="AA43" i="17"/>
  <c r="L43" i="17"/>
  <c r="AA45" i="17" l="1"/>
  <c r="L45" i="17"/>
  <c r="U46" i="17"/>
  <c r="U47" i="17"/>
  <c r="U49" i="17"/>
  <c r="M41" i="17"/>
  <c r="AB41" i="17"/>
  <c r="V42" i="17"/>
  <c r="V43" i="17"/>
  <c r="V44" i="17"/>
  <c r="AB44" i="17" l="1"/>
  <c r="M44" i="17"/>
  <c r="AB43" i="17"/>
  <c r="M43" i="17"/>
  <c r="M42" i="17"/>
  <c r="AB42" i="17"/>
  <c r="V45" i="17"/>
  <c r="V46" i="17"/>
  <c r="V47" i="17"/>
  <c r="AA47" i="17"/>
  <c r="L47" i="17"/>
  <c r="AA46" i="17"/>
  <c r="L46" i="17"/>
  <c r="L49" i="17"/>
  <c r="AA26" i="17" l="1"/>
  <c r="AA27" i="17"/>
  <c r="AA28" i="17"/>
  <c r="AA30" i="17"/>
  <c r="AA29" i="17"/>
  <c r="AA31" i="17"/>
  <c r="AB47" i="17"/>
  <c r="M47" i="17"/>
  <c r="AB46" i="17"/>
  <c r="M46" i="17"/>
  <c r="AB45" i="17"/>
  <c r="M45" i="17"/>
  <c r="V49" i="17"/>
  <c r="M49" i="17"/>
  <c r="AB32" i="17" l="1"/>
  <c r="AB33" i="17"/>
  <c r="AB34" i="17"/>
  <c r="AB35" i="17"/>
  <c r="AB36" i="17"/>
  <c r="AB37" i="17"/>
  <c r="AA49" i="17"/>
  <c r="L50" i="17" s="1"/>
  <c r="AB49" i="17" l="1"/>
  <c r="M50" i="17" s="1"/>
  <c r="K56" i="5" l="1"/>
  <c r="AS13" i="12"/>
  <c r="AW13" i="12"/>
  <c r="AS16" i="12"/>
  <c r="AS15" i="12"/>
  <c r="AO16" i="12"/>
  <c r="AO13" i="12"/>
  <c r="AW16" i="12"/>
  <c r="AW15" i="12"/>
  <c r="BA15" i="12"/>
  <c r="BA16" i="12"/>
  <c r="AW17" i="12"/>
  <c r="D48" i="12"/>
  <c r="AS17" i="12"/>
  <c r="C48" i="12"/>
  <c r="AO17" i="12"/>
  <c r="G48" i="12"/>
  <c r="BA17" i="12"/>
  <c r="E48" i="12"/>
  <c r="AF9" i="16"/>
  <c r="AF10" i="16"/>
  <c r="G53" i="17"/>
  <c r="M53" i="17"/>
  <c r="K53" i="17"/>
  <c r="K57" i="5"/>
  <c r="K59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Charles Larimer</author>
  </authors>
  <commentList>
    <comment ref="D422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Charles Larimer:</t>
        </r>
        <r>
          <rPr>
            <sz val="8"/>
            <color indexed="81"/>
            <rFont val="Tahoma"/>
            <family val="2"/>
          </rPr>
          <t xml:space="preserve">
This row used for error testing of certain aspects of data entry
</t>
        </r>
      </text>
    </comment>
    <comment ref="D423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Charles Larimer:</t>
        </r>
        <r>
          <rPr>
            <sz val="8"/>
            <color indexed="81"/>
            <rFont val="Tahoma"/>
            <family val="2"/>
          </rPr>
          <t xml:space="preserve">
This row used for error testing of certain aspects of data entry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Brian Forman</author>
  </authors>
  <commentList>
    <comment ref="H6" authorId="0" shapeId="0" xr:uid="{BBCB1552-ABEC-468C-BC33-388D6DF9C2F2}">
      <text>
        <r>
          <rPr>
            <b/>
            <sz val="9"/>
            <color indexed="81"/>
            <rFont val="Tahoma"/>
            <family val="2"/>
          </rPr>
          <t>Brian Forman:</t>
        </r>
        <r>
          <rPr>
            <sz val="9"/>
            <color indexed="81"/>
            <rFont val="Tahoma"/>
            <family val="2"/>
          </rPr>
          <t xml:space="preserve">
Use no seasonality because claims do not follow history due to COVID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Brian Forman</author>
  </authors>
  <commentList>
    <comment ref="W7" authorId="0" shapeId="0" xr:uid="{D1604DEB-FD48-4A37-ABE3-54F2D4D11115}">
      <text>
        <r>
          <rPr>
            <b/>
            <sz val="9"/>
            <color indexed="81"/>
            <rFont val="Tahoma"/>
            <family val="2"/>
          </rPr>
          <t>Brian Forman:</t>
        </r>
        <r>
          <rPr>
            <sz val="9"/>
            <color indexed="81"/>
            <rFont val="Tahoma"/>
            <family val="2"/>
          </rPr>
          <t xml:space="preserve">
Update the reference if needed</t>
        </r>
      </text>
    </comment>
    <comment ref="G31" authorId="0" shapeId="0" xr:uid="{848D2BDD-6E75-4D8E-B70D-04967790E2C1}">
      <text>
        <r>
          <rPr>
            <b/>
            <sz val="9"/>
            <color indexed="81"/>
            <rFont val="Tahoma"/>
            <family val="2"/>
          </rPr>
          <t>Brian Forman:</t>
        </r>
        <r>
          <rPr>
            <sz val="9"/>
            <color indexed="81"/>
            <rFont val="Tahoma"/>
            <family val="2"/>
          </rPr>
          <t xml:space="preserve">
 Not clear what driving average or trend should be, but we agreed to modify to "working days" calculations and I used the Seasonality Factor column to make that adjustment.  In column M we adjust back to monthly.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Charles Larimer</author>
  </authors>
  <commentList>
    <comment ref="I95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Charles Larimer:</t>
        </r>
        <r>
          <rPr>
            <sz val="8"/>
            <color indexed="81"/>
            <rFont val="Tahoma"/>
            <family val="2"/>
          </rPr>
          <t xml:space="preserve">
Uses the last adjustment factor for the remaining months.
</t>
        </r>
      </text>
    </comment>
  </commentList>
</comments>
</file>

<file path=xl/sharedStrings.xml><?xml version="1.0" encoding="utf-8"?>
<sst xmlns="http://schemas.openxmlformats.org/spreadsheetml/2006/main" count="4003" uniqueCount="1071">
  <si>
    <t>Macro Lists</t>
  </si>
  <si>
    <t>For</t>
  </si>
  <si>
    <t>ListBox1</t>
  </si>
  <si>
    <t>ListBox2</t>
  </si>
  <si>
    <t>ListBox3</t>
  </si>
  <si>
    <t>ListBox4</t>
  </si>
  <si>
    <t>"Pick Numbers" Start</t>
  </si>
  <si>
    <t>Enter the Menu Items Here</t>
  </si>
  <si>
    <t>PrintList1</t>
  </si>
  <si>
    <t>PrintList2</t>
  </si>
  <si>
    <t>PrintList3</t>
  </si>
  <si>
    <t>PrintList4</t>
  </si>
  <si>
    <t>MultiPage - UserForm1</t>
  </si>
  <si>
    <t>Company Name</t>
  </si>
  <si>
    <t>Reserve Date</t>
  </si>
  <si>
    <t>Monthly Claims</t>
  </si>
  <si>
    <t>Paid vs. Incurred</t>
  </si>
  <si>
    <t>Current</t>
  </si>
  <si>
    <t>Current-1</t>
  </si>
  <si>
    <t>Current-2</t>
  </si>
  <si>
    <t>Current-3</t>
  </si>
  <si>
    <t>Current-4</t>
  </si>
  <si>
    <t>Current-5</t>
  </si>
  <si>
    <t>Current-6</t>
  </si>
  <si>
    <t>Current-7</t>
  </si>
  <si>
    <t>Current-8</t>
  </si>
  <si>
    <t>Current-9</t>
  </si>
  <si>
    <t>Current-10</t>
  </si>
  <si>
    <t>Current-11</t>
  </si>
  <si>
    <t>Current-12</t>
  </si>
  <si>
    <t>Current-13</t>
  </si>
  <si>
    <t>Current-14</t>
  </si>
  <si>
    <t>Current-15</t>
  </si>
  <si>
    <t>Current-16</t>
  </si>
  <si>
    <t>Current-17</t>
  </si>
  <si>
    <t>Current-18</t>
  </si>
  <si>
    <t>Current-19</t>
  </si>
  <si>
    <t>Current-20</t>
  </si>
  <si>
    <t>Current-21</t>
  </si>
  <si>
    <t>Current-22</t>
  </si>
  <si>
    <t>Current-23</t>
  </si>
  <si>
    <t>Month</t>
  </si>
  <si>
    <t>Year</t>
  </si>
  <si>
    <t>Cumulative Claims</t>
  </si>
  <si>
    <t>Incurred Month</t>
  </si>
  <si>
    <t xml:space="preserve">  Lag Factors</t>
  </si>
  <si>
    <t>Development of</t>
  </si>
  <si>
    <t>By Month</t>
  </si>
  <si>
    <t>Lag Factor Ratios</t>
  </si>
  <si>
    <t>Simple Averages</t>
  </si>
  <si>
    <t>All Data</t>
  </si>
  <si>
    <t>Last 12</t>
  </si>
  <si>
    <t>Last 6</t>
  </si>
  <si>
    <t>Last 3</t>
  </si>
  <si>
    <t>Qtr-1</t>
  </si>
  <si>
    <t>Qtr-2</t>
  </si>
  <si>
    <t>Qtr-3</t>
  </si>
  <si>
    <t>3 Month Averages</t>
  </si>
  <si>
    <t>High</t>
  </si>
  <si>
    <t>Low</t>
  </si>
  <si>
    <t>Rem H/L</t>
  </si>
  <si>
    <t>Last 12 - Remove High/Low</t>
  </si>
  <si>
    <t>Lag Fx</t>
  </si>
  <si>
    <t>Comp Fx</t>
  </si>
  <si>
    <t>Tail Factor</t>
  </si>
  <si>
    <t>Adj Cmp Fx</t>
  </si>
  <si>
    <t>Last 12 - Rem High/Low</t>
  </si>
  <si>
    <t>Months of Adjustment</t>
  </si>
  <si>
    <t xml:space="preserve">  +=Faster; -=Slower</t>
  </si>
  <si>
    <t>Weights</t>
  </si>
  <si>
    <t>5 Months Slower</t>
  </si>
  <si>
    <t>4 Months Slower</t>
  </si>
  <si>
    <t>3 Months Slower</t>
  </si>
  <si>
    <t>2 Months Slower</t>
  </si>
  <si>
    <t>1 Months Slower</t>
  </si>
  <si>
    <t>1 Month Faster</t>
  </si>
  <si>
    <t>Completion Factor Adjustments - Slower/Faster</t>
  </si>
  <si>
    <t>Membership &amp; Log Data</t>
  </si>
  <si>
    <t>Members</t>
  </si>
  <si>
    <t>Auth</t>
  </si>
  <si>
    <t>Days</t>
  </si>
  <si>
    <t>Reported</t>
  </si>
  <si>
    <t>Per Diem</t>
  </si>
  <si>
    <t>Reserve</t>
  </si>
  <si>
    <t>First Res</t>
  </si>
  <si>
    <t>Estimate</t>
  </si>
  <si>
    <t>Total</t>
  </si>
  <si>
    <t>Completion Factor Adjustment</t>
  </si>
  <si>
    <t>Date 1:</t>
  </si>
  <si>
    <t>Restated Res</t>
  </si>
  <si>
    <t xml:space="preserve">  + = Faster, - = Slower by # Mos</t>
  </si>
  <si>
    <t>Date 2:</t>
  </si>
  <si>
    <t>Restated</t>
  </si>
  <si>
    <t>Remaining</t>
  </si>
  <si>
    <t>Paid To</t>
  </si>
  <si>
    <t>Ending</t>
  </si>
  <si>
    <t>Incurred</t>
  </si>
  <si>
    <t>Paid</t>
  </si>
  <si>
    <t xml:space="preserve">Date  </t>
  </si>
  <si>
    <t>IBNR</t>
  </si>
  <si>
    <t>Disclaimers</t>
  </si>
  <si>
    <t>PMPM</t>
  </si>
  <si>
    <t>TOTAL</t>
  </si>
  <si>
    <t>Claims Based On Most Recent</t>
  </si>
  <si>
    <t>Incurred Quarter</t>
  </si>
  <si>
    <t xml:space="preserve">CHANGE IN </t>
  </si>
  <si>
    <t>RESERVE ESTIMATE</t>
  </si>
  <si>
    <t xml:space="preserve">  Paid Claims</t>
  </si>
  <si>
    <t xml:space="preserve">    Cur Mo Inc Claims</t>
  </si>
  <si>
    <t>Paid As Of</t>
  </si>
  <si>
    <t>Data As Of</t>
  </si>
  <si>
    <t>+ Ending Reserve</t>
  </si>
  <si>
    <t>+/- Restate Prior</t>
  </si>
  <si>
    <t>Remaining Reserve</t>
  </si>
  <si>
    <t>Formal Est</t>
  </si>
  <si>
    <t>- Beginning Reserve</t>
  </si>
  <si>
    <t xml:space="preserve">      Claims</t>
  </si>
  <si>
    <t>Restated Reserve</t>
  </si>
  <si>
    <t>Difference</t>
  </si>
  <si>
    <t>= Claim Expense</t>
  </si>
  <si>
    <t>=   Claim Expense</t>
  </si>
  <si>
    <t>NA</t>
  </si>
  <si>
    <t>SAVE !!!</t>
  </si>
  <si>
    <t>@DATE(@YEAR(AQ109)-1,12,31)</t>
  </si>
  <si>
    <t>Reserve Date:</t>
  </si>
  <si>
    <t>Summary of Completion Factors &amp; Development of Historic PMPMs</t>
  </si>
  <si>
    <t>Adjusted Completion Factors</t>
  </si>
  <si>
    <t>Member</t>
  </si>
  <si>
    <t>Months</t>
  </si>
  <si>
    <t>Choice of Lag Methods</t>
  </si>
  <si>
    <t>12 Month Method</t>
  </si>
  <si>
    <t>6 Month Method</t>
  </si>
  <si>
    <t>3 Month Method</t>
  </si>
  <si>
    <t>12 Month - Remove High/Low</t>
  </si>
  <si>
    <t>Save - Column Converter</t>
  </si>
  <si>
    <t>Choice</t>
  </si>
  <si>
    <t>Claims</t>
  </si>
  <si>
    <t>Comp</t>
  </si>
  <si>
    <t>Factor</t>
  </si>
  <si>
    <t>Estimated</t>
  </si>
  <si>
    <t xml:space="preserve">% </t>
  </si>
  <si>
    <t>Complete</t>
  </si>
  <si>
    <t>Incurred Claim vs. Paid Claim Comparisons</t>
  </si>
  <si>
    <t>+</t>
  </si>
  <si>
    <t>=</t>
  </si>
  <si>
    <t>% COMPLETE</t>
  </si>
  <si>
    <t>Check Neg</t>
  </si>
  <si>
    <t>% of</t>
  </si>
  <si>
    <t>Final Est</t>
  </si>
  <si>
    <t>Diff</t>
  </si>
  <si>
    <t>Cum Diff</t>
  </si>
  <si>
    <t>Cum Inc</t>
  </si>
  <si>
    <t>Label</t>
  </si>
  <si>
    <t>Benefit Adjusted</t>
  </si>
  <si>
    <t>TREND SUMMARIES</t>
  </si>
  <si>
    <t>Benefit</t>
  </si>
  <si>
    <t>(Excludes Most Recent 3 Mos)</t>
  </si>
  <si>
    <t>Adjusted</t>
  </si>
  <si>
    <t>Not Benefit Adjusted</t>
  </si>
  <si>
    <t>3 Month</t>
  </si>
  <si>
    <t>Adjustments (Not Per Diem)</t>
  </si>
  <si>
    <t>Adj To Last</t>
  </si>
  <si>
    <t>Specified</t>
  </si>
  <si>
    <t>Yr Factor</t>
  </si>
  <si>
    <t>Adjustment</t>
  </si>
  <si>
    <t>Seasonality Factors</t>
  </si>
  <si>
    <t>No</t>
  </si>
  <si>
    <t>Standard</t>
  </si>
  <si>
    <t>Client</t>
  </si>
  <si>
    <t>Season</t>
  </si>
  <si>
    <t>Specific</t>
  </si>
  <si>
    <t>Development of Initial Estimates</t>
  </si>
  <si>
    <t>Seasonality Factors (0=no, 1=yes, 2=client specific)</t>
  </si>
  <si>
    <t>Inc PMPM</t>
  </si>
  <si>
    <t>Historic</t>
  </si>
  <si>
    <t>Change</t>
  </si>
  <si>
    <t>Average</t>
  </si>
  <si>
    <t>Fee Sched/</t>
  </si>
  <si>
    <t>Midpoint</t>
  </si>
  <si>
    <t>Trend %</t>
  </si>
  <si>
    <t>Ave</t>
  </si>
  <si>
    <t>Cost</t>
  </si>
  <si>
    <t>Trend</t>
  </si>
  <si>
    <t>Trended</t>
  </si>
  <si>
    <t>Initial</t>
  </si>
  <si>
    <t>Credibility</t>
  </si>
  <si>
    <t>Blending of Initial Estimates and Completion Factor Estimates</t>
  </si>
  <si>
    <t>Amount</t>
  </si>
  <si>
    <t>Paid Through</t>
  </si>
  <si>
    <t>Percent</t>
  </si>
  <si>
    <t>Outstanding</t>
  </si>
  <si>
    <t>Liability</t>
  </si>
  <si>
    <t>Lag Estimate</t>
  </si>
  <si>
    <t>Claims Method</t>
  </si>
  <si>
    <t>Average:</t>
  </si>
  <si>
    <t>(Lag Estimate  x Cred Fx)</t>
  </si>
  <si>
    <t>Incurred Estimate</t>
  </si>
  <si>
    <t>Checking Section</t>
  </si>
  <si>
    <t>Other Per Diem Inputs</t>
  </si>
  <si>
    <t>Per Diem Adjustments</t>
  </si>
  <si>
    <t>Per Diem Adjustment Table</t>
  </si>
  <si>
    <t>Std Dev</t>
  </si>
  <si>
    <t xml:space="preserve">  Reported Per Diems</t>
  </si>
  <si>
    <t>Per Diem Standard Deviation Calculations</t>
  </si>
  <si>
    <t>Implied</t>
  </si>
  <si>
    <t>Count</t>
  </si>
  <si>
    <t>Squared</t>
  </si>
  <si>
    <t>Std Dev =SQRT  [E (X^2) - EX^2] ]</t>
  </si>
  <si>
    <t>Variance</t>
  </si>
  <si>
    <t>E X^2=</t>
  </si>
  <si>
    <t>EX =</t>
  </si>
  <si>
    <t>Unbiased (n-1) Method</t>
  </si>
  <si>
    <t>N=</t>
  </si>
  <si>
    <t>Stdev =</t>
  </si>
  <si>
    <t>Midpoint:</t>
  </si>
  <si>
    <t>Authorized</t>
  </si>
  <si>
    <t>Days/1000</t>
  </si>
  <si>
    <t>Adjstmnt</t>
  </si>
  <si>
    <t>Override</t>
  </si>
  <si>
    <t>{Enter a 5% increase as +5%; a decrease as -5%, etc.}</t>
  </si>
  <si>
    <t>Initial Estimate Method (0=PMPM, 1= Claim Log)</t>
  </si>
  <si>
    <t>Method</t>
  </si>
  <si>
    <t>Log</t>
  </si>
  <si>
    <t>Claim Log</t>
  </si>
  <si>
    <t>Recap of PMPM Method &amp; Claim Log Method</t>
  </si>
  <si>
    <t>Lookup Totals to Calculate Prior Period Restated Reserves</t>
  </si>
  <si>
    <t>Use</t>
  </si>
  <si>
    <t>Cumulative</t>
  </si>
  <si>
    <t>Total Paid Claims By Month</t>
  </si>
  <si>
    <t>&amp; Average Age of Paid Claim, By Month Paid</t>
  </si>
  <si>
    <t>Est Inc</t>
  </si>
  <si>
    <t>Paid On</t>
  </si>
  <si>
    <t>Before &amp;</t>
  </si>
  <si>
    <t>After</t>
  </si>
  <si>
    <t>3 Mo</t>
  </si>
  <si>
    <t>Rolling</t>
  </si>
  <si>
    <t>Ben Adj</t>
  </si>
  <si>
    <t xml:space="preserve">    Benefit Adjusted</t>
  </si>
  <si>
    <t>Natural</t>
  </si>
  <si>
    <t>X</t>
  </si>
  <si>
    <t>X^2</t>
  </si>
  <si>
    <t>X Ln Y</t>
  </si>
  <si>
    <t>Y = mX + b</t>
  </si>
  <si>
    <t>m = ((EXY-(EX EY))</t>
  </si>
  <si>
    <t xml:space="preserve">   /(EX^2-EX ^2)</t>
  </si>
  <si>
    <t>EX</t>
  </si>
  <si>
    <t>(EX)^2</t>
  </si>
  <si>
    <t>m =</t>
  </si>
  <si>
    <t>b =</t>
  </si>
  <si>
    <t xml:space="preserve"> Trend -&gt;</t>
  </si>
  <si>
    <t xml:space="preserve"> String-&gt;</t>
  </si>
  <si>
    <t>Least</t>
  </si>
  <si>
    <t>Square</t>
  </si>
  <si>
    <t>Ln</t>
  </si>
  <si>
    <t>Sum Ln Y</t>
  </si>
  <si>
    <t>EX LnY</t>
  </si>
  <si>
    <t>E LnY</t>
  </si>
  <si>
    <t>E (X^2)</t>
  </si>
  <si>
    <t>All Data - 3 Month Rolling Average</t>
  </si>
  <si>
    <t>Number</t>
  </si>
  <si>
    <t>Actual</t>
  </si>
  <si>
    <t>Least Square Curves Using 3 Mo Rolling Ave</t>
  </si>
  <si>
    <t>Last 24</t>
  </si>
  <si>
    <t>Last 18</t>
  </si>
  <si>
    <t>Last 24 Months - 3 Month Rolling Average</t>
  </si>
  <si>
    <t>Last 18 Months - 3 Month Rolling Average</t>
  </si>
  <si>
    <t>Text</t>
  </si>
  <si>
    <t>31</t>
  </si>
  <si>
    <t>34</t>
  </si>
  <si>
    <t>35</t>
  </si>
  <si>
    <t>1</t>
  </si>
  <si>
    <t>2</t>
  </si>
  <si>
    <t>4</t>
  </si>
  <si>
    <t>5</t>
  </si>
  <si>
    <t>7</t>
  </si>
  <si>
    <t>8</t>
  </si>
  <si>
    <t>10</t>
  </si>
  <si>
    <t>32</t>
  </si>
  <si>
    <t>29</t>
  </si>
  <si>
    <t>28</t>
  </si>
  <si>
    <t>26</t>
  </si>
  <si>
    <t>25</t>
  </si>
  <si>
    <t>23</t>
  </si>
  <si>
    <t>22</t>
  </si>
  <si>
    <t>20</t>
  </si>
  <si>
    <t>19</t>
  </si>
  <si>
    <t>17</t>
  </si>
  <si>
    <t>16</t>
  </si>
  <si>
    <t>14</t>
  </si>
  <si>
    <t>13</t>
  </si>
  <si>
    <t>11</t>
  </si>
  <si>
    <t>Mo/Yr</t>
  </si>
  <si>
    <t>Update Sections</t>
  </si>
  <si>
    <t>Range</t>
  </si>
  <si>
    <t>Name</t>
  </si>
  <si>
    <t>Claim Data</t>
  </si>
  <si>
    <t>$</t>
  </si>
  <si>
    <t>%</t>
  </si>
  <si>
    <t>Period</t>
  </si>
  <si>
    <t>As Of</t>
  </si>
  <si>
    <t>First</t>
  </si>
  <si>
    <t>Date:</t>
  </si>
  <si>
    <t>Macro 2 Correctly sets  Graph Min</t>
  </si>
  <si>
    <t>Min</t>
  </si>
  <si>
    <t>Max</t>
  </si>
  <si>
    <t>Macro 2 renamed as Chart Fix</t>
  </si>
  <si>
    <t>Series Names:</t>
  </si>
  <si>
    <t>Est Actual PMPM</t>
  </si>
  <si>
    <t>Lst Sq - All Data</t>
  </si>
  <si>
    <t>Lst Sq-24 Mo</t>
  </si>
  <si>
    <t>Lst Sq - 18 Mo</t>
  </si>
  <si>
    <t>Legends</t>
  </si>
  <si>
    <t>Least square trend lines based on 3-month rolling averages to temper fluctuations</t>
  </si>
  <si>
    <t>Blank</t>
  </si>
  <si>
    <t>Measured Completion Factors</t>
  </si>
  <si>
    <t>Date</t>
  </si>
  <si>
    <t>Last 12 Mos.</t>
  </si>
  <si>
    <t>Last 6 Mos.</t>
  </si>
  <si>
    <t>Last 3 Mos.</t>
  </si>
  <si>
    <t>Curr Qtr</t>
  </si>
  <si>
    <t>Observed Trends</t>
  </si>
  <si>
    <t>All Data (Actual - Not Rolling Average)</t>
  </si>
  <si>
    <t>Paid Claims</t>
  </si>
  <si>
    <t>Incurred Claims</t>
  </si>
  <si>
    <t>Estimated Incurred Claims</t>
  </si>
  <si>
    <t>Average Age of Paid Claims By Month</t>
  </si>
  <si>
    <t>Membership By Month</t>
  </si>
  <si>
    <t>Implied Per Diems for Chart</t>
  </si>
  <si>
    <t>Projected</t>
  </si>
  <si>
    <t>Projected Days</t>
  </si>
  <si>
    <t>PER DIEM TRENDS</t>
  </si>
  <si>
    <t>Implied Per Diem</t>
  </si>
  <si>
    <t>Actual Per Diem</t>
  </si>
  <si>
    <t>Least Square Trended Per Diem</t>
  </si>
  <si>
    <t>Incurred PMPMs Based On Alternate Comp Fx's</t>
  </si>
  <si>
    <t>Reserve for Prior Months</t>
  </si>
  <si>
    <t>Grand Total</t>
  </si>
  <si>
    <t>Completion Method (3 Month, 6 Month, 12 Month, All Data)</t>
  </si>
  <si>
    <t>Final Reserve Estimate</t>
  </si>
  <si>
    <t>Comparison of Previous Month Estimate</t>
  </si>
  <si>
    <t>Completion Factor Method</t>
  </si>
  <si>
    <t>Examination of Historic PMPMs</t>
  </si>
  <si>
    <t>Trend Summaries</t>
  </si>
  <si>
    <t>Least Square Trends Through 3 Month Rolling Averages</t>
  </si>
  <si>
    <t>Development of Initial Estimates Using Historic PMPMs</t>
  </si>
  <si>
    <t>Example: If a fee schedule increased by 20%, enter 20% and the date of the increase</t>
  </si>
  <si>
    <t>e</t>
  </si>
  <si>
    <t>x    f</t>
  </si>
  <si>
    <t>x   g</t>
  </si>
  <si>
    <t>x   h</t>
  </si>
  <si>
    <t>a</t>
  </si>
  <si>
    <t>/   b</t>
  </si>
  <si>
    <t>/   c</t>
  </si>
  <si>
    <t>=   d</t>
  </si>
  <si>
    <t>To Days</t>
  </si>
  <si>
    <t>Days Per Thousand</t>
  </si>
  <si>
    <t>Completed</t>
  </si>
  <si>
    <t>Adj Implied</t>
  </si>
  <si>
    <t>Development of Initial Estimates Using Claim Logs</t>
  </si>
  <si>
    <t>% Complete</t>
  </si>
  <si>
    <t>Final Reserve</t>
  </si>
  <si>
    <t>Claim Data Input</t>
  </si>
  <si>
    <t>Month Year Input</t>
  </si>
  <si>
    <t>PMPM Initial Estimates</t>
  </si>
  <si>
    <t>Fee Schedule Changes for PMPM Initial Est</t>
  </si>
  <si>
    <t>Comparison of Previous Month Estimates</t>
  </si>
  <si>
    <t>Seasonality Table for PMPM Init Est</t>
  </si>
  <si>
    <t>Log Initial Estimate</t>
  </si>
  <si>
    <t>Chart - Historic PMPMs</t>
  </si>
  <si>
    <t>Chart - PMPM with IBNR</t>
  </si>
  <si>
    <t>Chart - Completion Patterns</t>
  </si>
  <si>
    <t>Chart - Completion Patterns by Quarter</t>
  </si>
  <si>
    <t>Chart - Paid vs. Incurred</t>
  </si>
  <si>
    <t>Chart - Average Age of Paid Claims</t>
  </si>
  <si>
    <t>Chart - Membership</t>
  </si>
  <si>
    <t>Chart - Per Diems</t>
  </si>
  <si>
    <t>Fee Schedule Changes - Adjustments for PMPM Initial Estimates</t>
  </si>
  <si>
    <t>ChartBottom</t>
  </si>
  <si>
    <t>ResetMembers</t>
  </si>
  <si>
    <t>ResetClaims</t>
  </si>
  <si>
    <t>ResetFeeSched</t>
  </si>
  <si>
    <t>ResetTail</t>
  </si>
  <si>
    <t>ResetNameDate</t>
  </si>
  <si>
    <t>Enter New Company Name</t>
  </si>
  <si>
    <t>ResetMethod</t>
  </si>
  <si>
    <t>ResetDaysAdj</t>
  </si>
  <si>
    <t>ResetSeason</t>
  </si>
  <si>
    <t>Fee Schedule Adjustment Table</t>
  </si>
  <si>
    <t>Other PMPM Inputs - Fee Schedule Adjustment Table</t>
  </si>
  <si>
    <t>ResetTrend</t>
  </si>
  <si>
    <t>Update Data 1 Month</t>
  </si>
  <si>
    <t>Reset All Data to 0's</t>
  </si>
  <si>
    <t>Fix Chart Min &amp; Max for PMPM Chart</t>
  </si>
  <si>
    <t>Print Color - Standard Charts</t>
  </si>
  <si>
    <t>Print B&amp;W - Standard Charts</t>
  </si>
  <si>
    <t>Print B&amp;W - Completion Factors</t>
  </si>
  <si>
    <t>Print B&amp;W - Membership by Month</t>
  </si>
  <si>
    <t>Print Color - Completion Factors</t>
  </si>
  <si>
    <t>Print Color - Membership by Month</t>
  </si>
  <si>
    <t>Print Color - Standard Charts + Per Diems</t>
  </si>
  <si>
    <t>Print B&amp;W - Standard Charts + Per Diems</t>
  </si>
  <si>
    <t>Reset Per Diems</t>
  </si>
  <si>
    <t>Print B&amp;W - PMPM Trend + IBNR Chart</t>
  </si>
  <si>
    <t>Print B&amp;W - Paid + Ave Age</t>
  </si>
  <si>
    <t>Print B&amp;W - Membership + Historic Per Diems</t>
  </si>
  <si>
    <t>Print Color - PMPM Trend + IBNR Chart</t>
  </si>
  <si>
    <t>Print Color - Paid + Ave Age</t>
  </si>
  <si>
    <t>Print Color - Membership + Historic Per Diems</t>
  </si>
  <si>
    <t>All Rights Reserved</t>
  </si>
  <si>
    <t>x   Factor</t>
  </si>
  <si>
    <t>Print Standard Exhibits</t>
  </si>
  <si>
    <t>Print Expanded Exhibits</t>
  </si>
  <si>
    <t>Print PMPM + Final Reserve</t>
  </si>
  <si>
    <t>Print Log + Final Reserve</t>
  </si>
  <si>
    <t>Print Comparison to Prior Month Estimate</t>
  </si>
  <si>
    <t>Print Claim Data + Membership</t>
  </si>
  <si>
    <t>Print Transfer Section</t>
  </si>
  <si>
    <t>Reasonableness Checking Section - PMPM Estimates</t>
  </si>
  <si>
    <t>No Adjustment</t>
  </si>
  <si>
    <t>2 Months Faster</t>
  </si>
  <si>
    <t>3 Months Faster</t>
  </si>
  <si>
    <t>4 Months Faster</t>
  </si>
  <si>
    <t>5 Months Faster</t>
  </si>
  <si>
    <t>Prior</t>
  </si>
  <si>
    <t>Change In</t>
  </si>
  <si>
    <t>All Data Method</t>
  </si>
  <si>
    <t>LookupChoice</t>
  </si>
  <si>
    <t>Description</t>
  </si>
  <si>
    <t>LinkCell--&gt;&gt;</t>
  </si>
  <si>
    <t xml:space="preserve">Completion Method </t>
  </si>
  <si>
    <t>12 Month Method - Remove High/Low</t>
  </si>
  <si>
    <t>Translated Value</t>
  </si>
  <si>
    <t>PMPM Method for Initial Estimate</t>
  </si>
  <si>
    <t>Log Method for Initial Estimate</t>
  </si>
  <si>
    <t>Chosen Completion Pattern:</t>
  </si>
  <si>
    <t>Initial Estimate Method</t>
  </si>
  <si>
    <t>Seasonality Method</t>
  </si>
  <si>
    <t>No Seasonality</t>
  </si>
  <si>
    <t>Standard Seasonality</t>
  </si>
  <si>
    <t>Client Specific Seasonality</t>
  </si>
  <si>
    <t>Translations for DropDown Menus on the Final Worksheet</t>
  </si>
  <si>
    <t>Reset Formal Estimate</t>
  </si>
  <si>
    <t>Last 12 Mos - Rem H/L</t>
  </si>
  <si>
    <t>Development of Lag Factors</t>
  </si>
  <si>
    <t>Save These Columns</t>
  </si>
  <si>
    <t>(Not Used)</t>
  </si>
  <si>
    <t>Save Columns - Used for Resets</t>
  </si>
  <si>
    <t>Disclaimers and Limitations</t>
  </si>
  <si>
    <t>C F Larimer Consulting, LLC has developed this</t>
  </si>
  <si>
    <t>computer program for the exclusive use of</t>
  </si>
  <si>
    <t>in estimating Incurred But Not Reported (IBNR)</t>
  </si>
  <si>
    <t>claims.  Use of this program by other parties or for</t>
  </si>
  <si>
    <t>other purposes is expressly prohibited.</t>
  </si>
  <si>
    <t>These IBNR Claim Reserve estimates must be</t>
  </si>
  <si>
    <t>continually reviewed as more data becomes</t>
  </si>
  <si>
    <t>available. As more data becomes available, these</t>
  </si>
  <si>
    <t>estimates will change, either up or down.</t>
  </si>
  <si>
    <t>C F Larimer Consulting cannot be held responsible</t>
  </si>
  <si>
    <t>for the misuse of this program or the accuracy</t>
  </si>
  <si>
    <t>of the reserve estimates.</t>
  </si>
  <si>
    <t xml:space="preserve">We have documented the logic for this program in a </t>
  </si>
  <si>
    <t>separate paper.</t>
  </si>
  <si>
    <t>For additional information, please contact us at</t>
  </si>
  <si>
    <t>All Rights Are Reserved</t>
  </si>
  <si>
    <t>SubTotal</t>
  </si>
  <si>
    <t>Exhibit III</t>
  </si>
  <si>
    <t>Exhibit V</t>
  </si>
  <si>
    <t>Exhibit X</t>
  </si>
  <si>
    <t>Cumutative Claims - 3</t>
  </si>
  <si>
    <t>Cumutative Claims - 2</t>
  </si>
  <si>
    <t>Cumulative Claims - 1</t>
  </si>
  <si>
    <t>Lag Factors - 3</t>
  </si>
  <si>
    <t>Lag Factors - 1</t>
  </si>
  <si>
    <t>Lag Factors - 2</t>
  </si>
  <si>
    <t>Print Standard Exhibits - Reverse Order</t>
  </si>
  <si>
    <t>Print Expanded Exhibits - Reverse Order</t>
  </si>
  <si>
    <t>Print B&amp;W - Standard Charts - Reverse Order</t>
  </si>
  <si>
    <t>Print Color - Standard Charts - Reverse Order</t>
  </si>
  <si>
    <t>Number of Months of Data</t>
  </si>
  <si>
    <t>Data</t>
  </si>
  <si>
    <t>Counter</t>
  </si>
  <si>
    <t>Chart Limit</t>
  </si>
  <si>
    <t>Range Limit</t>
  </si>
  <si>
    <t>&amp; Average Claim Age By Month Of Payment</t>
  </si>
  <si>
    <t>Additional Lag Factor Adjustments - Error Trapping and Smoothing</t>
  </si>
  <si>
    <t>Note: These lag factors include certain smoothing adjustments.</t>
  </si>
  <si>
    <t>Closed</t>
  </si>
  <si>
    <t>Block</t>
  </si>
  <si>
    <t>NumbMos</t>
  </si>
  <si>
    <t>ActiveMos</t>
  </si>
  <si>
    <t>ClosedMos</t>
  </si>
  <si>
    <t>Restatement of Reserve Estimate</t>
  </si>
  <si>
    <t>Change In Reserve Estimate</t>
  </si>
  <si>
    <t>Reserve Estimate as of</t>
  </si>
  <si>
    <t>Claim Expense</t>
  </si>
  <si>
    <t>Reserve Estimate Expressed As</t>
  </si>
  <si>
    <t>Number of Months of Claims</t>
  </si>
  <si>
    <t xml:space="preserve">Month 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</si>
  <si>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</si>
  <si>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</si>
  <si>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</si>
  <si>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</si>
  <si>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</si>
  <si>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</si>
  <si>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</si>
  <si>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</si>
  <si>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</si>
  <si>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</si>
  <si>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</si>
  <si>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</si>
  <si>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 xml:space="preserve">PMPM </t>
  </si>
  <si>
    <t>Lst Sq</t>
  </si>
  <si>
    <t xml:space="preserve">12 Mos </t>
  </si>
  <si>
    <t xml:space="preserve">1st Prior </t>
  </si>
  <si>
    <t>SEASONALITY</t>
  </si>
  <si>
    <t xml:space="preserve">2nd Prior </t>
  </si>
  <si>
    <t>Yr 1</t>
  </si>
  <si>
    <t>Yr 2</t>
  </si>
  <si>
    <t>Yr 3</t>
  </si>
  <si>
    <t>Yr1/Yr2</t>
  </si>
  <si>
    <t>Years 1&amp;2 vs. 3</t>
  </si>
  <si>
    <t>EX^2</t>
  </si>
  <si>
    <t>EY</t>
  </si>
  <si>
    <t>EY^2</t>
  </si>
  <si>
    <t>EXY</t>
  </si>
  <si>
    <t>Corr Coeff</t>
  </si>
  <si>
    <t>Year 1 vs. Ave</t>
  </si>
  <si>
    <t>Year 2 vs. Ave</t>
  </si>
  <si>
    <t>Year 3 vs. Ave</t>
  </si>
  <si>
    <t>Seasonality Study</t>
  </si>
  <si>
    <t>9.7</t>
  </si>
  <si>
    <t>Index</t>
  </si>
  <si>
    <t>Initial Month</t>
  </si>
  <si>
    <t>Month with Index</t>
  </si>
  <si>
    <t>Link Table To Match</t>
  </si>
  <si>
    <t>Ratios</t>
  </si>
  <si>
    <t>Observed Ratios</t>
  </si>
  <si>
    <t>Year 1</t>
  </si>
  <si>
    <t>Year 2</t>
  </si>
  <si>
    <t>Year 3</t>
  </si>
  <si>
    <t>Balanced</t>
  </si>
  <si>
    <t>Factors</t>
  </si>
  <si>
    <t>Credibility Adjustment</t>
  </si>
  <si>
    <t>Year 2 vs.</t>
  </si>
  <si>
    <t>Year 3 vs.</t>
  </si>
  <si>
    <t xml:space="preserve">Year 1 vs. </t>
  </si>
  <si>
    <t>Yr1 &amp; Yr2</t>
  </si>
  <si>
    <t>vs. Yr 3</t>
  </si>
  <si>
    <t>Minumum Observed Ratio</t>
  </si>
  <si>
    <t>Maximum Observed Ratio</t>
  </si>
  <si>
    <t>For Graphing</t>
  </si>
  <si>
    <t>Rounded</t>
  </si>
  <si>
    <t>Correlation</t>
  </si>
  <si>
    <t>Coefficients</t>
  </si>
  <si>
    <t>Benefits Adj To</t>
  </si>
  <si>
    <t xml:space="preserve">  Seasonality</t>
  </si>
  <si>
    <t xml:space="preserve">    Historic </t>
  </si>
  <si>
    <t>Absolute Difference vs. 1.00</t>
  </si>
  <si>
    <t>Maximum</t>
  </si>
  <si>
    <t>Graph Min</t>
  </si>
  <si>
    <t>Graph Max</t>
  </si>
  <si>
    <t>SeasonMin</t>
  </si>
  <si>
    <t>SeasonMax</t>
  </si>
  <si>
    <t>Fix Chart Min &amp; Max for Seasonality Chart</t>
  </si>
  <si>
    <t>Assign New Client Seasonality Factors To IBNR Program</t>
  </si>
  <si>
    <t>Note:  Go to the PMPM Section to manually change the Seasonality Factors</t>
  </si>
  <si>
    <t>Print Client Specific Seasonality Exhibit</t>
  </si>
  <si>
    <t>Standard Fx</t>
  </si>
  <si>
    <t>To view recent experience developed</t>
  </si>
  <si>
    <t>client specific seasonality factors,</t>
  </si>
  <si>
    <t>to to the "Seasonality" tab.</t>
  </si>
  <si>
    <t>The actual choice of which factors to use</t>
  </si>
  <si>
    <t>is made on the "Final" exhibt.</t>
  </si>
  <si>
    <t>Trend Analysis</t>
  </si>
  <si>
    <t>Average Factor</t>
  </si>
  <si>
    <t>3 Month Rolling Ave</t>
  </si>
  <si>
    <t>6 Month Rolling Ave</t>
  </si>
  <si>
    <t>Rolling Average Trends</t>
  </si>
  <si>
    <t xml:space="preserve">    Not Benefit Adjusted</t>
  </si>
  <si>
    <t xml:space="preserve">  vs. 12 Months Prior</t>
  </si>
  <si>
    <t xml:space="preserve">  Benefit Adjustment</t>
  </si>
  <si>
    <t>Print Trend Analysis</t>
  </si>
  <si>
    <t>Last 18 Measures</t>
  </si>
  <si>
    <t>Last 12 Measures</t>
  </si>
  <si>
    <t>Last 6 Measures</t>
  </si>
  <si>
    <t>Trends</t>
  </si>
  <si>
    <t>Least Sq</t>
  </si>
  <si>
    <t>3 Mo Average</t>
  </si>
  <si>
    <t>Correlation Coefficient - Data vs. Least Square</t>
  </si>
  <si>
    <t>24 Months</t>
  </si>
  <si>
    <t>18 Months</t>
  </si>
  <si>
    <t>Adj Fx</t>
  </si>
  <si>
    <t>Deviation</t>
  </si>
  <si>
    <t>vs. Trend</t>
  </si>
  <si>
    <t>Line</t>
  </si>
  <si>
    <t>Std Dev Actual</t>
  </si>
  <si>
    <t>Note:  For the application of trend in the IBNR</t>
  </si>
  <si>
    <t>Program, the user must manually enter a trend</t>
  </si>
  <si>
    <t>exhibit are meant to be used as a guide in</t>
  </si>
  <si>
    <t>selecting an appropriate trend assupmtion.</t>
  </si>
  <si>
    <t>12 Month Rolling Ave</t>
  </si>
  <si>
    <t>Alternate Testing of Exhibits</t>
  </si>
  <si>
    <t>6 Month</t>
  </si>
  <si>
    <t>12 Month</t>
  </si>
  <si>
    <t>Comparison to Period 12 Months Prior</t>
  </si>
  <si>
    <t>Period Ending</t>
  </si>
  <si>
    <t>Rolling Average Period</t>
  </si>
  <si>
    <t>Percentages</t>
  </si>
  <si>
    <t>Least Square</t>
  </si>
  <si>
    <t>Rolling Average Comparison</t>
  </si>
  <si>
    <t>to Period 12 Months Prior</t>
  </si>
  <si>
    <t>Coeff</t>
  </si>
  <si>
    <t>PMPMs</t>
  </si>
  <si>
    <t xml:space="preserve">assumption. The trend measures in this </t>
  </si>
  <si>
    <t>RRR</t>
  </si>
  <si>
    <t>Smaller Labels</t>
  </si>
  <si>
    <t>12 Mo</t>
  </si>
  <si>
    <t>6 Mo</t>
  </si>
  <si>
    <t>Least Sq Annual Trends</t>
  </si>
  <si>
    <t>Print B&amp;W - Small Charts</t>
  </si>
  <si>
    <t>Print Standard Exhibits + B&amp;W Small Charts</t>
  </si>
  <si>
    <t>Print Standard Exhibits + B&amp;W Standard Charts</t>
  </si>
  <si>
    <t>Print Standard Exhibits + B&amp;W Small Charts, Trend, Seasonality</t>
  </si>
  <si>
    <t>Maximum + Margin</t>
  </si>
  <si>
    <t>Average Over Last 12 Points</t>
  </si>
  <si>
    <t>Least Square Annual Trends</t>
  </si>
  <si>
    <t>Calculation of X-Crossing Point</t>
  </si>
  <si>
    <t>Minimum Observed Trend</t>
  </si>
  <si>
    <t>Intermediate</t>
  </si>
  <si>
    <t>TrendMin</t>
  </si>
  <si>
    <t>Print PMPM + Final Reserve + B&amp;W Small Charts</t>
  </si>
  <si>
    <t>Rolling Ave Trends</t>
  </si>
  <si>
    <t>Subtotal</t>
  </si>
  <si>
    <t>Claims In</t>
  </si>
  <si>
    <t>Wrong</t>
  </si>
  <si>
    <t>Cells</t>
  </si>
  <si>
    <t>With No</t>
  </si>
  <si>
    <t>Membership</t>
  </si>
  <si>
    <t>Error Checking for Certain Data Entry Errors</t>
  </si>
  <si>
    <t>Test for Certain Data Errors</t>
  </si>
  <si>
    <t>Active</t>
  </si>
  <si>
    <t>12 Month Rolling Averages</t>
  </si>
  <si>
    <t>6 Month Rolling Averages</t>
  </si>
  <si>
    <t>3 Month Rolling Averages</t>
  </si>
  <si>
    <t>Monthly Rolling Averages</t>
  </si>
  <si>
    <t>The dates must be in increasing order, in order for the Table Lookup to work.</t>
  </si>
  <si>
    <t>Override1</t>
  </si>
  <si>
    <t>Override2</t>
  </si>
  <si>
    <t>Override-1 Factors</t>
  </si>
  <si>
    <t>Override-2 Factors</t>
  </si>
  <si>
    <t>Seasonality-Special Study</t>
  </si>
  <si>
    <t>Special</t>
  </si>
  <si>
    <t>Study</t>
  </si>
  <si>
    <t>Completion Factor - Override Tables</t>
  </si>
  <si>
    <t xml:space="preserve">                          </t>
  </si>
  <si>
    <t>Comments</t>
  </si>
  <si>
    <t>(Hindsight)</t>
  </si>
  <si>
    <t xml:space="preserve"> </t>
  </si>
  <si>
    <t>Print Hindsight Analysis - Restatement of Previous Estimates</t>
  </si>
  <si>
    <t>Total IBNR</t>
  </si>
  <si>
    <t>Current Reserve Allocation By Cal Yr</t>
  </si>
  <si>
    <t>Prior Calendar Year's</t>
  </si>
  <si>
    <t>CY</t>
  </si>
  <si>
    <t>Current Cal Year IBNR</t>
  </si>
  <si>
    <t>Rolling Average Trends (All Available Months)</t>
  </si>
  <si>
    <t>(Claim Log Initial Estimate x Cred Fx) +</t>
  </si>
  <si>
    <t>(PMPM Init Estimate x Cred Fx) +</t>
  </si>
  <si>
    <t>Blending of Claim Log Initial Estimates, PMPM Initial Estimates, and Completion Factor Estimates</t>
  </si>
  <si>
    <t>(Created in PMPM Section)</t>
  </si>
  <si>
    <t>Lag Estimates Based On</t>
  </si>
  <si>
    <t>Backlog</t>
  </si>
  <si>
    <t>Month End</t>
  </si>
  <si>
    <t>Adjustments</t>
  </si>
  <si>
    <t>Annual Trend Assumption:</t>
  </si>
  <si>
    <t>Use Base Data if % Complete &gt;</t>
  </si>
  <si>
    <t>Hindsight</t>
  </si>
  <si>
    <t>Save</t>
  </si>
  <si>
    <t>Y</t>
  </si>
  <si>
    <t>X  Y</t>
  </si>
  <si>
    <t>E Y</t>
  </si>
  <si>
    <t>By Backlog</t>
  </si>
  <si>
    <t>Predicted</t>
  </si>
  <si>
    <t>m</t>
  </si>
  <si>
    <t>b</t>
  </si>
  <si>
    <t>Correl Coeff</t>
  </si>
  <si>
    <t>R Squared</t>
  </si>
  <si>
    <t>Curr backlog</t>
  </si>
  <si>
    <t>Predicted Res</t>
  </si>
  <si>
    <t>Cov EY</t>
  </si>
  <si>
    <t>VarX</t>
  </si>
  <si>
    <t>Var Y</t>
  </si>
  <si>
    <t>E (Y^2)</t>
  </si>
  <si>
    <t>(EY)^2</t>
  </si>
  <si>
    <t>Cor Coef</t>
  </si>
  <si>
    <t>Y^2</t>
  </si>
  <si>
    <t>Reserve Predicted Based On Backlog</t>
  </si>
  <si>
    <t>Current Month Backlog</t>
  </si>
  <si>
    <t>Multiplier (m)</t>
  </si>
  <si>
    <t>Intercept (b)</t>
  </si>
  <si>
    <t>Predicted Reserve</t>
  </si>
  <si>
    <t>Change In Membership Factor</t>
  </si>
  <si>
    <t xml:space="preserve">  Current Month Membership</t>
  </si>
  <si>
    <t xml:space="preserve">  Two Months Prior</t>
  </si>
  <si>
    <t xml:space="preserve">  Ratio</t>
  </si>
  <si>
    <t>Adjusted Backlog Reserve</t>
  </si>
  <si>
    <t>Correlation Coefficient</t>
  </si>
  <si>
    <t>Predictive Measures Based On Historic Data</t>
  </si>
  <si>
    <t>Reserve Predicted By Claim Backlog Analysis</t>
  </si>
  <si>
    <t>Predictor Based On Y= mX + b</t>
  </si>
  <si>
    <t>Print Reserve Estimate By Backlog Method</t>
  </si>
  <si>
    <t>Reported Backlog vs. Hindsight Estimates</t>
  </si>
  <si>
    <t>Where X = Reported Backlog; Y = Estimated IBNR</t>
  </si>
  <si>
    <t>Number Of</t>
  </si>
  <si>
    <t>Measures</t>
  </si>
  <si>
    <t>Numb Meas</t>
  </si>
  <si>
    <t xml:space="preserve">    Benefit Adjustment</t>
  </si>
  <si>
    <t>TRANSPORT SECTION</t>
  </si>
  <si>
    <t>ACCUMULATED HISTORY SECTION</t>
  </si>
  <si>
    <t>Each time the operator Updates the program, the last month gets copied over to this section.</t>
  </si>
  <si>
    <t>The User can combine this data with data from the Transport Section for expanded</t>
  </si>
  <si>
    <t/>
  </si>
  <si>
    <t>Trend and Seasonality Studies, etc.</t>
  </si>
  <si>
    <t>Accumulated Claim History - Older than 36 Mos</t>
  </si>
  <si>
    <t>Set Print Size to 100% (Normal)</t>
  </si>
  <si>
    <t>Set Print Size to 95%</t>
  </si>
  <si>
    <t>Copy Transport Date (To Paste to Another Program)</t>
  </si>
  <si>
    <t>IBNR Data</t>
  </si>
  <si>
    <t>Add comments on Fee Schedule changes to this column.</t>
  </si>
  <si>
    <t>Even Smaller Labels</t>
  </si>
  <si>
    <t>Hindsight Reserve Estimates</t>
  </si>
  <si>
    <t>Reinsurance</t>
  </si>
  <si>
    <t>x i</t>
  </si>
  <si>
    <t>= j</t>
  </si>
  <si>
    <t>x   k</t>
  </si>
  <si>
    <t>=   l</t>
  </si>
  <si>
    <t>Last 6 - Remove High/Low</t>
  </si>
  <si>
    <t>Last 6 - Rem High/Low</t>
  </si>
  <si>
    <t xml:space="preserve">   Adjusted Completion Factors - Sorted Lag Factors</t>
  </si>
  <si>
    <t>Development of Completion Factors - Unsorted Lag Factors</t>
  </si>
  <si>
    <t>Development of Completion Factors - Sorted Lag Factors</t>
  </si>
  <si>
    <t>Sort Lag Factors</t>
  </si>
  <si>
    <t>6 Month Method - Remove High/Low</t>
  </si>
  <si>
    <t>Sorted Lag Factors - 3 Month Method</t>
  </si>
  <si>
    <t>Sorted Lag Factors - 6 Month Method</t>
  </si>
  <si>
    <t>Sorted Lag Factors - 6 Month Method - Remove High/Low</t>
  </si>
  <si>
    <t>Sorted Lag Factors - 12 Month Method</t>
  </si>
  <si>
    <t>Sorted Lag Factors - 12 Month Method - Remove High/Low</t>
  </si>
  <si>
    <t>Sorted Lag Factors - All Data Method</t>
  </si>
  <si>
    <t>Column to Choose</t>
  </si>
  <si>
    <t>Black and White Charts</t>
  </si>
  <si>
    <t>Range Names:</t>
  </si>
  <si>
    <t>SmChartsColor</t>
  </si>
  <si>
    <t>SmChartsBW</t>
  </si>
  <si>
    <t>Charts - Small</t>
  </si>
  <si>
    <t>Print Color - Small Charts</t>
  </si>
  <si>
    <t>Print Standard Exhibits + Color Small Charts</t>
  </si>
  <si>
    <t>Chart Data</t>
  </si>
  <si>
    <t>Hindsight IBNR</t>
  </si>
  <si>
    <t>Exhibit IV</t>
  </si>
  <si>
    <t>Exhibit VII</t>
  </si>
  <si>
    <t>Exhibit BL</t>
  </si>
  <si>
    <t>Exhibit SN</t>
  </si>
  <si>
    <t>Exhibit TR</t>
  </si>
  <si>
    <t>Exhibit TP</t>
  </si>
  <si>
    <t>Exhibit HS</t>
  </si>
  <si>
    <t>Exhibit PM</t>
  </si>
  <si>
    <t>Client Specific based on 1st Iteration of Summit Specific Data</t>
  </si>
  <si>
    <t>Using Data through Dec 31, 2004</t>
  </si>
  <si>
    <t>Backlog Method - Reserve Estimate Reasonableness Check</t>
  </si>
  <si>
    <t>Estimated Cost/Claim - Current Month</t>
  </si>
  <si>
    <t>(Enter $1 if Backlog Based on Dollars Instead of Claim Count)</t>
  </si>
  <si>
    <t>Cost Per</t>
  </si>
  <si>
    <t>Claim</t>
  </si>
  <si>
    <t>Dollar</t>
  </si>
  <si>
    <t>Minumum</t>
  </si>
  <si>
    <t>History of Developed Client Specific Seasonality Factors</t>
  </si>
  <si>
    <t>Record of Results Leading to Suggested Client Specific Factors</t>
  </si>
  <si>
    <t>or more</t>
  </si>
  <si>
    <t>Factor to</t>
  </si>
  <si>
    <t>Seasonality</t>
  </si>
  <si>
    <t>PMPM to</t>
  </si>
  <si>
    <t>Current Mo</t>
  </si>
  <si>
    <r>
      <t xml:space="preserve">Fee Schedule Changes - Adjustments for PMPM Initial Estimates - </t>
    </r>
    <r>
      <rPr>
        <b/>
        <sz val="8"/>
        <rFont val="Arial"/>
        <family val="2"/>
      </rPr>
      <t>from earliest date forward</t>
    </r>
  </si>
  <si>
    <t>Notes:</t>
  </si>
  <si>
    <t xml:space="preserve">1. Included PMPMs with completion factor of </t>
  </si>
  <si>
    <t>2. Selected annual trend factor:</t>
  </si>
  <si>
    <t>3. Seasonality factor selected:</t>
  </si>
  <si>
    <t>4. Benefit factors come from the PMPM exhibit</t>
  </si>
  <si>
    <t>Factor (3)</t>
  </si>
  <si>
    <t>Trend (2)</t>
  </si>
  <si>
    <t>PMPM (1)</t>
  </si>
  <si>
    <t>Factor (4)</t>
  </si>
  <si>
    <t>(A)</t>
  </si>
  <si>
    <t>(B)</t>
  </si>
  <si>
    <t>(C)</t>
  </si>
  <si>
    <t>(D)</t>
  </si>
  <si>
    <t>(E)</t>
  </si>
  <si>
    <r>
      <t xml:space="preserve">5. Formula to adjust PMPMs to current month (E) = (A) x (B) </t>
    </r>
    <r>
      <rPr>
        <sz val="8"/>
        <rFont val="Times New Roman"/>
        <family val="1"/>
      </rPr>
      <t>÷</t>
    </r>
    <r>
      <rPr>
        <sz val="8"/>
        <rFont val="Arial"/>
        <family val="2"/>
      </rPr>
      <t xml:space="preserve"> (C) x (C for current month) x (D)</t>
    </r>
  </si>
  <si>
    <t>(F)</t>
  </si>
  <si>
    <t>Relative</t>
  </si>
  <si>
    <t>Tables of values to test</t>
  </si>
  <si>
    <t>First &gt;0</t>
  </si>
  <si>
    <t>Most recent</t>
  </si>
  <si>
    <t>6 mos</t>
  </si>
  <si>
    <t>12 mos</t>
  </si>
  <si>
    <t>18 mos</t>
  </si>
  <si>
    <t>24 mos</t>
  </si>
  <si>
    <t>Relative Factors Tested - Most Recent</t>
  </si>
  <si>
    <t>6 Months</t>
  </si>
  <si>
    <t>All Months</t>
  </si>
  <si>
    <t>Mean Factor</t>
  </si>
  <si>
    <t>Standard Deviation</t>
  </si>
  <si>
    <t>All Mos</t>
  </si>
  <si>
    <t>Provisions for Adverse Development (PAD) in IBNR</t>
  </si>
  <si>
    <t>Square of the quantity: value less the mean</t>
  </si>
  <si>
    <t>to</t>
  </si>
  <si>
    <t>Allowed Range Selected</t>
  </si>
  <si>
    <t>PAD Range from</t>
  </si>
  <si>
    <t>Provisions for Adverse Development (PAD) = Avg Stand Dev</t>
  </si>
  <si>
    <r>
      <t xml:space="preserve">Put </t>
    </r>
    <r>
      <rPr>
        <b/>
        <sz val="8"/>
        <color indexed="12"/>
        <rFont val="Arial"/>
        <family val="2"/>
      </rPr>
      <t>1</t>
    </r>
    <r>
      <rPr>
        <b/>
        <sz val="8"/>
        <rFont val="Arial"/>
        <family val="2"/>
      </rPr>
      <t xml:space="preserve"> to include Standard Deviation in PAD Average</t>
    </r>
  </si>
  <si>
    <t>(1 = .5 SD up or down, 2 = 1 SD up, .5 SD</t>
  </si>
  <si>
    <t xml:space="preserve">     down, 3 = 1 SD up or down, 4 = 2 SD up, 1 SD down)</t>
  </si>
  <si>
    <t>Probability of being in the PAD range:</t>
  </si>
  <si>
    <t xml:space="preserve">relied upon the client to provide </t>
  </si>
  <si>
    <t>complete and accurate information.</t>
  </si>
  <si>
    <t xml:space="preserve">These IBNR estimates are based on </t>
  </si>
  <si>
    <t>incurred claim estimates that will</t>
  </si>
  <si>
    <t>change (up or down) as more data</t>
  </si>
  <si>
    <t>becomes available.</t>
  </si>
  <si>
    <t>PAD - Provision for Adverse Development</t>
  </si>
  <si>
    <t>Print PAD Exhibit</t>
  </si>
  <si>
    <t>Note:</t>
  </si>
  <si>
    <t>Use these sections to document the development of</t>
  </si>
  <si>
    <t>client specific seasonality. Range value the results</t>
  </si>
  <si>
    <t>to this spot (and additional spots to the right) before</t>
  </si>
  <si>
    <t>actually using the new client specific seasonality.</t>
  </si>
  <si>
    <t>7-12 mos</t>
  </si>
  <si>
    <t>13-18 mos</t>
  </si>
  <si>
    <t>19-24 mos</t>
  </si>
  <si>
    <t>7-12 Months</t>
  </si>
  <si>
    <t>13-18 Months</t>
  </si>
  <si>
    <t>19-24 Months</t>
  </si>
  <si>
    <t>Day Month</t>
  </si>
  <si>
    <t>Table of Work Days in Month by Total Days</t>
  </si>
  <si>
    <t>Day</t>
  </si>
  <si>
    <t>Begins</t>
  </si>
  <si>
    <t>Mon</t>
  </si>
  <si>
    <t>Tue</t>
  </si>
  <si>
    <t>Wed</t>
  </si>
  <si>
    <t>Thu</t>
  </si>
  <si>
    <t>Fri</t>
  </si>
  <si>
    <t>Sat</t>
  </si>
  <si>
    <t>Sun</t>
  </si>
  <si>
    <t>Days in</t>
  </si>
  <si>
    <t>month</t>
  </si>
  <si>
    <t>Workdays</t>
  </si>
  <si>
    <t>no Holidays</t>
  </si>
  <si>
    <t>Holidays Adjustment</t>
  </si>
  <si>
    <t>Memorial Day</t>
  </si>
  <si>
    <t>Thanksgiving &amp; day after</t>
  </si>
  <si>
    <t>Christmas</t>
  </si>
  <si>
    <t>Extra</t>
  </si>
  <si>
    <t>w/ Holidays</t>
  </si>
  <si>
    <t>(sorted)</t>
  </si>
  <si>
    <t>Incurred /</t>
  </si>
  <si>
    <t>Day / Mem</t>
  </si>
  <si>
    <t>in Month</t>
  </si>
  <si>
    <t>Seasonality, Benefit adjustments? Or use to develop trend &amp; seasonality?</t>
  </si>
  <si>
    <t>Labor Day</t>
  </si>
  <si>
    <t>New Years</t>
  </si>
  <si>
    <t>PmPD</t>
  </si>
  <si>
    <t>Sample IBNR Calculations - Larimer &amp; Wolf Consulting Actuaries</t>
  </si>
  <si>
    <t>C F Larimer Consulting, LLC</t>
  </si>
  <si>
    <t>has not audited this data; we have</t>
  </si>
  <si>
    <t>Exhibit II</t>
  </si>
  <si>
    <t>Reverse Order</t>
  </si>
  <si>
    <t>Pattern Used</t>
  </si>
  <si>
    <t>IBNR Hindsight Analysis</t>
  </si>
  <si>
    <t>Number of</t>
  </si>
  <si>
    <t>Months of</t>
  </si>
  <si>
    <t>Restated as</t>
  </si>
  <si>
    <t>Quaterly Average</t>
  </si>
  <si>
    <t>Of Incurred Claims</t>
  </si>
  <si>
    <t>Margin</t>
  </si>
  <si>
    <t>Range Name: CompletionMin</t>
  </si>
  <si>
    <t>Minimum</t>
  </si>
  <si>
    <t>Charts - Small - Version 2</t>
  </si>
  <si>
    <t>New</t>
  </si>
  <si>
    <t>200 Original</t>
  </si>
  <si>
    <t>Remove</t>
  </si>
  <si>
    <t>Print PMPM + Final Reserve + B&amp;W Small Charts v2</t>
  </si>
  <si>
    <t>Print Standard Exhibits + Color Small Charts v2</t>
  </si>
  <si>
    <t>Print Standard Exhibits + B&amp;W Small Charts v 2</t>
  </si>
  <si>
    <t>200 New</t>
  </si>
  <si>
    <t>Print PMPM + Final Reserve + Color Small Charts v2</t>
  </si>
  <si>
    <t>Print PMPM + Final Reserve + Color Small Charts</t>
  </si>
  <si>
    <t>Original 300</t>
  </si>
  <si>
    <t>Add</t>
  </si>
  <si>
    <t>Print B&amp;W - Small Charts v2</t>
  </si>
  <si>
    <t>Print Color - Small Charts v2</t>
  </si>
  <si>
    <t>Months To Include</t>
  </si>
  <si>
    <t>Incurred Estimate For Study</t>
  </si>
  <si>
    <t>Coefficient</t>
  </si>
  <si>
    <t>Pecent Complete - By Study</t>
  </si>
  <si>
    <t>New Chart Names - Completion Factors</t>
  </si>
  <si>
    <t>Chart CF-Col</t>
  </si>
  <si>
    <t>Chart CF-Col-Q</t>
  </si>
  <si>
    <t>Chart CF-BW</t>
  </si>
  <si>
    <t>Chart CF-BW-Q</t>
  </si>
  <si>
    <t>Range Name: CompletionMax</t>
  </si>
  <si>
    <t>Delta</t>
  </si>
  <si>
    <t>Roun Recip</t>
  </si>
  <si>
    <t>Margin Lookups</t>
  </si>
  <si>
    <t>Round</t>
  </si>
  <si>
    <t>Rounder</t>
  </si>
  <si>
    <t>Lookup</t>
  </si>
  <si>
    <t>To</t>
  </si>
  <si>
    <t>Recip</t>
  </si>
  <si>
    <t>Method Completion Factors</t>
  </si>
  <si>
    <t>Quarterly Completion Factors</t>
  </si>
  <si>
    <t>For Method Comp Fx</t>
  </si>
  <si>
    <t>For Quarterly Comp Fx</t>
  </si>
  <si>
    <t>Range Name: CompletionMin2</t>
  </si>
  <si>
    <t>Range Name: CompletionMax2</t>
  </si>
  <si>
    <t>Round Recip</t>
  </si>
  <si>
    <t>Grid</t>
  </si>
  <si>
    <t>Range Name: CompletionGrid</t>
  </si>
  <si>
    <t>Range Name: CompletionGrid2</t>
  </si>
  <si>
    <t>Gridline</t>
  </si>
  <si>
    <t>Top</t>
  </si>
  <si>
    <t>Claims Adjusted by Removal of High Cost Claims</t>
  </si>
  <si>
    <t>Add Back</t>
  </si>
  <si>
    <t>Removed</t>
  </si>
  <si>
    <t>High Cost</t>
  </si>
  <si>
    <t>(SL Rem)</t>
  </si>
  <si>
    <t>SL Claims</t>
  </si>
  <si>
    <t>Based on Data Where High Cost Claims Removed</t>
  </si>
  <si>
    <t>Totals For</t>
  </si>
  <si>
    <t>Restatements</t>
  </si>
  <si>
    <t>Unpaid</t>
  </si>
  <si>
    <t>Total IBNR / LAE / PAD</t>
  </si>
  <si>
    <t>+ = Faster,  - = Slower by # Mos,  0.000 = No Adj</t>
  </si>
  <si>
    <t>Hindsight Reserve Estimate</t>
  </si>
  <si>
    <t>Exhibit I-HS</t>
  </si>
  <si>
    <t>Hindsight Reserve Date</t>
  </si>
  <si>
    <t>Sums for Hindsight IBNR Calculations</t>
  </si>
  <si>
    <t>Hindsight Mo</t>
  </si>
  <si>
    <t>-</t>
  </si>
  <si>
    <t>Testing:</t>
  </si>
  <si>
    <t>Claims Paid Through 12/31/2016</t>
  </si>
  <si>
    <t>Main IBNR</t>
  </si>
  <si>
    <t>Mo</t>
  </si>
  <si>
    <t>Invert Order - Used for Vlookup</t>
  </si>
  <si>
    <t>Following</t>
  </si>
  <si>
    <t>Amount Paid</t>
  </si>
  <si>
    <t>(a) Subtotal</t>
  </si>
  <si>
    <t>(b) Prior</t>
  </si>
  <si>
    <t>(c )=a + b</t>
  </si>
  <si>
    <t>(d) Prior</t>
  </si>
  <si>
    <t>(High Removed)</t>
  </si>
  <si>
    <t>(Inc High Cost Claims)</t>
  </si>
  <si>
    <t>Loss Adj Exp</t>
  </si>
  <si>
    <t>Prov Adv Dev</t>
  </si>
  <si>
    <t>Loss Adjustment Exp &amp; Provision for Adverse Development</t>
  </si>
  <si>
    <t>Hindsight IBNR - Multiple Months IBNRs</t>
  </si>
  <si>
    <t>Hindsight IBNR - Specific Month</t>
  </si>
  <si>
    <t>Member Months Input</t>
  </si>
  <si>
    <t>Print Hindsight - Specific Month</t>
  </si>
  <si>
    <t>Print Hindsight - Multiple Months IBNR</t>
  </si>
  <si>
    <t>Print Claim Data - Large Claim Adjustments</t>
  </si>
  <si>
    <t>Removal of Large Claims, If Any - Enter Adjustments as Negative Numbers</t>
  </si>
  <si>
    <t>Copyright (c) 2017 C F Larimer Consulting, LLC</t>
  </si>
  <si>
    <t>www.cflarimerconsulting.com</t>
  </si>
  <si>
    <t>our clients, including ARM</t>
  </si>
  <si>
    <t>Est</t>
  </si>
  <si>
    <t>Print Transport Section</t>
  </si>
  <si>
    <t>Exhibit VI</t>
  </si>
  <si>
    <t>Data Through Date</t>
  </si>
  <si>
    <t>Inc Mo</t>
  </si>
  <si>
    <t>Inc Mo + 1</t>
  </si>
  <si>
    <t>Inc Mo + 2</t>
  </si>
  <si>
    <t>Inc Mo + 3</t>
  </si>
  <si>
    <t>Inc Mo + 4</t>
  </si>
  <si>
    <t>Inc Mo + 5</t>
  </si>
  <si>
    <t>Inc Mo + 6</t>
  </si>
  <si>
    <t>Inc Mo + 7</t>
  </si>
  <si>
    <t>Inc Mo + 8</t>
  </si>
  <si>
    <t>Inc Mo + 9</t>
  </si>
  <si>
    <t>Inc Mo + 10</t>
  </si>
  <si>
    <t>Inc Mo + 11</t>
  </si>
  <si>
    <t>Inc Mo + 12</t>
  </si>
  <si>
    <t>Inc Mo + 13</t>
  </si>
  <si>
    <t>Inc Mo + 14</t>
  </si>
  <si>
    <t>Inc Mo + 15</t>
  </si>
  <si>
    <t>Inc Mo + 16</t>
  </si>
  <si>
    <t>Inc Mo + 17</t>
  </si>
  <si>
    <t>Inc Mo + 18</t>
  </si>
  <si>
    <t>Inc Mo + 19</t>
  </si>
  <si>
    <t>Inc Mo + 20</t>
  </si>
  <si>
    <t>Inc Mo + 21</t>
  </si>
  <si>
    <t>Inc Mo + 22</t>
  </si>
  <si>
    <t>Inc Mo + 23</t>
  </si>
  <si>
    <t>Calculations &amp; Counters For Rolling Average</t>
  </si>
  <si>
    <t>All Data - 6 Month Rolling Average</t>
  </si>
  <si>
    <t>Last 24 Months - 6 Month Rolling Average</t>
  </si>
  <si>
    <t>Last 18 Months - 6 Month Rolling Average</t>
  </si>
  <si>
    <t>Last 12 Months - 6 Month Rolling Average</t>
  </si>
  <si>
    <t>Bef &amp; Aft</t>
  </si>
  <si>
    <t>Least Square Calculations Based On 3 Month Rolling Averages &amp; 6 Month Rolling Averages</t>
  </si>
  <si>
    <t>Least Square Trends Through Rolling Averages</t>
  </si>
  <si>
    <t>Least Square Through</t>
  </si>
  <si>
    <t>3 Mo Rolling Averages</t>
  </si>
  <si>
    <t>6 Mo Rolling Averages</t>
  </si>
  <si>
    <t>Least square trend lines based on 3-month</t>
  </si>
  <si>
    <t>and 6-month rolling averages to temper fluctuations.</t>
  </si>
  <si>
    <t xml:space="preserve">    3 Mo Rolling</t>
  </si>
  <si>
    <t xml:space="preserve">    6 Mo Rolling</t>
  </si>
  <si>
    <t>24 Months - 3 Month Rolling Average (Exclude Last 2 Mos)</t>
  </si>
  <si>
    <t>18 Months - 3 Month Rolling Average (Exclude Last 2 Mos)</t>
  </si>
  <si>
    <t>12 Months - 3 Month Rolling Average (Exclude Last 2 Mos)</t>
  </si>
  <si>
    <t>Over 3 Mo Rolling Ave</t>
  </si>
  <si>
    <t>Over 6 Mo Rolling Ave</t>
  </si>
  <si>
    <t>Alternate Periods Through 3 Month and 6 Month Rolling Averages</t>
  </si>
  <si>
    <t>Beg Date</t>
  </si>
  <si>
    <t>End Date</t>
  </si>
  <si>
    <t>Variable Period - 3 Month Rolling Average</t>
  </si>
  <si>
    <t>Variable Period - 6 Month Rolling Average</t>
  </si>
  <si>
    <t>3 Month and 6 Month Rolling Averages</t>
  </si>
  <si>
    <t>Alternate Variable Periods Through</t>
  </si>
  <si>
    <t>Include/</t>
  </si>
  <si>
    <t>Exclude</t>
  </si>
  <si>
    <t>3 Month Rolling Average is 1 month before and 1 month after.</t>
  </si>
  <si>
    <t>6 Month Rolling Average is 3 months before and 2 months after.</t>
  </si>
  <si>
    <t>(Enter Dates Here)</t>
  </si>
  <si>
    <t>(Dates before Initial Data Date automatically excluded)</t>
  </si>
  <si>
    <t>(Dates after Ending Data Date automatically excluded)</t>
  </si>
  <si>
    <t>12 Months</t>
  </si>
  <si>
    <t>Lst Sq-All Data</t>
  </si>
  <si>
    <t>Lst Sq-18 Mo</t>
  </si>
  <si>
    <t>Lst Sq-12 Mo</t>
  </si>
  <si>
    <t>`</t>
  </si>
  <si>
    <t>Balanced Fx</t>
  </si>
  <si>
    <t>(On 6 Month Rolling Averages)</t>
  </si>
  <si>
    <t>Inc Mo + 24</t>
  </si>
  <si>
    <t>Inc Mo + 25</t>
  </si>
  <si>
    <t>Inc Mo + 26</t>
  </si>
  <si>
    <t>Inc Mo + 27</t>
  </si>
  <si>
    <t>Inc Mo + 28</t>
  </si>
  <si>
    <t>Inc Mo + 29</t>
  </si>
  <si>
    <t>Inc Mo + 30</t>
  </si>
  <si>
    <t>Inc Mo + 31</t>
  </si>
  <si>
    <t>Inc Mo + 32</t>
  </si>
  <si>
    <t>Inc Mo + 33</t>
  </si>
  <si>
    <t>Inc Mo + 34</t>
  </si>
  <si>
    <t>Inc Mo + 35</t>
  </si>
  <si>
    <t>Exhibit VIIIa</t>
  </si>
  <si>
    <t>Exhibit VIIIb</t>
  </si>
  <si>
    <t>Exhibit IXb</t>
  </si>
  <si>
    <t>Exhibit IXa</t>
  </si>
  <si>
    <t>Cell for Highlighting Rules</t>
  </si>
  <si>
    <t>Copyright © 2019</t>
  </si>
  <si>
    <t>Exhibit Ib</t>
  </si>
  <si>
    <t>Exhibit Ia</t>
  </si>
  <si>
    <t>Adj Current</t>
  </si>
  <si>
    <t>Claims Adj</t>
  </si>
  <si>
    <t>Cost Claims)</t>
  </si>
  <si>
    <t>(Inc High</t>
  </si>
  <si>
    <t>--</t>
  </si>
  <si>
    <t>Development of Historic Per Diem</t>
  </si>
  <si>
    <t>Working</t>
  </si>
  <si>
    <t>Allied Pacific (APC Commerical)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</si>
</sst>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43" formatCode="_(* #,##0.00_);_(* \(#,##0.00\);_(* &quot;-&quot;??_);_(@_)"/>
    <numFmt numFmtId="164" formatCode="dd\-mmm\-yy"/>
    <numFmt numFmtId="165" formatCode="#,##0.000_);\(#,##0.000\)"/>
    <numFmt numFmtId="166" formatCode="0.000"/>
    <numFmt numFmtId="167" formatCode="0.0%"/>
    <numFmt numFmtId="168" formatCode="0.00_)"/>
    <numFmt numFmtId="169" formatCode="mmm\-yy_)"/>
    <numFmt numFmtId="170" formatCode="dd\-mmm\-yy_)"/>
    <numFmt numFmtId="171" formatCode="&quot;$&quot;#,##0.00"/>
    <numFmt numFmtId="172" formatCode="0.000_)"/>
    <numFmt numFmtId="173" formatCode="0.0000_)"/>
    <numFmt numFmtId="174" formatCode="0.0"/>
    <numFmt numFmtId="175" formatCode="[$-409]mmm\-yy;@"/>
    <numFmt numFmtId="176" formatCode="&quot;$&quot;#,##0"/>
    <numFmt numFmtId="177" formatCode="[$$-409]#,##0.00"/>
    <numFmt numFmtId="178" formatCode="#,##0.000"/>
    <numFmt numFmtId="179" formatCode="m/d/yyyy;@"/>
    <numFmt numFmtId="180" formatCode="[$-409]d\-mmm\-yy;@"/>
    <numFmt numFmtId="181" formatCode="0_);\(0\)"/>
    <numFmt numFmtId="182" formatCode="yyyy"/>
    <numFmt numFmtId="183" formatCode="mm"/>
    <numFmt numFmtId="184" formatCode="_(* #,##0.000_);_(* \(#,##0.000\);_(* &quot;-&quot;??_);_(@_)"/>
    <numFmt numFmtId="185" formatCode="_(* #,##0_);_(* \(#,##0\);_(* &quot;-&quot;??_);_(@_)"/>
    <numFmt numFmtId="186" formatCode="_(* #,##0.0000_);_(* \(#,##0.0000\);_(* &quot;-&quot;??_);_(@_)"/>
    <numFmt numFmtId="187" formatCode="mm/dd/yy;@"/>
    <numFmt numFmtId="188" formatCode="0.0000"/>
    <numFmt numFmtId="189" formatCode="_(* #,##0.000000_);_(* \(#,##0.000000\);_(* &quot;-&quot;??_);_(@_)"/>
  </numFmts>
  <fonts count="48" x14ac:knownFonts="1">
    <font>
      <sz val="8"/>
      <name val="Arial"/>
    </font>
    <font>
      <sz val="8"/>
      <name val="Arial"/>
      <family val="2"/>
    </font>
    <font>
      <b/>
      <sz val="8"/>
      <name val="Arial"/>
      <family val="2"/>
    </font>
    <font>
      <sz val="8"/>
      <color indexed="39"/>
      <name val="Arial"/>
      <family val="2"/>
    </font>
    <font>
      <u/>
      <sz val="8"/>
      <name val="Arial"/>
      <family val="2"/>
    </font>
    <font>
      <sz val="8"/>
      <color indexed="12"/>
      <name val="Arial"/>
      <family val="2"/>
    </font>
    <font>
      <b/>
      <sz val="10"/>
      <color indexed="39"/>
      <name val="Arial"/>
      <family val="2"/>
    </font>
    <font>
      <sz val="8"/>
      <color indexed="10"/>
      <name val="Arial"/>
      <family val="2"/>
    </font>
    <font>
      <sz val="8"/>
      <name val="Arial"/>
      <family val="2"/>
    </font>
    <font>
      <u/>
      <sz val="8"/>
      <name val="Arial"/>
      <family val="2"/>
    </font>
    <font>
      <sz val="8"/>
      <color indexed="8"/>
      <name val="Arial"/>
      <family val="2"/>
    </font>
    <font>
      <b/>
      <sz val="10"/>
      <name val="Arial"/>
      <family val="2"/>
    </font>
    <font>
      <sz val="10"/>
      <color indexed="12"/>
      <name val="Courier"/>
      <family val="3"/>
    </font>
    <font>
      <b/>
      <sz val="8"/>
      <color indexed="12"/>
      <name val="Arial"/>
      <family val="2"/>
    </font>
    <font>
      <b/>
      <sz val="12"/>
      <name val="Arial"/>
      <family val="2"/>
    </font>
    <font>
      <b/>
      <sz val="8"/>
      <color indexed="10"/>
      <name val="Arial"/>
      <family val="2"/>
    </font>
    <font>
      <sz val="8"/>
      <color indexed="52"/>
      <name val="Arial"/>
      <family val="2"/>
    </font>
    <font>
      <b/>
      <sz val="2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20"/>
      <name val="Arial"/>
      <family val="2"/>
    </font>
    <font>
      <sz val="8"/>
      <color indexed="10"/>
      <name val="Arial"/>
      <family val="2"/>
    </font>
    <font>
      <sz val="8"/>
      <color indexed="5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8"/>
      <color indexed="39"/>
      <name val="Arial"/>
      <family val="2"/>
    </font>
    <font>
      <sz val="12"/>
      <name val="Arial"/>
      <family val="2"/>
    </font>
    <font>
      <u/>
      <sz val="10"/>
      <name val="Arial"/>
      <family val="2"/>
    </font>
    <font>
      <sz val="8"/>
      <name val="Arial"/>
      <family val="2"/>
    </font>
    <font>
      <sz val="6"/>
      <name val="Arial"/>
      <family val="2"/>
    </font>
    <font>
      <sz val="7"/>
      <name val="Arial"/>
      <family val="2"/>
    </font>
    <font>
      <u/>
      <sz val="7"/>
      <name val="Arial"/>
      <family val="2"/>
    </font>
    <font>
      <sz val="7"/>
      <color indexed="39"/>
      <name val="Arial"/>
      <family val="2"/>
    </font>
    <font>
      <sz val="8"/>
      <color indexed="12"/>
      <name val="Arial"/>
      <family val="2"/>
    </font>
    <font>
      <sz val="8"/>
      <name val="Times New Roman"/>
      <family val="1"/>
    </font>
    <font>
      <sz val="8"/>
      <color indexed="30"/>
      <name val="Arial"/>
      <family val="2"/>
    </font>
    <font>
      <sz val="8"/>
      <color indexed="10"/>
      <name val="Arial"/>
      <family val="2"/>
    </font>
    <font>
      <b/>
      <sz val="8"/>
      <color rgb="FFFF0000"/>
      <name val="Arial"/>
      <family val="2"/>
    </font>
    <font>
      <b/>
      <sz val="8"/>
      <color theme="3"/>
      <name val="Arial"/>
      <family val="2"/>
    </font>
    <font>
      <sz val="8"/>
      <color rgb="FF000000"/>
      <name val="Arial"/>
      <family val="2"/>
    </font>
    <font>
      <sz val="10"/>
      <color rgb="FF000000"/>
      <name val="Arial"/>
      <family val="2"/>
    </font>
    <font>
      <sz val="8"/>
      <color theme="9"/>
      <name val="Arial"/>
      <family val="2"/>
    </font>
    <font>
      <b/>
      <u/>
      <sz val="8"/>
      <name val="Arial"/>
      <family val="2"/>
    </font>
    <font>
      <b/>
      <sz val="8"/>
      <color indexed="39"/>
      <name val="Arial"/>
      <family val="2"/>
    </font>
    <font>
      <b/>
      <sz val="8"/>
      <color theme="8" tint="-0.249977111117893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</fills>
  <borders count="68">
    <border>
      <left/>
      <right/>
      <top/>
      <bottom/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/>
      <top/>
      <bottom/>
      <diagonal/>
    </border>
    <border>
      <left/>
      <right style="double">
        <color indexed="8"/>
      </right>
      <top/>
      <bottom/>
      <diagonal/>
    </border>
    <border>
      <left style="double">
        <color indexed="8"/>
      </left>
      <right/>
      <top/>
      <bottom style="double">
        <color indexed="8"/>
      </bottom>
      <diagonal/>
    </border>
    <border>
      <left/>
      <right/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8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8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</cellStyleXfs>
  <cellXfs count="634">
    <xf numFmtId="0" fontId="0" fillId="0" borderId="0" xfId="0"/>
    <xf numFmtId="0" fontId="0" fillId="0" borderId="0" xfId="0" quotePrefix="1" applyAlignment="1">
      <alignment horizontal="left"/>
    </xf>
    <xf numFmtId="0" fontId="0" fillId="0" borderId="0" xfId="0" applyAlignment="1">
      <alignment horizontal="center"/>
    </xf>
    <xf numFmtId="0" fontId="2" fillId="0" borderId="0" xfId="0" applyFont="1"/>
    <xf numFmtId="14" fontId="0" fillId="0" borderId="0" xfId="0" applyNumberFormat="1"/>
    <xf numFmtId="17" fontId="4" fillId="0" borderId="0" xfId="0" applyNumberFormat="1" applyFont="1" applyAlignment="1">
      <alignment horizontal="center"/>
    </xf>
    <xf numFmtId="37" fontId="5" fillId="0" borderId="1" xfId="0" applyNumberFormat="1" applyFont="1" applyBorder="1" applyProtection="1">
      <protection locked="0"/>
    </xf>
    <xf numFmtId="0" fontId="0" fillId="0" borderId="2" xfId="0" applyBorder="1"/>
    <xf numFmtId="0" fontId="4" fillId="0" borderId="0" xfId="0" applyFont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5" fontId="0" fillId="0" borderId="2" xfId="0" applyNumberFormat="1" applyBorder="1"/>
    <xf numFmtId="166" fontId="0" fillId="0" borderId="2" xfId="0" applyNumberFormat="1" applyBorder="1"/>
    <xf numFmtId="0" fontId="0" fillId="0" borderId="2" xfId="0" quotePrefix="1" applyBorder="1" applyAlignment="1">
      <alignment horizontal="left"/>
    </xf>
    <xf numFmtId="0" fontId="4" fillId="0" borderId="0" xfId="0" quotePrefix="1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6" xfId="0" applyBorder="1"/>
    <xf numFmtId="0" fontId="8" fillId="0" borderId="7" xfId="0" applyFont="1" applyBorder="1" applyAlignment="1">
      <alignment horizontal="center"/>
    </xf>
    <xf numFmtId="0" fontId="0" fillId="0" borderId="8" xfId="0" applyBorder="1"/>
    <xf numFmtId="0" fontId="4" fillId="0" borderId="9" xfId="0" applyFont="1" applyBorder="1" applyAlignment="1">
      <alignment horizontal="center"/>
    </xf>
    <xf numFmtId="0" fontId="4" fillId="0" borderId="10" xfId="0" quotePrefix="1" applyFont="1" applyBorder="1" applyAlignment="1">
      <alignment horizontal="center"/>
    </xf>
    <xf numFmtId="166" fontId="0" fillId="0" borderId="11" xfId="0" applyNumberFormat="1" applyBorder="1"/>
    <xf numFmtId="0" fontId="0" fillId="0" borderId="13" xfId="0" applyBorder="1"/>
    <xf numFmtId="166" fontId="0" fillId="0" borderId="14" xfId="0" applyNumberFormat="1" applyBorder="1"/>
    <xf numFmtId="0" fontId="0" fillId="0" borderId="15" xfId="0" applyBorder="1"/>
    <xf numFmtId="0" fontId="0" fillId="0" borderId="0" xfId="0" applyAlignment="1">
      <alignment horizontal="left"/>
    </xf>
    <xf numFmtId="0" fontId="9" fillId="0" borderId="0" xfId="0" applyFont="1" applyAlignment="1">
      <alignment horizontal="center"/>
    </xf>
    <xf numFmtId="0" fontId="0" fillId="0" borderId="1" xfId="0" applyBorder="1"/>
    <xf numFmtId="167" fontId="10" fillId="0" borderId="1" xfId="0" applyNumberFormat="1" applyFont="1" applyBorder="1" applyAlignment="1">
      <alignment horizontal="right"/>
    </xf>
    <xf numFmtId="168" fontId="0" fillId="0" borderId="1" xfId="0" applyNumberFormat="1" applyBorder="1"/>
    <xf numFmtId="166" fontId="0" fillId="0" borderId="12" xfId="0" applyNumberFormat="1" applyBorder="1"/>
    <xf numFmtId="0" fontId="11" fillId="0" borderId="0" xfId="0" applyFont="1"/>
    <xf numFmtId="37" fontId="0" fillId="0" borderId="1" xfId="0" applyNumberFormat="1" applyBorder="1"/>
    <xf numFmtId="5" fontId="5" fillId="0" borderId="1" xfId="0" applyNumberFormat="1" applyFont="1" applyBorder="1" applyProtection="1">
      <protection locked="0"/>
    </xf>
    <xf numFmtId="0" fontId="0" fillId="0" borderId="0" xfId="0" quotePrefix="1" applyAlignment="1">
      <alignment horizontal="center"/>
    </xf>
    <xf numFmtId="14" fontId="4" fillId="0" borderId="0" xfId="0" applyNumberFormat="1" applyFont="1" applyAlignment="1">
      <alignment horizontal="center"/>
    </xf>
    <xf numFmtId="14" fontId="4" fillId="0" borderId="0" xfId="0" applyNumberFormat="1" applyFont="1"/>
    <xf numFmtId="17" fontId="0" fillId="0" borderId="2" xfId="0" applyNumberFormat="1" applyBorder="1" applyAlignment="1">
      <alignment horizontal="left"/>
    </xf>
    <xf numFmtId="37" fontId="0" fillId="0" borderId="2" xfId="0" applyNumberFormat="1" applyBorder="1"/>
    <xf numFmtId="169" fontId="0" fillId="0" borderId="0" xfId="0" applyNumberFormat="1"/>
    <xf numFmtId="5" fontId="0" fillId="0" borderId="0" xfId="0" applyNumberFormat="1"/>
    <xf numFmtId="170" fontId="0" fillId="0" borderId="1" xfId="0" applyNumberFormat="1" applyBorder="1"/>
    <xf numFmtId="0" fontId="13" fillId="0" borderId="1" xfId="0" applyFont="1" applyBorder="1" applyAlignment="1" applyProtection="1">
      <alignment horizontal="left"/>
      <protection locked="0"/>
    </xf>
    <xf numFmtId="0" fontId="13" fillId="0" borderId="1" xfId="0" applyFont="1" applyBorder="1" applyAlignment="1" applyProtection="1">
      <alignment horizontal="right"/>
      <protection locked="0"/>
    </xf>
    <xf numFmtId="0" fontId="0" fillId="0" borderId="0" xfId="0" applyAlignment="1">
      <alignment horizontal="right"/>
    </xf>
    <xf numFmtId="170" fontId="0" fillId="0" borderId="0" xfId="0" applyNumberFormat="1"/>
    <xf numFmtId="170" fontId="9" fillId="0" borderId="0" xfId="0" applyNumberFormat="1" applyFont="1" applyAlignment="1">
      <alignment horizontal="center"/>
    </xf>
    <xf numFmtId="0" fontId="9" fillId="0" borderId="0" xfId="0" applyFont="1"/>
    <xf numFmtId="37" fontId="0" fillId="0" borderId="0" xfId="0" applyNumberFormat="1"/>
    <xf numFmtId="169" fontId="0" fillId="0" borderId="1" xfId="0" applyNumberFormat="1" applyBorder="1" applyAlignment="1">
      <alignment horizontal="center"/>
    </xf>
    <xf numFmtId="5" fontId="0" fillId="0" borderId="1" xfId="0" applyNumberFormat="1" applyBorder="1"/>
    <xf numFmtId="7" fontId="0" fillId="0" borderId="1" xfId="0" applyNumberFormat="1" applyBorder="1"/>
    <xf numFmtId="167" fontId="0" fillId="0" borderId="1" xfId="0" applyNumberFormat="1" applyBorder="1" applyAlignment="1">
      <alignment horizontal="right"/>
    </xf>
    <xf numFmtId="0" fontId="0" fillId="0" borderId="1" xfId="0" applyBorder="1" applyAlignment="1">
      <alignment horizontal="center"/>
    </xf>
    <xf numFmtId="5" fontId="12" fillId="0" borderId="0" xfId="0" applyNumberFormat="1" applyFont="1" applyProtection="1">
      <protection locked="0"/>
    </xf>
    <xf numFmtId="0" fontId="0" fillId="0" borderId="1" xfId="0" applyBorder="1" applyAlignment="1">
      <alignment horizontal="right"/>
    </xf>
    <xf numFmtId="168" fontId="0" fillId="0" borderId="0" xfId="0" applyNumberFormat="1"/>
    <xf numFmtId="170" fontId="12" fillId="0" borderId="0" xfId="0" applyNumberFormat="1" applyFont="1" applyProtection="1">
      <protection locked="0"/>
    </xf>
    <xf numFmtId="5" fontId="9" fillId="0" borderId="0" xfId="0" applyNumberFormat="1" applyFont="1" applyAlignment="1">
      <alignment horizontal="center"/>
    </xf>
    <xf numFmtId="5" fontId="0" fillId="0" borderId="1" xfId="0" applyNumberFormat="1" applyBorder="1" applyAlignment="1">
      <alignment horizontal="right"/>
    </xf>
    <xf numFmtId="167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5" fontId="2" fillId="0" borderId="1" xfId="0" applyNumberFormat="1" applyFont="1" applyBorder="1"/>
    <xf numFmtId="7" fontId="0" fillId="0" borderId="0" xfId="0" applyNumberFormat="1"/>
    <xf numFmtId="167" fontId="0" fillId="0" borderId="0" xfId="0" applyNumberFormat="1"/>
    <xf numFmtId="0" fontId="12" fillId="0" borderId="0" xfId="0" applyFont="1" applyProtection="1">
      <protection locked="0"/>
    </xf>
    <xf numFmtId="0" fontId="9" fillId="0" borderId="0" xfId="0" applyFont="1" applyAlignment="1">
      <alignment horizontal="right"/>
    </xf>
    <xf numFmtId="167" fontId="0" fillId="0" borderId="1" xfId="0" applyNumberFormat="1" applyBorder="1"/>
    <xf numFmtId="164" fontId="8" fillId="0" borderId="2" xfId="0" quotePrefix="1" applyNumberFormat="1" applyFont="1" applyBorder="1" applyAlignment="1">
      <alignment horizontal="left"/>
    </xf>
    <xf numFmtId="17" fontId="4" fillId="0" borderId="0" xfId="0" quotePrefix="1" applyNumberFormat="1" applyFont="1" applyAlignment="1">
      <alignment horizontal="center"/>
    </xf>
    <xf numFmtId="171" fontId="0" fillId="0" borderId="2" xfId="0" applyNumberFormat="1" applyBorder="1"/>
    <xf numFmtId="167" fontId="0" fillId="0" borderId="0" xfId="0" applyNumberFormat="1" applyAlignment="1">
      <alignment horizontal="center"/>
    </xf>
    <xf numFmtId="172" fontId="0" fillId="0" borderId="1" xfId="0" applyNumberFormat="1" applyBorder="1"/>
    <xf numFmtId="172" fontId="0" fillId="0" borderId="0" xfId="0" applyNumberFormat="1"/>
    <xf numFmtId="0" fontId="0" fillId="0" borderId="16" xfId="0" applyBorder="1" applyAlignment="1">
      <alignment horizontal="centerContinuous"/>
    </xf>
    <xf numFmtId="0" fontId="0" fillId="0" borderId="17" xfId="0" applyBorder="1" applyAlignment="1">
      <alignment horizontal="centerContinuous"/>
    </xf>
    <xf numFmtId="0" fontId="0" fillId="0" borderId="18" xfId="0" applyBorder="1" applyAlignment="1">
      <alignment horizontal="centerContinuous"/>
    </xf>
    <xf numFmtId="0" fontId="0" fillId="0" borderId="19" xfId="0" applyBorder="1" applyAlignment="1">
      <alignment horizontal="centerContinuous"/>
    </xf>
    <xf numFmtId="0" fontId="0" fillId="0" borderId="20" xfId="0" applyBorder="1" applyAlignment="1">
      <alignment horizontal="centerContinuous"/>
    </xf>
    <xf numFmtId="0" fontId="0" fillId="0" borderId="21" xfId="0" applyBorder="1"/>
    <xf numFmtId="0" fontId="9" fillId="0" borderId="22" xfId="0" applyFont="1" applyBorder="1" applyAlignment="1">
      <alignment horizontal="center"/>
    </xf>
    <xf numFmtId="0" fontId="9" fillId="0" borderId="23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9" fontId="0" fillId="0" borderId="1" xfId="0" applyNumberFormat="1" applyBorder="1"/>
    <xf numFmtId="167" fontId="0" fillId="0" borderId="22" xfId="0" applyNumberFormat="1" applyBorder="1"/>
    <xf numFmtId="167" fontId="0" fillId="0" borderId="23" xfId="0" applyNumberFormat="1" applyBorder="1"/>
    <xf numFmtId="0" fontId="0" fillId="0" borderId="24" xfId="0" applyBorder="1"/>
    <xf numFmtId="167" fontId="0" fillId="0" borderId="25" xfId="0" applyNumberFormat="1" applyBorder="1"/>
    <xf numFmtId="0" fontId="0" fillId="0" borderId="26" xfId="0" applyBorder="1"/>
    <xf numFmtId="169" fontId="13" fillId="0" borderId="0" xfId="0" applyNumberFormat="1" applyFont="1" applyProtection="1">
      <protection locked="0"/>
    </xf>
    <xf numFmtId="167" fontId="13" fillId="0" borderId="0" xfId="0" applyNumberFormat="1" applyFont="1" applyProtection="1">
      <protection locked="0"/>
    </xf>
    <xf numFmtId="172" fontId="13" fillId="0" borderId="0" xfId="0" applyNumberFormat="1" applyFont="1" applyProtection="1">
      <protection locked="0"/>
    </xf>
    <xf numFmtId="172" fontId="0" fillId="0" borderId="2" xfId="0" applyNumberFormat="1" applyBorder="1"/>
    <xf numFmtId="172" fontId="13" fillId="0" borderId="2" xfId="0" applyNumberFormat="1" applyFont="1" applyBorder="1" applyProtection="1">
      <protection locked="0"/>
    </xf>
    <xf numFmtId="0" fontId="0" fillId="0" borderId="2" xfId="0" applyBorder="1" applyAlignment="1">
      <alignment horizontal="center"/>
    </xf>
    <xf numFmtId="172" fontId="0" fillId="0" borderId="4" xfId="0" applyNumberFormat="1" applyBorder="1"/>
    <xf numFmtId="164" fontId="0" fillId="0" borderId="0" xfId="0" applyNumberFormat="1"/>
    <xf numFmtId="0" fontId="8" fillId="0" borderId="0" xfId="0" applyFont="1"/>
    <xf numFmtId="0" fontId="8" fillId="0" borderId="0" xfId="0" quotePrefix="1" applyFont="1" applyAlignment="1">
      <alignment horizontal="center"/>
    </xf>
    <xf numFmtId="0" fontId="9" fillId="0" borderId="0" xfId="0" quotePrefix="1" applyFont="1" applyAlignment="1">
      <alignment horizontal="center"/>
    </xf>
    <xf numFmtId="5" fontId="3" fillId="0" borderId="1" xfId="0" applyNumberFormat="1" applyFont="1" applyBorder="1"/>
    <xf numFmtId="5" fontId="13" fillId="0" borderId="1" xfId="0" applyNumberFormat="1" applyFont="1" applyBorder="1" applyProtection="1">
      <protection locked="0"/>
    </xf>
    <xf numFmtId="37" fontId="0" fillId="0" borderId="0" xfId="0" applyNumberFormat="1" applyAlignment="1">
      <alignment horizontal="right"/>
    </xf>
    <xf numFmtId="173" fontId="13" fillId="0" borderId="1" xfId="0" applyNumberFormat="1" applyFont="1" applyBorder="1" applyProtection="1">
      <protection locked="0"/>
    </xf>
    <xf numFmtId="173" fontId="0" fillId="0" borderId="1" xfId="0" applyNumberFormat="1" applyBorder="1"/>
    <xf numFmtId="0" fontId="0" fillId="0" borderId="27" xfId="0" quotePrefix="1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9" xfId="0" quotePrefix="1" applyBorder="1" applyAlignment="1">
      <alignment horizontal="right"/>
    </xf>
    <xf numFmtId="5" fontId="0" fillId="0" borderId="30" xfId="0" applyNumberFormat="1" applyBorder="1" applyAlignment="1">
      <alignment horizontal="center"/>
    </xf>
    <xf numFmtId="170" fontId="0" fillId="0" borderId="2" xfId="0" applyNumberFormat="1" applyBorder="1"/>
    <xf numFmtId="0" fontId="15" fillId="0" borderId="0" xfId="0" applyFont="1"/>
    <xf numFmtId="169" fontId="0" fillId="0" borderId="2" xfId="0" applyNumberFormat="1" applyBorder="1"/>
    <xf numFmtId="5" fontId="7" fillId="0" borderId="1" xfId="0" applyNumberFormat="1" applyFont="1" applyBorder="1"/>
    <xf numFmtId="0" fontId="0" fillId="0" borderId="4" xfId="0" quotePrefix="1" applyBorder="1" applyAlignment="1">
      <alignment horizontal="left"/>
    </xf>
    <xf numFmtId="166" fontId="13" fillId="0" borderId="1" xfId="0" applyNumberFormat="1" applyFont="1" applyBorder="1" applyAlignment="1" applyProtection="1">
      <alignment horizontal="right"/>
      <protection locked="0"/>
    </xf>
    <xf numFmtId="169" fontId="9" fillId="0" borderId="0" xfId="0" applyNumberFormat="1" applyFont="1"/>
    <xf numFmtId="171" fontId="0" fillId="0" borderId="0" xfId="0" applyNumberFormat="1"/>
    <xf numFmtId="17" fontId="0" fillId="0" borderId="2" xfId="0" applyNumberFormat="1" applyBorder="1" applyAlignment="1">
      <alignment horizontal="center"/>
    </xf>
    <xf numFmtId="37" fontId="7" fillId="0" borderId="2" xfId="0" applyNumberFormat="1" applyFont="1" applyBorder="1"/>
    <xf numFmtId="37" fontId="16" fillId="0" borderId="2" xfId="0" applyNumberFormat="1" applyFont="1" applyBorder="1"/>
    <xf numFmtId="0" fontId="4" fillId="0" borderId="0" xfId="0" applyFont="1"/>
    <xf numFmtId="0" fontId="0" fillId="0" borderId="3" xfId="0" quotePrefix="1" applyBorder="1" applyAlignment="1">
      <alignment horizontal="left"/>
    </xf>
    <xf numFmtId="10" fontId="0" fillId="0" borderId="0" xfId="0" applyNumberFormat="1"/>
    <xf numFmtId="7" fontId="0" fillId="0" borderId="2" xfId="0" applyNumberFormat="1" applyBorder="1"/>
    <xf numFmtId="174" fontId="0" fillId="0" borderId="2" xfId="0" applyNumberFormat="1" applyBorder="1"/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171" fontId="7" fillId="0" borderId="2" xfId="0" applyNumberFormat="1" applyFont="1" applyBorder="1"/>
    <xf numFmtId="1" fontId="0" fillId="0" borderId="2" xfId="0" applyNumberFormat="1" applyBorder="1" applyAlignment="1">
      <alignment horizontal="center"/>
    </xf>
    <xf numFmtId="49" fontId="0" fillId="0" borderId="2" xfId="0" applyNumberFormat="1" applyBorder="1" applyAlignment="1">
      <alignment horizontal="center"/>
    </xf>
    <xf numFmtId="49" fontId="0" fillId="0" borderId="2" xfId="0" quotePrefix="1" applyNumberFormat="1" applyBorder="1" applyAlignment="1">
      <alignment horizontal="left"/>
    </xf>
    <xf numFmtId="0" fontId="3" fillId="0" borderId="0" xfId="0" quotePrefix="1" applyFont="1" applyAlignment="1">
      <alignment horizontal="right"/>
    </xf>
    <xf numFmtId="0" fontId="3" fillId="0" borderId="0" xfId="0" applyFont="1" applyAlignment="1">
      <alignment horizontal="right"/>
    </xf>
    <xf numFmtId="0" fontId="0" fillId="0" borderId="3" xfId="0" quotePrefix="1" applyBorder="1" applyAlignment="1">
      <alignment horizontal="right"/>
    </xf>
    <xf numFmtId="164" fontId="0" fillId="0" borderId="1" xfId="0" applyNumberFormat="1" applyBorder="1"/>
    <xf numFmtId="17" fontId="0" fillId="0" borderId="0" xfId="0" applyNumberFormat="1"/>
    <xf numFmtId="0" fontId="14" fillId="0" borderId="0" xfId="0" quotePrefix="1" applyFont="1" applyAlignment="1">
      <alignment horizontal="left"/>
    </xf>
    <xf numFmtId="166" fontId="0" fillId="0" borderId="0" xfId="0" applyNumberFormat="1"/>
    <xf numFmtId="0" fontId="17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0" fontId="19" fillId="0" borderId="0" xfId="0" quotePrefix="1" applyFont="1" applyAlignment="1">
      <alignment horizontal="center"/>
    </xf>
    <xf numFmtId="0" fontId="20" fillId="0" borderId="0" xfId="0" applyFont="1"/>
    <xf numFmtId="0" fontId="0" fillId="0" borderId="1" xfId="0" quotePrefix="1" applyBorder="1" applyAlignment="1">
      <alignment horizontal="left"/>
    </xf>
    <xf numFmtId="167" fontId="0" fillId="0" borderId="2" xfId="0" applyNumberFormat="1" applyBorder="1"/>
    <xf numFmtId="167" fontId="0" fillId="0" borderId="4" xfId="0" applyNumberFormat="1" applyBorder="1"/>
    <xf numFmtId="169" fontId="1" fillId="0" borderId="2" xfId="0" applyNumberFormat="1" applyFont="1" applyBorder="1"/>
    <xf numFmtId="169" fontId="1" fillId="0" borderId="4" xfId="0" applyNumberFormat="1" applyFont="1" applyBorder="1"/>
    <xf numFmtId="37" fontId="0" fillId="0" borderId="4" xfId="0" applyNumberFormat="1" applyBorder="1"/>
    <xf numFmtId="2" fontId="0" fillId="0" borderId="0" xfId="0" applyNumberFormat="1"/>
    <xf numFmtId="175" fontId="0" fillId="0" borderId="0" xfId="0" applyNumberFormat="1"/>
    <xf numFmtId="3" fontId="0" fillId="0" borderId="0" xfId="0" applyNumberFormat="1"/>
    <xf numFmtId="5" fontId="21" fillId="0" borderId="0" xfId="0" applyNumberFormat="1" applyFont="1"/>
    <xf numFmtId="176" fontId="0" fillId="0" borderId="0" xfId="0" applyNumberFormat="1"/>
    <xf numFmtId="37" fontId="22" fillId="0" borderId="0" xfId="0" applyNumberFormat="1" applyFont="1"/>
    <xf numFmtId="176" fontId="0" fillId="0" borderId="2" xfId="0" applyNumberFormat="1" applyBorder="1"/>
    <xf numFmtId="176" fontId="7" fillId="0" borderId="2" xfId="0" applyNumberFormat="1" applyFont="1" applyBorder="1"/>
    <xf numFmtId="164" fontId="8" fillId="0" borderId="2" xfId="0" quotePrefix="1" applyNumberFormat="1" applyFont="1" applyBorder="1" applyAlignment="1">
      <alignment horizontal="right"/>
    </xf>
    <xf numFmtId="0" fontId="2" fillId="0" borderId="0" xfId="0" applyFont="1" applyAlignment="1">
      <alignment horizontal="right"/>
    </xf>
    <xf numFmtId="10" fontId="5" fillId="0" borderId="1" xfId="0" applyNumberFormat="1" applyFont="1" applyBorder="1" applyProtection="1">
      <protection locked="0"/>
    </xf>
    <xf numFmtId="0" fontId="9" fillId="0" borderId="0" xfId="0" applyFont="1" applyAlignment="1">
      <alignment horizontal="left"/>
    </xf>
    <xf numFmtId="37" fontId="5" fillId="0" borderId="2" xfId="0" applyNumberFormat="1" applyFont="1" applyBorder="1" applyProtection="1">
      <protection locked="0"/>
    </xf>
    <xf numFmtId="37" fontId="10" fillId="0" borderId="1" xfId="0" applyNumberFormat="1" applyFont="1" applyBorder="1" applyProtection="1">
      <protection locked="0"/>
    </xf>
    <xf numFmtId="0" fontId="6" fillId="0" borderId="0" xfId="0" applyFont="1" applyAlignment="1">
      <alignment horizontal="left"/>
    </xf>
    <xf numFmtId="0" fontId="2" fillId="0" borderId="16" xfId="0" applyFont="1" applyBorder="1" applyAlignment="1">
      <alignment horizontal="centerContinuous"/>
    </xf>
    <xf numFmtId="0" fontId="2" fillId="0" borderId="17" xfId="0" applyFont="1" applyBorder="1" applyAlignment="1">
      <alignment horizontal="centerContinuous"/>
    </xf>
    <xf numFmtId="0" fontId="2" fillId="0" borderId="18" xfId="0" applyFont="1" applyBorder="1" applyAlignment="1">
      <alignment horizontal="centerContinuous"/>
    </xf>
    <xf numFmtId="168" fontId="0" fillId="0" borderId="1" xfId="0" quotePrefix="1" applyNumberFormat="1" applyBorder="1" applyAlignment="1">
      <alignment horizontal="left"/>
    </xf>
    <xf numFmtId="0" fontId="8" fillId="0" borderId="4" xfId="0" applyFont="1" applyBorder="1"/>
    <xf numFmtId="0" fontId="21" fillId="0" borderId="0" xfId="0" applyFont="1"/>
    <xf numFmtId="166" fontId="21" fillId="0" borderId="0" xfId="0" applyNumberFormat="1" applyFont="1"/>
    <xf numFmtId="0" fontId="3" fillId="0" borderId="0" xfId="0" quotePrefix="1" applyFont="1" applyAlignment="1" applyProtection="1">
      <alignment horizontal="right"/>
      <protection locked="0"/>
    </xf>
    <xf numFmtId="0" fontId="3" fillId="0" borderId="0" xfId="0" applyFont="1" applyAlignment="1" applyProtection="1">
      <alignment horizontal="right"/>
      <protection locked="0"/>
    </xf>
    <xf numFmtId="37" fontId="8" fillId="0" borderId="1" xfId="0" applyNumberFormat="1" applyFont="1" applyBorder="1"/>
    <xf numFmtId="165" fontId="8" fillId="0" borderId="1" xfId="0" applyNumberFormat="1" applyFont="1" applyBorder="1"/>
    <xf numFmtId="0" fontId="0" fillId="0" borderId="0" xfId="0" applyProtection="1">
      <protection locked="0"/>
    </xf>
    <xf numFmtId="5" fontId="3" fillId="0" borderId="1" xfId="0" applyNumberFormat="1" applyFont="1" applyBorder="1" applyProtection="1">
      <protection locked="0"/>
    </xf>
    <xf numFmtId="5" fontId="0" fillId="0" borderId="1" xfId="0" applyNumberFormat="1" applyBorder="1" applyProtection="1">
      <protection locked="0"/>
    </xf>
    <xf numFmtId="0" fontId="2" fillId="0" borderId="0" xfId="0" applyFont="1" applyProtection="1">
      <protection locked="0"/>
    </xf>
    <xf numFmtId="169" fontId="2" fillId="0" borderId="0" xfId="0" applyNumberFormat="1" applyFont="1" applyProtection="1">
      <protection locked="0"/>
    </xf>
    <xf numFmtId="17" fontId="0" fillId="0" borderId="2" xfId="0" applyNumberFormat="1" applyBorder="1" applyAlignment="1" applyProtection="1">
      <alignment horizontal="left"/>
      <protection locked="0"/>
    </xf>
    <xf numFmtId="0" fontId="0" fillId="0" borderId="4" xfId="0" applyBorder="1" applyProtection="1">
      <protection locked="0"/>
    </xf>
    <xf numFmtId="17" fontId="4" fillId="0" borderId="0" xfId="0" quotePrefix="1" applyNumberFormat="1" applyFont="1" applyAlignment="1" applyProtection="1">
      <alignment horizontal="center"/>
      <protection locked="0"/>
    </xf>
    <xf numFmtId="17" fontId="4" fillId="0" borderId="0" xfId="0" applyNumberFormat="1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69" fontId="0" fillId="0" borderId="1" xfId="0" applyNumberFormat="1" applyBorder="1" applyAlignment="1" applyProtection="1">
      <alignment horizontal="center"/>
      <protection locked="0"/>
    </xf>
    <xf numFmtId="172" fontId="0" fillId="0" borderId="1" xfId="0" applyNumberFormat="1" applyBorder="1" applyProtection="1">
      <protection locked="0"/>
    </xf>
    <xf numFmtId="7" fontId="0" fillId="0" borderId="1" xfId="0" applyNumberFormat="1" applyBorder="1" applyProtection="1">
      <protection locked="0"/>
    </xf>
    <xf numFmtId="9" fontId="3" fillId="0" borderId="1" xfId="0" applyNumberFormat="1" applyFont="1" applyBorder="1" applyProtection="1">
      <protection locked="0"/>
    </xf>
    <xf numFmtId="167" fontId="3" fillId="0" borderId="2" xfId="0" applyNumberFormat="1" applyFont="1" applyBorder="1" applyProtection="1">
      <protection locked="0"/>
    </xf>
    <xf numFmtId="0" fontId="0" fillId="0" borderId="27" xfId="0" applyBorder="1"/>
    <xf numFmtId="0" fontId="0" fillId="0" borderId="31" xfId="0" applyBorder="1"/>
    <xf numFmtId="0" fontId="25" fillId="0" borderId="31" xfId="0" applyFont="1" applyBorder="1"/>
    <xf numFmtId="0" fontId="0" fillId="0" borderId="28" xfId="0" applyBorder="1"/>
    <xf numFmtId="0" fontId="0" fillId="0" borderId="32" xfId="0" applyBorder="1"/>
    <xf numFmtId="0" fontId="11" fillId="0" borderId="0" xfId="0" quotePrefix="1" applyFont="1" applyAlignment="1">
      <alignment horizontal="left"/>
    </xf>
    <xf numFmtId="0" fontId="25" fillId="0" borderId="0" xfId="0" applyFont="1"/>
    <xf numFmtId="0" fontId="0" fillId="0" borderId="33" xfId="0" applyBorder="1"/>
    <xf numFmtId="0" fontId="25" fillId="0" borderId="0" xfId="0" applyFont="1" applyAlignment="1">
      <alignment horizontal="left"/>
    </xf>
    <xf numFmtId="0" fontId="25" fillId="0" borderId="0" xfId="0" quotePrefix="1" applyFont="1" applyAlignment="1">
      <alignment horizontal="left"/>
    </xf>
    <xf numFmtId="0" fontId="0" fillId="0" borderId="29" xfId="0" applyBorder="1"/>
    <xf numFmtId="0" fontId="0" fillId="0" borderId="30" xfId="0" applyBorder="1"/>
    <xf numFmtId="9" fontId="12" fillId="0" borderId="0" xfId="0" applyNumberFormat="1" applyFont="1" applyProtection="1">
      <protection locked="0"/>
    </xf>
    <xf numFmtId="5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quotePrefix="1" applyFont="1" applyAlignment="1">
      <alignment horizontal="right"/>
    </xf>
    <xf numFmtId="171" fontId="0" fillId="0" borderId="0" xfId="0" applyNumberFormat="1" applyProtection="1">
      <protection locked="0"/>
    </xf>
    <xf numFmtId="14" fontId="9" fillId="0" borderId="0" xfId="0" applyNumberFormat="1" applyFont="1" applyAlignment="1">
      <alignment horizontal="center"/>
    </xf>
    <xf numFmtId="37" fontId="5" fillId="0" borderId="0" xfId="0" applyNumberFormat="1" applyFont="1" applyProtection="1">
      <protection locked="0"/>
    </xf>
    <xf numFmtId="165" fontId="0" fillId="0" borderId="0" xfId="0" applyNumberFormat="1"/>
    <xf numFmtId="165" fontId="21" fillId="0" borderId="2" xfId="0" applyNumberFormat="1" applyFont="1" applyBorder="1"/>
    <xf numFmtId="166" fontId="21" fillId="0" borderId="11" xfId="0" applyNumberFormat="1" applyFont="1" applyBorder="1"/>
    <xf numFmtId="14" fontId="4" fillId="0" borderId="0" xfId="0" applyNumberFormat="1" applyFont="1" applyAlignment="1" applyProtection="1">
      <alignment horizontal="center"/>
      <protection locked="0"/>
    </xf>
    <xf numFmtId="14" fontId="0" fillId="0" borderId="0" xfId="0" applyNumberFormat="1" applyAlignment="1">
      <alignment horizontal="center"/>
    </xf>
    <xf numFmtId="0" fontId="0" fillId="0" borderId="4" xfId="0" applyBorder="1" applyAlignment="1">
      <alignment horizontal="right"/>
    </xf>
    <xf numFmtId="0" fontId="0" fillId="0" borderId="2" xfId="0" applyBorder="1" applyAlignment="1">
      <alignment horizontal="right"/>
    </xf>
    <xf numFmtId="169" fontId="0" fillId="0" borderId="0" xfId="0" applyNumberFormat="1" applyAlignment="1">
      <alignment horizontal="center"/>
    </xf>
    <xf numFmtId="170" fontId="26" fillId="0" borderId="4" xfId="0" applyNumberFormat="1" applyFont="1" applyBorder="1" applyProtection="1">
      <protection locked="0"/>
    </xf>
    <xf numFmtId="0" fontId="0" fillId="0" borderId="34" xfId="0" applyBorder="1"/>
    <xf numFmtId="170" fontId="0" fillId="0" borderId="34" xfId="0" applyNumberFormat="1" applyBorder="1"/>
    <xf numFmtId="5" fontId="0" fillId="0" borderId="34" xfId="0" applyNumberFormat="1" applyBorder="1"/>
    <xf numFmtId="169" fontId="0" fillId="0" borderId="3" xfId="0" applyNumberFormat="1" applyBorder="1"/>
    <xf numFmtId="0" fontId="1" fillId="0" borderId="4" xfId="0" quotePrefix="1" applyFont="1" applyBorder="1" applyAlignment="1">
      <alignment horizontal="center"/>
    </xf>
    <xf numFmtId="0" fontId="0" fillId="0" borderId="31" xfId="0" quotePrefix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4" xfId="0" applyFont="1" applyBorder="1" applyAlignment="1">
      <alignment horizontal="center"/>
    </xf>
    <xf numFmtId="0" fontId="0" fillId="0" borderId="5" xfId="0" applyBorder="1" applyProtection="1">
      <protection locked="0"/>
    </xf>
    <xf numFmtId="0" fontId="0" fillId="0" borderId="31" xfId="0" applyBorder="1" applyAlignment="1">
      <alignment horizontal="center"/>
    </xf>
    <xf numFmtId="0" fontId="1" fillId="0" borderId="0" xfId="0" applyFont="1" applyAlignment="1">
      <alignment horizontal="right"/>
    </xf>
    <xf numFmtId="177" fontId="1" fillId="0" borderId="0" xfId="0" applyNumberFormat="1" applyFont="1"/>
    <xf numFmtId="0" fontId="1" fillId="0" borderId="0" xfId="0" applyFont="1" applyAlignment="1">
      <alignment horizontal="centerContinuous"/>
    </xf>
    <xf numFmtId="9" fontId="1" fillId="0" borderId="0" xfId="0" applyNumberFormat="1" applyFont="1"/>
    <xf numFmtId="0" fontId="9" fillId="0" borderId="0" xfId="0" applyFont="1" applyAlignment="1">
      <alignment horizontal="centerContinuous"/>
    </xf>
    <xf numFmtId="166" fontId="1" fillId="0" borderId="0" xfId="0" applyNumberFormat="1" applyFont="1"/>
    <xf numFmtId="0" fontId="1" fillId="0" borderId="3" xfId="0" applyFont="1" applyBorder="1" applyAlignment="1">
      <alignment horizontal="centerContinuous"/>
    </xf>
    <xf numFmtId="0" fontId="1" fillId="0" borderId="4" xfId="0" applyFont="1" applyBorder="1" applyAlignment="1">
      <alignment horizontal="centerContinuous"/>
    </xf>
    <xf numFmtId="175" fontId="1" fillId="0" borderId="2" xfId="0" applyNumberFormat="1" applyFont="1" applyBorder="1" applyAlignment="1">
      <alignment horizontal="center"/>
    </xf>
    <xf numFmtId="171" fontId="1" fillId="0" borderId="2" xfId="0" applyNumberFormat="1" applyFont="1" applyBorder="1"/>
    <xf numFmtId="4" fontId="1" fillId="0" borderId="2" xfId="0" applyNumberFormat="1" applyFont="1" applyBorder="1"/>
    <xf numFmtId="175" fontId="1" fillId="0" borderId="4" xfId="0" applyNumberFormat="1" applyFont="1" applyBorder="1" applyAlignment="1">
      <alignment horizontal="center"/>
    </xf>
    <xf numFmtId="4" fontId="1" fillId="0" borderId="4" xfId="0" applyNumberFormat="1" applyFont="1" applyBorder="1"/>
    <xf numFmtId="177" fontId="1" fillId="0" borderId="2" xfId="0" applyNumberFormat="1" applyFont="1" applyBorder="1"/>
    <xf numFmtId="166" fontId="1" fillId="0" borderId="2" xfId="0" applyNumberFormat="1" applyFont="1" applyBorder="1"/>
    <xf numFmtId="177" fontId="1" fillId="0" borderId="4" xfId="0" applyNumberFormat="1" applyFont="1" applyBorder="1"/>
    <xf numFmtId="17" fontId="1" fillId="0" borderId="5" xfId="0" applyNumberFormat="1" applyFont="1" applyBorder="1" applyAlignment="1">
      <alignment horizontal="center"/>
    </xf>
    <xf numFmtId="0" fontId="1" fillId="0" borderId="0" xfId="0" quotePrefix="1" applyFont="1" applyAlignment="1">
      <alignment horizontal="left"/>
    </xf>
    <xf numFmtId="0" fontId="1" fillId="0" borderId="0" xfId="0" applyFont="1" applyAlignment="1">
      <alignment horizontal="left"/>
    </xf>
    <xf numFmtId="0" fontId="1" fillId="0" borderId="5" xfId="0" applyFont="1" applyBorder="1"/>
    <xf numFmtId="0" fontId="1" fillId="0" borderId="2" xfId="0" applyFont="1" applyBorder="1"/>
    <xf numFmtId="9" fontId="26" fillId="0" borderId="2" xfId="0" applyNumberFormat="1" applyFont="1" applyBorder="1"/>
    <xf numFmtId="0" fontId="1" fillId="0" borderId="0" xfId="0" quotePrefix="1" applyFont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 applyAlignment="1">
      <alignment horizontal="right"/>
    </xf>
    <xf numFmtId="0" fontId="1" fillId="0" borderId="9" xfId="0" applyFont="1" applyBorder="1" applyAlignment="1">
      <alignment horizontal="right"/>
    </xf>
    <xf numFmtId="166" fontId="1" fillId="0" borderId="9" xfId="0" applyNumberFormat="1" applyFont="1" applyBorder="1"/>
    <xf numFmtId="166" fontId="1" fillId="0" borderId="10" xfId="0" applyNumberFormat="1" applyFont="1" applyBorder="1"/>
    <xf numFmtId="0" fontId="1" fillId="0" borderId="10" xfId="0" applyFont="1" applyBorder="1"/>
    <xf numFmtId="166" fontId="1" fillId="0" borderId="13" xfId="0" applyNumberFormat="1" applyFont="1" applyBorder="1"/>
    <xf numFmtId="166" fontId="1" fillId="0" borderId="14" xfId="0" applyNumberFormat="1" applyFont="1" applyBorder="1"/>
    <xf numFmtId="0" fontId="1" fillId="0" borderId="14" xfId="0" applyFont="1" applyBorder="1"/>
    <xf numFmtId="0" fontId="1" fillId="0" borderId="15" xfId="0" applyFont="1" applyBorder="1"/>
    <xf numFmtId="166" fontId="1" fillId="0" borderId="2" xfId="0" applyNumberFormat="1" applyFont="1" applyBorder="1" applyAlignment="1">
      <alignment horizontal="center"/>
    </xf>
    <xf numFmtId="166" fontId="0" fillId="0" borderId="2" xfId="0" applyNumberFormat="1" applyBorder="1" applyAlignment="1">
      <alignment horizontal="center"/>
    </xf>
    <xf numFmtId="2" fontId="0" fillId="0" borderId="0" xfId="0" quotePrefix="1" applyNumberFormat="1"/>
    <xf numFmtId="0" fontId="28" fillId="0" borderId="0" xfId="0" applyFont="1" applyAlignment="1">
      <alignment horizontal="center"/>
    </xf>
    <xf numFmtId="0" fontId="27" fillId="0" borderId="0" xfId="0" quotePrefix="1" applyFont="1" applyAlignment="1">
      <alignment horizontal="left"/>
    </xf>
    <xf numFmtId="0" fontId="27" fillId="0" borderId="0" xfId="0" applyFont="1"/>
    <xf numFmtId="0" fontId="27" fillId="0" borderId="2" xfId="0" applyFont="1" applyBorder="1"/>
    <xf numFmtId="167" fontId="27" fillId="0" borderId="2" xfId="0" applyNumberFormat="1" applyFont="1" applyBorder="1"/>
    <xf numFmtId="167" fontId="27" fillId="0" borderId="4" xfId="0" applyNumberFormat="1" applyFont="1" applyBorder="1"/>
    <xf numFmtId="0" fontId="29" fillId="0" borderId="2" xfId="0" applyFont="1" applyBorder="1"/>
    <xf numFmtId="167" fontId="29" fillId="0" borderId="2" xfId="0" applyNumberFormat="1" applyFont="1" applyBorder="1"/>
    <xf numFmtId="167" fontId="29" fillId="0" borderId="4" xfId="0" applyNumberFormat="1" applyFont="1" applyBorder="1"/>
    <xf numFmtId="17" fontId="0" fillId="0" borderId="4" xfId="0" applyNumberFormat="1" applyBorder="1" applyAlignment="1">
      <alignment horizontal="center"/>
    </xf>
    <xf numFmtId="171" fontId="0" fillId="0" borderId="4" xfId="0" applyNumberFormat="1" applyBorder="1"/>
    <xf numFmtId="166" fontId="0" fillId="0" borderId="4" xfId="0" applyNumberFormat="1" applyBorder="1"/>
    <xf numFmtId="178" fontId="0" fillId="0" borderId="4" xfId="0" applyNumberFormat="1" applyBorder="1"/>
    <xf numFmtId="0" fontId="29" fillId="0" borderId="0" xfId="0" applyFont="1"/>
    <xf numFmtId="0" fontId="29" fillId="0" borderId="4" xfId="0" applyFont="1" applyBorder="1"/>
    <xf numFmtId="0" fontId="1" fillId="0" borderId="3" xfId="0" quotePrefix="1" applyFont="1" applyBorder="1" applyAlignment="1">
      <alignment horizontal="left"/>
    </xf>
    <xf numFmtId="178" fontId="0" fillId="0" borderId="2" xfId="0" applyNumberFormat="1" applyBorder="1"/>
    <xf numFmtId="0" fontId="0" fillId="0" borderId="2" xfId="0" applyBorder="1" applyAlignment="1">
      <alignment horizontal="left"/>
    </xf>
    <xf numFmtId="17" fontId="0" fillId="0" borderId="0" xfId="0" applyNumberFormat="1" applyAlignment="1">
      <alignment horizontal="center"/>
    </xf>
    <xf numFmtId="178" fontId="0" fillId="0" borderId="0" xfId="0" applyNumberFormat="1"/>
    <xf numFmtId="17" fontId="2" fillId="0" borderId="0" xfId="0" applyNumberFormat="1" applyFont="1" applyAlignment="1">
      <alignment horizontal="left"/>
    </xf>
    <xf numFmtId="7" fontId="21" fillId="0" borderId="0" xfId="0" applyNumberFormat="1" applyFont="1"/>
    <xf numFmtId="2" fontId="0" fillId="0" borderId="0" xfId="0" quotePrefix="1" applyNumberFormat="1" applyAlignment="1">
      <alignment horizontal="right"/>
    </xf>
    <xf numFmtId="7" fontId="21" fillId="0" borderId="2" xfId="0" applyNumberFormat="1" applyFont="1" applyBorder="1"/>
    <xf numFmtId="7" fontId="0" fillId="0" borderId="4" xfId="0" applyNumberFormat="1" applyBorder="1"/>
    <xf numFmtId="7" fontId="21" fillId="0" borderId="4" xfId="0" applyNumberFormat="1" applyFont="1" applyBorder="1"/>
    <xf numFmtId="171" fontId="29" fillId="0" borderId="2" xfId="0" applyNumberFormat="1" applyFont="1" applyBorder="1"/>
    <xf numFmtId="0" fontId="27" fillId="0" borderId="4" xfId="0" applyFont="1" applyBorder="1"/>
    <xf numFmtId="0" fontId="27" fillId="0" borderId="4" xfId="0" quotePrefix="1" applyFont="1" applyBorder="1" applyAlignment="1">
      <alignment horizontal="left"/>
    </xf>
    <xf numFmtId="175" fontId="8" fillId="0" borderId="2" xfId="0" quotePrefix="1" applyNumberFormat="1" applyFont="1" applyBorder="1" applyAlignment="1">
      <alignment horizontal="center"/>
    </xf>
    <xf numFmtId="175" fontId="8" fillId="0" borderId="0" xfId="0" quotePrefix="1" applyNumberFormat="1" applyFont="1" applyAlignment="1">
      <alignment horizontal="center"/>
    </xf>
    <xf numFmtId="175" fontId="0" fillId="0" borderId="2" xfId="0" applyNumberFormat="1" applyBorder="1"/>
    <xf numFmtId="0" fontId="14" fillId="0" borderId="0" xfId="0" applyFont="1"/>
    <xf numFmtId="0" fontId="9" fillId="0" borderId="0" xfId="0" quotePrefix="1" applyFont="1" applyAlignment="1">
      <alignment horizontal="right"/>
    </xf>
    <xf numFmtId="17" fontId="9" fillId="0" borderId="0" xfId="0" applyNumberFormat="1" applyFont="1"/>
    <xf numFmtId="17" fontId="30" fillId="0" borderId="0" xfId="0" applyNumberFormat="1" applyFont="1"/>
    <xf numFmtId="17" fontId="1" fillId="0" borderId="2" xfId="0" applyNumberFormat="1" applyFont="1" applyBorder="1"/>
    <xf numFmtId="17" fontId="1" fillId="0" borderId="4" xfId="0" applyNumberFormat="1" applyFont="1" applyBorder="1"/>
    <xf numFmtId="17" fontId="2" fillId="0" borderId="0" xfId="0" applyNumberFormat="1" applyFont="1"/>
    <xf numFmtId="17" fontId="30" fillId="0" borderId="2" xfId="0" applyNumberFormat="1" applyFont="1" applyBorder="1" applyAlignment="1">
      <alignment horizontal="center"/>
    </xf>
    <xf numFmtId="0" fontId="0" fillId="0" borderId="4" xfId="0" quotePrefix="1" applyBorder="1" applyAlignment="1">
      <alignment horizontal="right"/>
    </xf>
    <xf numFmtId="0" fontId="0" fillId="0" borderId="0" xfId="0" applyAlignment="1" applyProtection="1">
      <alignment horizontal="right"/>
      <protection locked="0"/>
    </xf>
    <xf numFmtId="167" fontId="0" fillId="0" borderId="0" xfId="0" applyNumberFormat="1" applyAlignment="1" applyProtection="1">
      <alignment horizontal="center"/>
      <protection locked="0"/>
    </xf>
    <xf numFmtId="167" fontId="0" fillId="0" borderId="2" xfId="0" applyNumberFormat="1" applyBorder="1" applyAlignment="1">
      <alignment horizontal="right"/>
    </xf>
    <xf numFmtId="166" fontId="1" fillId="0" borderId="2" xfId="0" applyNumberFormat="1" applyFont="1" applyBorder="1" applyAlignment="1">
      <alignment horizontal="right"/>
    </xf>
    <xf numFmtId="166" fontId="0" fillId="0" borderId="2" xfId="0" applyNumberFormat="1" applyBorder="1" applyAlignment="1">
      <alignment horizontal="right"/>
    </xf>
    <xf numFmtId="165" fontId="0" fillId="0" borderId="2" xfId="0" quotePrefix="1" applyNumberFormat="1" applyBorder="1" applyAlignment="1">
      <alignment horizontal="right"/>
    </xf>
    <xf numFmtId="17" fontId="0" fillId="0" borderId="2" xfId="0" applyNumberFormat="1" applyBorder="1"/>
    <xf numFmtId="17" fontId="0" fillId="0" borderId="4" xfId="0" applyNumberFormat="1" applyBorder="1"/>
    <xf numFmtId="167" fontId="0" fillId="0" borderId="4" xfId="0" quotePrefix="1" applyNumberFormat="1" applyBorder="1" applyAlignment="1">
      <alignment horizontal="left"/>
    </xf>
    <xf numFmtId="179" fontId="13" fillId="0" borderId="0" xfId="0" applyNumberFormat="1" applyFont="1" applyProtection="1">
      <protection locked="0"/>
    </xf>
    <xf numFmtId="172" fontId="2" fillId="0" borderId="0" xfId="0" applyNumberFormat="1" applyFont="1"/>
    <xf numFmtId="164" fontId="2" fillId="0" borderId="0" xfId="0" applyNumberFormat="1" applyFont="1"/>
    <xf numFmtId="0" fontId="0" fillId="0" borderId="34" xfId="0" quotePrefix="1" applyBorder="1" applyAlignment="1">
      <alignment horizontal="left"/>
    </xf>
    <xf numFmtId="37" fontId="0" fillId="0" borderId="0" xfId="0" applyNumberFormat="1" applyAlignment="1">
      <alignment horizontal="center"/>
    </xf>
    <xf numFmtId="0" fontId="9" fillId="0" borderId="0" xfId="0" quotePrefix="1" applyFont="1" applyAlignment="1">
      <alignment horizontal="left"/>
    </xf>
    <xf numFmtId="0" fontId="0" fillId="0" borderId="17" xfId="0" applyBorder="1"/>
    <xf numFmtId="0" fontId="0" fillId="0" borderId="16" xfId="0" applyBorder="1"/>
    <xf numFmtId="3" fontId="0" fillId="0" borderId="2" xfId="0" applyNumberFormat="1" applyBorder="1"/>
    <xf numFmtId="167" fontId="0" fillId="0" borderId="2" xfId="0" applyNumberFormat="1" applyBorder="1" applyAlignment="1" applyProtection="1">
      <alignment horizontal="right"/>
      <protection locked="0"/>
    </xf>
    <xf numFmtId="3" fontId="0" fillId="0" borderId="4" xfId="0" applyNumberFormat="1" applyBorder="1"/>
    <xf numFmtId="167" fontId="0" fillId="0" borderId="4" xfId="0" applyNumberFormat="1" applyBorder="1" applyAlignment="1" applyProtection="1">
      <alignment horizontal="right"/>
      <protection locked="0"/>
    </xf>
    <xf numFmtId="174" fontId="0" fillId="0" borderId="0" xfId="0" applyNumberFormat="1"/>
    <xf numFmtId="0" fontId="0" fillId="0" borderId="4" xfId="0" applyBorder="1" applyAlignment="1">
      <alignment horizontal="left"/>
    </xf>
    <xf numFmtId="3" fontId="30" fillId="0" borderId="2" xfId="0" applyNumberFormat="1" applyFont="1" applyBorder="1"/>
    <xf numFmtId="0" fontId="30" fillId="0" borderId="0" xfId="0" applyFont="1"/>
    <xf numFmtId="10" fontId="0" fillId="0" borderId="4" xfId="0" applyNumberFormat="1" applyBorder="1"/>
    <xf numFmtId="176" fontId="0" fillId="0" borderId="4" xfId="0" applyNumberFormat="1" applyBorder="1"/>
    <xf numFmtId="3" fontId="30" fillId="0" borderId="4" xfId="0" applyNumberFormat="1" applyFont="1" applyBorder="1"/>
    <xf numFmtId="167" fontId="3" fillId="0" borderId="2" xfId="0" applyNumberFormat="1" applyFont="1" applyBorder="1"/>
    <xf numFmtId="167" fontId="3" fillId="0" borderId="4" xfId="0" applyNumberFormat="1" applyFont="1" applyBorder="1"/>
    <xf numFmtId="37" fontId="0" fillId="0" borderId="2" xfId="0" applyNumberFormat="1" applyBorder="1" applyAlignment="1">
      <alignment horizontal="right"/>
    </xf>
    <xf numFmtId="3" fontId="0" fillId="0" borderId="2" xfId="0" applyNumberFormat="1" applyBorder="1" applyAlignment="1">
      <alignment horizontal="right"/>
    </xf>
    <xf numFmtId="5" fontId="0" fillId="0" borderId="2" xfId="0" applyNumberFormat="1" applyBorder="1" applyAlignment="1">
      <alignment horizontal="right"/>
    </xf>
    <xf numFmtId="37" fontId="0" fillId="0" borderId="4" xfId="0" applyNumberFormat="1" applyBorder="1" applyAlignment="1">
      <alignment horizontal="right"/>
    </xf>
    <xf numFmtId="3" fontId="0" fillId="0" borderId="4" xfId="0" applyNumberFormat="1" applyBorder="1" applyAlignment="1">
      <alignment horizontal="right"/>
    </xf>
    <xf numFmtId="5" fontId="0" fillId="0" borderId="4" xfId="0" applyNumberFormat="1" applyBorder="1" applyAlignment="1">
      <alignment horizontal="right"/>
    </xf>
    <xf numFmtId="167" fontId="0" fillId="0" borderId="4" xfId="0" applyNumberFormat="1" applyBorder="1" applyAlignment="1">
      <alignment horizontal="right"/>
    </xf>
    <xf numFmtId="171" fontId="0" fillId="0" borderId="4" xfId="0" applyNumberFormat="1" applyBorder="1" applyAlignment="1">
      <alignment horizontal="right"/>
    </xf>
    <xf numFmtId="171" fontId="0" fillId="0" borderId="2" xfId="0" applyNumberFormat="1" applyBorder="1" applyAlignment="1">
      <alignment horizontal="right"/>
    </xf>
    <xf numFmtId="180" fontId="0" fillId="0" borderId="2" xfId="0" applyNumberFormat="1" applyBorder="1"/>
    <xf numFmtId="169" fontId="0" fillId="0" borderId="1" xfId="0" applyNumberFormat="1" applyBorder="1" applyAlignment="1">
      <alignment horizontal="left"/>
    </xf>
    <xf numFmtId="9" fontId="5" fillId="0" borderId="1" xfId="0" applyNumberFormat="1" applyFont="1" applyBorder="1" applyProtection="1">
      <protection locked="0"/>
    </xf>
    <xf numFmtId="165" fontId="0" fillId="0" borderId="0" xfId="0" quotePrefix="1" applyNumberFormat="1" applyAlignment="1">
      <alignment horizontal="left"/>
    </xf>
    <xf numFmtId="164" fontId="8" fillId="0" borderId="0" xfId="0" quotePrefix="1" applyNumberFormat="1" applyFont="1" applyAlignment="1">
      <alignment horizontal="left"/>
    </xf>
    <xf numFmtId="179" fontId="10" fillId="0" borderId="0" xfId="0" applyNumberFormat="1" applyFont="1" applyProtection="1">
      <protection locked="0"/>
    </xf>
    <xf numFmtId="167" fontId="10" fillId="0" borderId="0" xfId="0" applyNumberFormat="1" applyFont="1" applyProtection="1">
      <protection locked="0"/>
    </xf>
    <xf numFmtId="172" fontId="26" fillId="0" borderId="1" xfId="0" applyNumberFormat="1" applyFont="1" applyBorder="1"/>
    <xf numFmtId="0" fontId="0" fillId="0" borderId="4" xfId="0" quotePrefix="1" applyBorder="1" applyAlignment="1">
      <alignment horizontal="center"/>
    </xf>
    <xf numFmtId="0" fontId="8" fillId="0" borderId="7" xfId="0" quotePrefix="1" applyFont="1" applyBorder="1" applyAlignment="1">
      <alignment horizontal="center"/>
    </xf>
    <xf numFmtId="0" fontId="31" fillId="0" borderId="0" xfId="0" applyFont="1"/>
    <xf numFmtId="0" fontId="31" fillId="0" borderId="3" xfId="0" applyFont="1" applyBorder="1"/>
    <xf numFmtId="0" fontId="31" fillId="0" borderId="4" xfId="0" applyFont="1" applyBorder="1"/>
    <xf numFmtId="0" fontId="31" fillId="0" borderId="4" xfId="0" applyFont="1" applyBorder="1" applyAlignment="1">
      <alignment horizontal="center"/>
    </xf>
    <xf numFmtId="0" fontId="31" fillId="0" borderId="5" xfId="0" applyFont="1" applyBorder="1"/>
    <xf numFmtId="0" fontId="31" fillId="0" borderId="0" xfId="0" applyFont="1" applyAlignment="1">
      <alignment horizontal="center"/>
    </xf>
    <xf numFmtId="14" fontId="32" fillId="0" borderId="0" xfId="0" applyNumberFormat="1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14" fontId="31" fillId="0" borderId="0" xfId="0" applyNumberFormat="1" applyFont="1"/>
    <xf numFmtId="17" fontId="31" fillId="0" borderId="2" xfId="0" applyNumberFormat="1" applyFont="1" applyBorder="1" applyAlignment="1">
      <alignment horizontal="left"/>
    </xf>
    <xf numFmtId="166" fontId="31" fillId="0" borderId="2" xfId="0" applyNumberFormat="1" applyFont="1" applyBorder="1"/>
    <xf numFmtId="166" fontId="33" fillId="0" borderId="2" xfId="0" applyNumberFormat="1" applyFont="1" applyBorder="1" applyProtection="1">
      <protection locked="0"/>
    </xf>
    <xf numFmtId="0" fontId="31" fillId="0" borderId="3" xfId="0" quotePrefix="1" applyFont="1" applyBorder="1" applyAlignment="1">
      <alignment horizontal="left"/>
    </xf>
    <xf numFmtId="171" fontId="0" fillId="0" borderId="0" xfId="0" quotePrefix="1" applyNumberFormat="1" applyAlignment="1">
      <alignment horizontal="left"/>
    </xf>
    <xf numFmtId="0" fontId="2" fillId="0" borderId="0" xfId="0" quotePrefix="1" applyFont="1" applyAlignment="1" applyProtection="1">
      <alignment horizontal="right"/>
      <protection locked="0"/>
    </xf>
    <xf numFmtId="170" fontId="26" fillId="0" borderId="1" xfId="0" applyNumberFormat="1" applyFont="1" applyBorder="1"/>
    <xf numFmtId="37" fontId="0" fillId="0" borderId="2" xfId="0" applyNumberFormat="1" applyBorder="1" applyAlignment="1">
      <alignment horizontal="center"/>
    </xf>
    <xf numFmtId="171" fontId="0" fillId="0" borderId="2" xfId="0" applyNumberFormat="1" applyBorder="1" applyAlignment="1">
      <alignment horizontal="center"/>
    </xf>
    <xf numFmtId="0" fontId="0" fillId="0" borderId="0" xfId="0" applyAlignment="1">
      <alignment vertical="top"/>
    </xf>
    <xf numFmtId="5" fontId="0" fillId="0" borderId="0" xfId="0" applyNumberFormat="1" applyAlignment="1">
      <alignment vertical="top"/>
    </xf>
    <xf numFmtId="167" fontId="0" fillId="0" borderId="0" xfId="0" applyNumberFormat="1" applyAlignment="1">
      <alignment vertical="top"/>
    </xf>
    <xf numFmtId="170" fontId="0" fillId="0" borderId="0" xfId="0" applyNumberFormat="1" applyAlignment="1">
      <alignment vertical="top"/>
    </xf>
    <xf numFmtId="0" fontId="6" fillId="0" borderId="0" xfId="0" quotePrefix="1" applyFont="1" applyAlignment="1">
      <alignment horizontal="left"/>
    </xf>
    <xf numFmtId="176" fontId="26" fillId="0" borderId="2" xfId="0" applyNumberFormat="1" applyFont="1" applyBorder="1"/>
    <xf numFmtId="176" fontId="0" fillId="0" borderId="2" xfId="0" applyNumberFormat="1" applyBorder="1" applyAlignment="1">
      <alignment horizontal="right"/>
    </xf>
    <xf numFmtId="167" fontId="34" fillId="0" borderId="0" xfId="0" applyNumberFormat="1" applyFont="1" applyAlignment="1">
      <alignment horizontal="center"/>
    </xf>
    <xf numFmtId="182" fontId="0" fillId="0" borderId="1" xfId="0" applyNumberFormat="1" applyBorder="1" applyAlignment="1">
      <alignment horizontal="center"/>
    </xf>
    <xf numFmtId="183" fontId="0" fillId="0" borderId="1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7" fontId="34" fillId="0" borderId="2" xfId="0" applyNumberFormat="1" applyFont="1" applyBorder="1" applyAlignment="1">
      <alignment horizontal="center"/>
    </xf>
    <xf numFmtId="184" fontId="8" fillId="0" borderId="2" xfId="1" quotePrefix="1" applyNumberFormat="1" applyFont="1" applyBorder="1"/>
    <xf numFmtId="166" fontId="0" fillId="0" borderId="4" xfId="0" applyNumberFormat="1" applyBorder="1" applyAlignment="1">
      <alignment horizontal="left"/>
    </xf>
    <xf numFmtId="164" fontId="4" fillId="0" borderId="0" xfId="0" quotePrefix="1" applyNumberFormat="1" applyFont="1" applyAlignment="1">
      <alignment horizontal="center"/>
    </xf>
    <xf numFmtId="184" fontId="0" fillId="0" borderId="2" xfId="1" applyNumberFormat="1" applyFont="1" applyBorder="1" applyAlignment="1">
      <alignment horizontal="center"/>
    </xf>
    <xf numFmtId="185" fontId="0" fillId="0" borderId="2" xfId="1" applyNumberFormat="1" applyFont="1" applyBorder="1"/>
    <xf numFmtId="185" fontId="0" fillId="0" borderId="4" xfId="1" applyNumberFormat="1" applyFont="1" applyBorder="1"/>
    <xf numFmtId="171" fontId="9" fillId="0" borderId="0" xfId="0" applyNumberFormat="1" applyFont="1" applyAlignment="1">
      <alignment horizontal="center"/>
    </xf>
    <xf numFmtId="185" fontId="0" fillId="0" borderId="2" xfId="0" applyNumberFormat="1" applyBorder="1"/>
    <xf numFmtId="0" fontId="0" fillId="0" borderId="3" xfId="0" applyBorder="1" applyAlignment="1">
      <alignment horizontal="right"/>
    </xf>
    <xf numFmtId="186" fontId="0" fillId="0" borderId="2" xfId="1" applyNumberFormat="1" applyFont="1" applyBorder="1"/>
    <xf numFmtId="186" fontId="0" fillId="0" borderId="2" xfId="0" applyNumberFormat="1" applyBorder="1"/>
    <xf numFmtId="186" fontId="0" fillId="0" borderId="4" xfId="1" applyNumberFormat="1" applyFont="1" applyBorder="1"/>
    <xf numFmtId="186" fontId="0" fillId="0" borderId="5" xfId="1" applyNumberFormat="1" applyFont="1" applyBorder="1"/>
    <xf numFmtId="0" fontId="0" fillId="0" borderId="35" xfId="0" applyBorder="1"/>
    <xf numFmtId="0" fontId="2" fillId="0" borderId="36" xfId="0" quotePrefix="1" applyFont="1" applyBorder="1" applyAlignment="1">
      <alignment horizontal="left"/>
    </xf>
    <xf numFmtId="0" fontId="0" fillId="0" borderId="37" xfId="0" applyBorder="1"/>
    <xf numFmtId="0" fontId="2" fillId="0" borderId="37" xfId="0" quotePrefix="1" applyFont="1" applyBorder="1" applyAlignment="1">
      <alignment horizontal="left"/>
    </xf>
    <xf numFmtId="0" fontId="0" fillId="0" borderId="38" xfId="0" applyBorder="1"/>
    <xf numFmtId="0" fontId="2" fillId="0" borderId="39" xfId="0" quotePrefix="1" applyFont="1" applyBorder="1" applyAlignment="1">
      <alignment horizontal="left"/>
    </xf>
    <xf numFmtId="0" fontId="0" fillId="0" borderId="40" xfId="0" applyBorder="1"/>
    <xf numFmtId="0" fontId="13" fillId="0" borderId="41" xfId="0" applyFont="1" applyBorder="1" applyAlignment="1">
      <alignment horizontal="center"/>
    </xf>
    <xf numFmtId="0" fontId="2" fillId="0" borderId="2" xfId="0" applyFont="1" applyBorder="1"/>
    <xf numFmtId="164" fontId="2" fillId="0" borderId="2" xfId="0" quotePrefix="1" applyNumberFormat="1" applyFont="1" applyBorder="1" applyAlignment="1">
      <alignment horizontal="right"/>
    </xf>
    <xf numFmtId="167" fontId="2" fillId="0" borderId="0" xfId="2" applyNumberFormat="1" applyFont="1"/>
    <xf numFmtId="0" fontId="2" fillId="0" borderId="42" xfId="0" quotePrefix="1" applyFont="1" applyBorder="1" applyAlignment="1">
      <alignment horizontal="left" vertical="center"/>
    </xf>
    <xf numFmtId="0" fontId="0" fillId="0" borderId="35" xfId="0" applyBorder="1" applyAlignment="1">
      <alignment vertical="center"/>
    </xf>
    <xf numFmtId="0" fontId="13" fillId="0" borderId="35" xfId="0" applyFont="1" applyBorder="1" applyAlignment="1">
      <alignment horizontal="center" vertical="center"/>
    </xf>
    <xf numFmtId="0" fontId="13" fillId="0" borderId="43" xfId="0" applyFont="1" applyBorder="1" applyAlignment="1">
      <alignment horizontal="center" vertical="center"/>
    </xf>
    <xf numFmtId="167" fontId="2" fillId="0" borderId="35" xfId="0" applyNumberFormat="1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167" fontId="2" fillId="0" borderId="43" xfId="0" applyNumberFormat="1" applyFont="1" applyBorder="1" applyAlignment="1">
      <alignment horizontal="center" vertical="center"/>
    </xf>
    <xf numFmtId="0" fontId="0" fillId="0" borderId="4" xfId="0" applyBorder="1" applyAlignment="1">
      <alignment vertical="center"/>
    </xf>
    <xf numFmtId="9" fontId="2" fillId="0" borderId="5" xfId="2" applyFont="1" applyBorder="1" applyAlignment="1">
      <alignment vertical="center"/>
    </xf>
    <xf numFmtId="0" fontId="2" fillId="0" borderId="3" xfId="0" quotePrefix="1" applyFont="1" applyBorder="1" applyAlignment="1">
      <alignment horizontal="left" vertical="center"/>
    </xf>
    <xf numFmtId="167" fontId="2" fillId="0" borderId="5" xfId="0" applyNumberFormat="1" applyFont="1" applyBorder="1" applyAlignment="1">
      <alignment vertical="center"/>
    </xf>
    <xf numFmtId="0" fontId="8" fillId="0" borderId="0" xfId="0" quotePrefix="1" applyFont="1" applyAlignment="1">
      <alignment horizontal="left" vertical="top"/>
    </xf>
    <xf numFmtId="167" fontId="36" fillId="0" borderId="0" xfId="0" applyNumberFormat="1" applyFont="1" applyAlignment="1">
      <alignment vertical="top"/>
    </xf>
    <xf numFmtId="167" fontId="8" fillId="0" borderId="0" xfId="0" applyNumberFormat="1" applyFont="1" applyAlignment="1">
      <alignment vertical="top"/>
    </xf>
    <xf numFmtId="0" fontId="37" fillId="0" borderId="0" xfId="0" applyFont="1"/>
    <xf numFmtId="16" fontId="0" fillId="0" borderId="0" xfId="0" applyNumberFormat="1"/>
    <xf numFmtId="0" fontId="8" fillId="0" borderId="2" xfId="0" applyFont="1" applyBorder="1"/>
    <xf numFmtId="0" fontId="8" fillId="0" borderId="2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0" xfId="0" quotePrefix="1" applyFont="1" applyAlignment="1">
      <alignment horizontal="left"/>
    </xf>
    <xf numFmtId="185" fontId="0" fillId="0" borderId="0" xfId="1" applyNumberFormat="1" applyFont="1"/>
    <xf numFmtId="0" fontId="38" fillId="0" borderId="0" xfId="0" quotePrefix="1" applyFont="1" applyAlignment="1">
      <alignment horizontal="left"/>
    </xf>
    <xf numFmtId="14" fontId="0" fillId="0" borderId="2" xfId="0" applyNumberFormat="1" applyBorder="1"/>
    <xf numFmtId="5" fontId="0" fillId="0" borderId="2" xfId="0" applyNumberFormat="1" applyBorder="1"/>
    <xf numFmtId="14" fontId="0" fillId="0" borderId="4" xfId="0" applyNumberFormat="1" applyBorder="1"/>
    <xf numFmtId="5" fontId="0" fillId="0" borderId="4" xfId="0" applyNumberFormat="1" applyBorder="1"/>
    <xf numFmtId="0" fontId="39" fillId="0" borderId="44" xfId="0" applyFont="1" applyBorder="1"/>
    <xf numFmtId="0" fontId="39" fillId="0" borderId="45" xfId="0" applyFont="1" applyBorder="1"/>
    <xf numFmtId="0" fontId="39" fillId="0" borderId="46" xfId="0" applyFont="1" applyBorder="1"/>
    <xf numFmtId="0" fontId="1" fillId="0" borderId="31" xfId="0" quotePrefix="1" applyFont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2" fontId="18" fillId="0" borderId="0" xfId="0" applyNumberFormat="1" applyFont="1" applyAlignment="1">
      <alignment horizontal="right"/>
    </xf>
    <xf numFmtId="2" fontId="18" fillId="0" borderId="0" xfId="0" applyNumberFormat="1" applyFont="1"/>
    <xf numFmtId="0" fontId="2" fillId="0" borderId="0" xfId="0" quotePrefix="1" applyFont="1" applyAlignment="1">
      <alignment horizontal="center"/>
    </xf>
    <xf numFmtId="5" fontId="42" fillId="0" borderId="0" xfId="0" applyNumberFormat="1" applyFont="1"/>
    <xf numFmtId="2" fontId="0" fillId="0" borderId="2" xfId="0" applyNumberFormat="1" applyBorder="1"/>
    <xf numFmtId="0" fontId="0" fillId="0" borderId="48" xfId="0" applyBorder="1"/>
    <xf numFmtId="2" fontId="0" fillId="0" borderId="48" xfId="0" applyNumberFormat="1" applyBorder="1"/>
    <xf numFmtId="0" fontId="9" fillId="2" borderId="0" xfId="0" applyFont="1" applyFill="1"/>
    <xf numFmtId="0" fontId="9" fillId="2" borderId="0" xfId="0" applyFont="1" applyFill="1" applyAlignment="1">
      <alignment horizontal="center"/>
    </xf>
    <xf numFmtId="0" fontId="9" fillId="2" borderId="0" xfId="0" quotePrefix="1" applyFont="1" applyFill="1" applyAlignment="1">
      <alignment horizontal="right"/>
    </xf>
    <xf numFmtId="0" fontId="29" fillId="2" borderId="2" xfId="0" applyFont="1" applyFill="1" applyBorder="1"/>
    <xf numFmtId="167" fontId="29" fillId="2" borderId="2" xfId="0" applyNumberFormat="1" applyFont="1" applyFill="1" applyBorder="1"/>
    <xf numFmtId="0" fontId="0" fillId="2" borderId="2" xfId="0" applyFill="1" applyBorder="1"/>
    <xf numFmtId="167" fontId="0" fillId="2" borderId="2" xfId="0" applyNumberFormat="1" applyFill="1" applyBorder="1"/>
    <xf numFmtId="0" fontId="29" fillId="2" borderId="4" xfId="0" applyFont="1" applyFill="1" applyBorder="1"/>
    <xf numFmtId="167" fontId="29" fillId="2" borderId="4" xfId="0" applyNumberFormat="1" applyFont="1" applyFill="1" applyBorder="1"/>
    <xf numFmtId="0" fontId="0" fillId="2" borderId="4" xfId="0" applyFill="1" applyBorder="1"/>
    <xf numFmtId="167" fontId="0" fillId="2" borderId="4" xfId="0" applyNumberFormat="1" applyFill="1" applyBorder="1"/>
    <xf numFmtId="167" fontId="29" fillId="0" borderId="0" xfId="0" applyNumberFormat="1" applyFont="1"/>
    <xf numFmtId="164" fontId="0" fillId="3" borderId="19" xfId="0" applyNumberFormat="1" applyFill="1" applyBorder="1"/>
    <xf numFmtId="5" fontId="0" fillId="3" borderId="47" xfId="0" applyNumberFormat="1" applyFill="1" applyBorder="1"/>
    <xf numFmtId="37" fontId="0" fillId="3" borderId="47" xfId="0" applyNumberFormat="1" applyFill="1" applyBorder="1"/>
    <xf numFmtId="5" fontId="0" fillId="3" borderId="20" xfId="0" applyNumberFormat="1" applyFill="1" applyBorder="1"/>
    <xf numFmtId="0" fontId="0" fillId="4" borderId="49" xfId="0" applyFill="1" applyBorder="1"/>
    <xf numFmtId="0" fontId="1" fillId="4" borderId="50" xfId="0" applyFont="1" applyFill="1" applyBorder="1"/>
    <xf numFmtId="0" fontId="0" fillId="4" borderId="50" xfId="0" applyFill="1" applyBorder="1"/>
    <xf numFmtId="0" fontId="0" fillId="4" borderId="51" xfId="0" applyFill="1" applyBorder="1"/>
    <xf numFmtId="0" fontId="0" fillId="4" borderId="52" xfId="0" applyFill="1" applyBorder="1"/>
    <xf numFmtId="0" fontId="0" fillId="4" borderId="0" xfId="0" applyFill="1"/>
    <xf numFmtId="0" fontId="0" fillId="4" borderId="10" xfId="0" applyFill="1" applyBorder="1"/>
    <xf numFmtId="0" fontId="0" fillId="4" borderId="0" xfId="0" applyFill="1" applyAlignment="1">
      <alignment horizontal="left"/>
    </xf>
    <xf numFmtId="0" fontId="0" fillId="4" borderId="0" xfId="0" quotePrefix="1" applyFill="1" applyAlignment="1">
      <alignment horizontal="left"/>
    </xf>
    <xf numFmtId="0" fontId="1" fillId="4" borderId="0" xfId="0" quotePrefix="1" applyFont="1" applyFill="1" applyAlignment="1">
      <alignment horizontal="left"/>
    </xf>
    <xf numFmtId="0" fontId="2" fillId="4" borderId="0" xfId="0" applyFont="1" applyFill="1"/>
    <xf numFmtId="0" fontId="0" fillId="4" borderId="13" xfId="0" applyFill="1" applyBorder="1"/>
    <xf numFmtId="0" fontId="0" fillId="4" borderId="53" xfId="0" applyFill="1" applyBorder="1"/>
    <xf numFmtId="0" fontId="0" fillId="4" borderId="54" xfId="0" applyFill="1" applyBorder="1"/>
    <xf numFmtId="0" fontId="0" fillId="5" borderId="55" xfId="0" applyFill="1" applyBorder="1"/>
    <xf numFmtId="0" fontId="1" fillId="5" borderId="56" xfId="0" applyFont="1" applyFill="1" applyBorder="1"/>
    <xf numFmtId="0" fontId="0" fillId="5" borderId="56" xfId="0" applyFill="1" applyBorder="1"/>
    <xf numFmtId="0" fontId="0" fillId="5" borderId="57" xfId="0" applyFill="1" applyBorder="1"/>
    <xf numFmtId="0" fontId="0" fillId="5" borderId="32" xfId="0" applyFill="1" applyBorder="1"/>
    <xf numFmtId="0" fontId="0" fillId="5" borderId="0" xfId="0" applyFill="1"/>
    <xf numFmtId="0" fontId="0" fillId="5" borderId="33" xfId="0" applyFill="1" applyBorder="1"/>
    <xf numFmtId="0" fontId="0" fillId="5" borderId="0" xfId="0" quotePrefix="1" applyFill="1" applyAlignment="1">
      <alignment horizontal="left"/>
    </xf>
    <xf numFmtId="0" fontId="0" fillId="5" borderId="0" xfId="0" applyFill="1" applyAlignment="1">
      <alignment horizontal="left"/>
    </xf>
    <xf numFmtId="0" fontId="1" fillId="5" borderId="0" xfId="0" quotePrefix="1" applyFont="1" applyFill="1" applyAlignment="1">
      <alignment horizontal="left"/>
    </xf>
    <xf numFmtId="0" fontId="1" fillId="5" borderId="0" xfId="0" applyFont="1" applyFill="1"/>
    <xf numFmtId="0" fontId="0" fillId="5" borderId="29" xfId="0" applyFill="1" applyBorder="1"/>
    <xf numFmtId="0" fontId="0" fillId="5" borderId="2" xfId="0" applyFill="1" applyBorder="1"/>
    <xf numFmtId="0" fontId="0" fillId="5" borderId="30" xfId="0" applyFill="1" applyBorder="1"/>
    <xf numFmtId="5" fontId="0" fillId="6" borderId="1" xfId="0" applyNumberFormat="1" applyFill="1" applyBorder="1"/>
    <xf numFmtId="37" fontId="0" fillId="7" borderId="0" xfId="0" applyNumberFormat="1" applyFill="1"/>
    <xf numFmtId="0" fontId="1" fillId="0" borderId="0" xfId="0" quotePrefix="1" applyFont="1" applyAlignment="1">
      <alignment horizontal="right"/>
    </xf>
    <xf numFmtId="0" fontId="1" fillId="0" borderId="3" xfId="0" applyFont="1" applyBorder="1"/>
    <xf numFmtId="0" fontId="1" fillId="0" borderId="4" xfId="0" applyFont="1" applyBorder="1"/>
    <xf numFmtId="166" fontId="7" fillId="0" borderId="56" xfId="0" applyNumberFormat="1" applyFont="1" applyBorder="1"/>
    <xf numFmtId="166" fontId="3" fillId="0" borderId="56" xfId="0" applyNumberFormat="1" applyFont="1" applyBorder="1" applyProtection="1">
      <protection locked="0"/>
    </xf>
    <xf numFmtId="166" fontId="7" fillId="0" borderId="0" xfId="0" applyNumberFormat="1" applyFont="1"/>
    <xf numFmtId="166" fontId="3" fillId="0" borderId="0" xfId="0" applyNumberFormat="1" applyFont="1" applyProtection="1">
      <protection locked="0"/>
    </xf>
    <xf numFmtId="167" fontId="1" fillId="0" borderId="2" xfId="0" applyNumberFormat="1" applyFont="1" applyBorder="1"/>
    <xf numFmtId="167" fontId="7" fillId="0" borderId="2" xfId="0" applyNumberFormat="1" applyFont="1" applyBorder="1"/>
    <xf numFmtId="2" fontId="1" fillId="0" borderId="2" xfId="0" applyNumberFormat="1" applyFont="1" applyBorder="1" applyAlignment="1">
      <alignment horizontal="center"/>
    </xf>
    <xf numFmtId="2" fontId="1" fillId="0" borderId="48" xfId="0" applyNumberFormat="1" applyFont="1" applyBorder="1" applyAlignment="1">
      <alignment horizontal="center"/>
    </xf>
    <xf numFmtId="0" fontId="0" fillId="0" borderId="56" xfId="0" applyBorder="1"/>
    <xf numFmtId="9" fontId="0" fillId="0" borderId="0" xfId="0" applyNumberFormat="1"/>
    <xf numFmtId="0" fontId="2" fillId="2" borderId="0" xfId="0" quotePrefix="1" applyFont="1" applyFill="1" applyAlignment="1">
      <alignment horizontal="left"/>
    </xf>
    <xf numFmtId="0" fontId="2" fillId="2" borderId="0" xfId="0" applyFont="1" applyFill="1"/>
    <xf numFmtId="0" fontId="7" fillId="0" borderId="0" xfId="0" applyFont="1" applyAlignment="1">
      <alignment horizontal="center"/>
    </xf>
    <xf numFmtId="166" fontId="0" fillId="2" borderId="0" xfId="0" applyNumberFormat="1" applyFill="1"/>
    <xf numFmtId="166" fontId="0" fillId="0" borderId="48" xfId="0" applyNumberFormat="1" applyBorder="1"/>
    <xf numFmtId="166" fontId="0" fillId="0" borderId="5" xfId="0" applyNumberFormat="1" applyBorder="1"/>
    <xf numFmtId="17" fontId="4" fillId="2" borderId="0" xfId="0" applyNumberFormat="1" applyFont="1" applyFill="1" applyAlignment="1">
      <alignment horizontal="center"/>
    </xf>
    <xf numFmtId="164" fontId="8" fillId="0" borderId="0" xfId="0" quotePrefix="1" applyNumberFormat="1" applyFont="1" applyAlignment="1">
      <alignment horizontal="right"/>
    </xf>
    <xf numFmtId="170" fontId="26" fillId="0" borderId="0" xfId="0" applyNumberFormat="1" applyFont="1" applyProtection="1">
      <protection locked="0"/>
    </xf>
    <xf numFmtId="14" fontId="4" fillId="0" borderId="0" xfId="0" quotePrefix="1" applyNumberFormat="1" applyFont="1" applyAlignment="1">
      <alignment horizontal="center"/>
    </xf>
    <xf numFmtId="0" fontId="1" fillId="0" borderId="48" xfId="0" applyFont="1" applyBorder="1" applyAlignment="1">
      <alignment horizontal="center"/>
    </xf>
    <xf numFmtId="5" fontId="0" fillId="0" borderId="48" xfId="0" applyNumberFormat="1" applyBorder="1" applyProtection="1">
      <protection locked="0"/>
    </xf>
    <xf numFmtId="0" fontId="0" fillId="0" borderId="48" xfId="0" applyBorder="1" applyProtection="1">
      <protection locked="0"/>
    </xf>
    <xf numFmtId="5" fontId="4" fillId="0" borderId="0" xfId="0" applyNumberFormat="1" applyFont="1" applyAlignment="1">
      <alignment horizontal="center"/>
    </xf>
    <xf numFmtId="5" fontId="4" fillId="0" borderId="0" xfId="0" applyNumberFormat="1" applyFont="1" applyAlignment="1" applyProtection="1">
      <alignment horizontal="center"/>
      <protection locked="0"/>
    </xf>
    <xf numFmtId="166" fontId="13" fillId="0" borderId="0" xfId="0" applyNumberFormat="1" applyFont="1" applyAlignment="1" applyProtection="1">
      <alignment horizontal="right"/>
      <protection locked="0"/>
    </xf>
    <xf numFmtId="0" fontId="2" fillId="8" borderId="0" xfId="0" applyFont="1" applyFill="1" applyAlignment="1">
      <alignment horizontal="center"/>
    </xf>
    <xf numFmtId="0" fontId="1" fillId="0" borderId="3" xfId="0" applyFont="1" applyBorder="1" applyAlignment="1">
      <alignment horizontal="right"/>
    </xf>
    <xf numFmtId="14" fontId="0" fillId="0" borderId="5" xfId="0" applyNumberFormat="1" applyBorder="1"/>
    <xf numFmtId="176" fontId="1" fillId="0" borderId="0" xfId="2" applyNumberFormat="1"/>
    <xf numFmtId="176" fontId="0" fillId="0" borderId="0" xfId="2" applyNumberFormat="1" applyFont="1"/>
    <xf numFmtId="0" fontId="43" fillId="0" borderId="0" xfId="0" applyFont="1" applyAlignment="1">
      <alignment horizontal="center"/>
    </xf>
    <xf numFmtId="0" fontId="1" fillId="0" borderId="0" xfId="0" applyFont="1" applyProtection="1">
      <protection locked="0"/>
    </xf>
    <xf numFmtId="170" fontId="0" fillId="0" borderId="0" xfId="0" applyNumberFormat="1" applyAlignment="1">
      <alignment horizontal="center"/>
    </xf>
    <xf numFmtId="5" fontId="1" fillId="0" borderId="1" xfId="0" applyNumberFormat="1" applyFont="1" applyBorder="1"/>
    <xf numFmtId="0" fontId="1" fillId="0" borderId="3" xfId="0" quotePrefix="1" applyFont="1" applyBorder="1" applyAlignment="1">
      <alignment horizontal="center"/>
    </xf>
    <xf numFmtId="0" fontId="2" fillId="2" borderId="55" xfId="0" applyFont="1" applyFill="1" applyBorder="1"/>
    <xf numFmtId="0" fontId="0" fillId="0" borderId="57" xfId="0" applyBorder="1"/>
    <xf numFmtId="0" fontId="1" fillId="0" borderId="32" xfId="0" applyFont="1" applyBorder="1"/>
    <xf numFmtId="5" fontId="0" fillId="0" borderId="33" xfId="0" applyNumberFormat="1" applyBorder="1"/>
    <xf numFmtId="0" fontId="1" fillId="0" borderId="32" xfId="0" quotePrefix="1" applyFont="1" applyBorder="1" applyAlignment="1">
      <alignment horizontal="left"/>
    </xf>
    <xf numFmtId="0" fontId="1" fillId="0" borderId="58" xfId="0" quotePrefix="1" applyFont="1" applyBorder="1" applyAlignment="1">
      <alignment horizontal="left"/>
    </xf>
    <xf numFmtId="5" fontId="0" fillId="0" borderId="59" xfId="0" applyNumberFormat="1" applyBorder="1"/>
    <xf numFmtId="0" fontId="1" fillId="0" borderId="60" xfId="0" applyFont="1" applyBorder="1" applyProtection="1">
      <protection locked="0"/>
    </xf>
    <xf numFmtId="0" fontId="1" fillId="0" borderId="48" xfId="0" applyFont="1" applyBorder="1" applyProtection="1">
      <protection locked="0"/>
    </xf>
    <xf numFmtId="167" fontId="13" fillId="0" borderId="48" xfId="0" applyNumberFormat="1" applyFont="1" applyBorder="1" applyAlignment="1" applyProtection="1">
      <alignment horizontal="right"/>
      <protection locked="0"/>
    </xf>
    <xf numFmtId="0" fontId="1" fillId="0" borderId="48" xfId="0" quotePrefix="1" applyFont="1" applyBorder="1" applyAlignment="1">
      <alignment horizontal="left"/>
    </xf>
    <xf numFmtId="5" fontId="1" fillId="0" borderId="60" xfId="0" applyNumberFormat="1" applyFont="1" applyBorder="1" applyProtection="1">
      <protection locked="0"/>
    </xf>
    <xf numFmtId="5" fontId="1" fillId="0" borderId="48" xfId="0" applyNumberFormat="1" applyFont="1" applyBorder="1" applyProtection="1">
      <protection locked="0"/>
    </xf>
    <xf numFmtId="176" fontId="1" fillId="0" borderId="48" xfId="0" applyNumberFormat="1" applyFont="1" applyBorder="1"/>
    <xf numFmtId="0" fontId="1" fillId="0" borderId="48" xfId="0" quotePrefix="1" applyFont="1" applyBorder="1" applyAlignment="1" applyProtection="1">
      <alignment horizontal="left"/>
      <protection locked="0"/>
    </xf>
    <xf numFmtId="0" fontId="1" fillId="0" borderId="3" xfId="0" quotePrefix="1" applyFont="1" applyBorder="1" applyAlignment="1" applyProtection="1">
      <alignment horizontal="left"/>
      <protection locked="0"/>
    </xf>
    <xf numFmtId="0" fontId="0" fillId="0" borderId="60" xfId="0" applyBorder="1" applyProtection="1">
      <protection locked="0"/>
    </xf>
    <xf numFmtId="0" fontId="44" fillId="0" borderId="60" xfId="0" quotePrefix="1" applyFont="1" applyBorder="1" applyAlignment="1" applyProtection="1">
      <alignment horizontal="right"/>
      <protection locked="0"/>
    </xf>
    <xf numFmtId="0" fontId="44" fillId="0" borderId="48" xfId="0" applyFont="1" applyBorder="1" applyAlignment="1" applyProtection="1">
      <alignment horizontal="right"/>
      <protection locked="0"/>
    </xf>
    <xf numFmtId="6" fontId="0" fillId="0" borderId="0" xfId="0" applyNumberFormat="1"/>
    <xf numFmtId="0" fontId="0" fillId="0" borderId="60" xfId="0" applyBorder="1"/>
    <xf numFmtId="2" fontId="0" fillId="0" borderId="60" xfId="0" applyNumberFormat="1" applyBorder="1"/>
    <xf numFmtId="0" fontId="2" fillId="9" borderId="0" xfId="0" applyFont="1" applyFill="1"/>
    <xf numFmtId="17" fontId="4" fillId="9" borderId="0" xfId="0" applyNumberFormat="1" applyFont="1" applyFill="1" applyAlignment="1">
      <alignment horizontal="center"/>
    </xf>
    <xf numFmtId="0" fontId="18" fillId="0" borderId="0" xfId="0" quotePrefix="1" applyFont="1" applyAlignment="1">
      <alignment horizontal="left"/>
    </xf>
    <xf numFmtId="185" fontId="0" fillId="0" borderId="31" xfId="1" applyNumberFormat="1" applyFont="1" applyBorder="1"/>
    <xf numFmtId="37" fontId="1" fillId="0" borderId="2" xfId="0" applyNumberFormat="1" applyFont="1" applyBorder="1" applyProtection="1">
      <protection locked="0"/>
    </xf>
    <xf numFmtId="165" fontId="0" fillId="2" borderId="2" xfId="0" applyNumberFormat="1" applyFill="1" applyBorder="1"/>
    <xf numFmtId="0" fontId="1" fillId="0" borderId="2" xfId="0" quotePrefix="1" applyFont="1" applyBorder="1" applyAlignment="1">
      <alignment horizontal="left"/>
    </xf>
    <xf numFmtId="0" fontId="1" fillId="0" borderId="5" xfId="0" applyFont="1" applyBorder="1" applyAlignment="1">
      <alignment horizontal="center"/>
    </xf>
    <xf numFmtId="0" fontId="1" fillId="0" borderId="48" xfId="0" quotePrefix="1" applyFont="1" applyBorder="1" applyAlignment="1">
      <alignment horizontal="center"/>
    </xf>
    <xf numFmtId="0" fontId="4" fillId="0" borderId="3" xfId="0" applyFont="1" applyBorder="1"/>
    <xf numFmtId="0" fontId="0" fillId="0" borderId="5" xfId="0" applyBorder="1" applyAlignment="1">
      <alignment horizontal="center"/>
    </xf>
    <xf numFmtId="171" fontId="2" fillId="0" borderId="0" xfId="0" applyNumberFormat="1" applyFont="1"/>
    <xf numFmtId="171" fontId="0" fillId="0" borderId="60" xfId="0" applyNumberFormat="1" applyBorder="1"/>
    <xf numFmtId="0" fontId="1" fillId="0" borderId="55" xfId="0" applyFont="1" applyBorder="1"/>
    <xf numFmtId="0" fontId="1" fillId="0" borderId="58" xfId="0" applyFont="1" applyBorder="1"/>
    <xf numFmtId="0" fontId="0" fillId="0" borderId="59" xfId="0" applyBorder="1"/>
    <xf numFmtId="0" fontId="18" fillId="0" borderId="3" xfId="0" quotePrefix="1" applyFont="1" applyBorder="1" applyAlignment="1">
      <alignment horizontal="left"/>
    </xf>
    <xf numFmtId="0" fontId="18" fillId="0" borderId="5" xfId="0" applyFont="1" applyBorder="1" applyAlignment="1">
      <alignment horizontal="center"/>
    </xf>
    <xf numFmtId="0" fontId="29" fillId="0" borderId="56" xfId="0" applyFont="1" applyBorder="1"/>
    <xf numFmtId="167" fontId="29" fillId="0" borderId="56" xfId="0" applyNumberFormat="1" applyFont="1" applyBorder="1"/>
    <xf numFmtId="187" fontId="0" fillId="0" borderId="0" xfId="0" applyNumberFormat="1"/>
    <xf numFmtId="0" fontId="0" fillId="0" borderId="60" xfId="0" applyBorder="1" applyAlignment="1">
      <alignment horizontal="center"/>
    </xf>
    <xf numFmtId="0" fontId="45" fillId="0" borderId="0" xfId="0" applyFont="1" applyAlignment="1">
      <alignment horizontal="center"/>
    </xf>
    <xf numFmtId="166" fontId="0" fillId="2" borderId="2" xfId="0" applyNumberFormat="1" applyFill="1" applyBorder="1"/>
    <xf numFmtId="171" fontId="0" fillId="0" borderId="61" xfId="0" applyNumberFormat="1" applyBorder="1"/>
    <xf numFmtId="171" fontId="1" fillId="0" borderId="2" xfId="0" quotePrefix="1" applyNumberFormat="1" applyFont="1" applyBorder="1" applyAlignment="1">
      <alignment horizontal="left"/>
    </xf>
    <xf numFmtId="171" fontId="1" fillId="4" borderId="2" xfId="0" quotePrefix="1" applyNumberFormat="1" applyFont="1" applyFill="1" applyBorder="1" applyAlignment="1">
      <alignment horizontal="center"/>
    </xf>
    <xf numFmtId="165" fontId="1" fillId="7" borderId="61" xfId="0" quotePrefix="1" applyNumberFormat="1" applyFont="1" applyFill="1" applyBorder="1" applyAlignment="1">
      <alignment horizontal="right"/>
    </xf>
    <xf numFmtId="181" fontId="1" fillId="7" borderId="48" xfId="0" quotePrefix="1" applyNumberFormat="1" applyFont="1" applyFill="1" applyBorder="1" applyAlignment="1">
      <alignment horizontal="center"/>
    </xf>
    <xf numFmtId="181" fontId="1" fillId="7" borderId="48" xfId="0" applyNumberFormat="1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165" fontId="1" fillId="7" borderId="0" xfId="0" quotePrefix="1" applyNumberFormat="1" applyFont="1" applyFill="1" applyAlignment="1">
      <alignment horizontal="right"/>
    </xf>
    <xf numFmtId="181" fontId="1" fillId="7" borderId="0" xfId="0" quotePrefix="1" applyNumberFormat="1" applyFont="1" applyFill="1" applyAlignment="1">
      <alignment horizontal="center"/>
    </xf>
    <xf numFmtId="0" fontId="0" fillId="0" borderId="61" xfId="0" applyBorder="1"/>
    <xf numFmtId="165" fontId="8" fillId="0" borderId="62" xfId="0" applyNumberFormat="1" applyFont="1" applyBorder="1"/>
    <xf numFmtId="37" fontId="8" fillId="0" borderId="62" xfId="0" applyNumberFormat="1" applyFont="1" applyBorder="1"/>
    <xf numFmtId="37" fontId="8" fillId="10" borderId="1" xfId="0" applyNumberFormat="1" applyFont="1" applyFill="1" applyBorder="1"/>
    <xf numFmtId="165" fontId="1" fillId="6" borderId="61" xfId="0" quotePrefix="1" applyNumberFormat="1" applyFont="1" applyFill="1" applyBorder="1" applyAlignment="1">
      <alignment horizontal="right"/>
    </xf>
    <xf numFmtId="165" fontId="1" fillId="6" borderId="0" xfId="0" quotePrefix="1" applyNumberFormat="1" applyFont="1" applyFill="1" applyAlignment="1">
      <alignment horizontal="right"/>
    </xf>
    <xf numFmtId="166" fontId="0" fillId="0" borderId="61" xfId="0" applyNumberFormat="1" applyBorder="1"/>
    <xf numFmtId="166" fontId="0" fillId="0" borderId="63" xfId="0" applyNumberFormat="1" applyBorder="1"/>
    <xf numFmtId="166" fontId="0" fillId="0" borderId="64" xfId="0" applyNumberFormat="1" applyBorder="1"/>
    <xf numFmtId="166" fontId="0" fillId="0" borderId="65" xfId="0" applyNumberFormat="1" applyBorder="1"/>
    <xf numFmtId="166" fontId="0" fillId="7" borderId="65" xfId="0" applyNumberFormat="1" applyFill="1" applyBorder="1"/>
    <xf numFmtId="166" fontId="7" fillId="0" borderId="64" xfId="0" applyNumberFormat="1" applyFont="1" applyBorder="1"/>
    <xf numFmtId="166" fontId="7" fillId="0" borderId="65" xfId="0" applyNumberFormat="1" applyFont="1" applyBorder="1"/>
    <xf numFmtId="0" fontId="0" fillId="0" borderId="65" xfId="0" applyBorder="1"/>
    <xf numFmtId="170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14" fontId="0" fillId="0" borderId="0" xfId="0" quotePrefix="1" applyNumberFormat="1" applyAlignment="1">
      <alignment horizontal="left"/>
    </xf>
    <xf numFmtId="37" fontId="5" fillId="0" borderId="66" xfId="0" applyNumberFormat="1" applyFont="1" applyBorder="1" applyProtection="1">
      <protection locked="0"/>
    </xf>
    <xf numFmtId="0" fontId="0" fillId="0" borderId="67" xfId="0" applyBorder="1" applyProtection="1">
      <protection locked="0"/>
    </xf>
    <xf numFmtId="166" fontId="0" fillId="11" borderId="14" xfId="0" applyNumberFormat="1" applyFill="1" applyBorder="1"/>
    <xf numFmtId="0" fontId="0" fillId="11" borderId="2" xfId="0" applyFill="1" applyBorder="1"/>
    <xf numFmtId="166" fontId="0" fillId="6" borderId="14" xfId="0" applyNumberFormat="1" applyFill="1" applyBorder="1"/>
    <xf numFmtId="166" fontId="0" fillId="6" borderId="0" xfId="0" applyNumberFormat="1" applyFill="1"/>
    <xf numFmtId="166" fontId="31" fillId="11" borderId="2" xfId="0" applyNumberFormat="1" applyFont="1" applyFill="1" applyBorder="1"/>
    <xf numFmtId="0" fontId="0" fillId="0" borderId="64" xfId="0" applyBorder="1"/>
    <xf numFmtId="0" fontId="1" fillId="0" borderId="64" xfId="0" applyFont="1" applyBorder="1" applyAlignment="1">
      <alignment horizontal="center"/>
    </xf>
    <xf numFmtId="0" fontId="2" fillId="0" borderId="5" xfId="0" applyFont="1" applyBorder="1" applyAlignment="1">
      <alignment horizontal="right"/>
    </xf>
    <xf numFmtId="188" fontId="13" fillId="0" borderId="1" xfId="0" applyNumberFormat="1" applyFont="1" applyBorder="1" applyAlignment="1" applyProtection="1">
      <alignment horizontal="right"/>
      <protection locked="0"/>
    </xf>
    <xf numFmtId="172" fontId="0" fillId="12" borderId="1" xfId="0" applyNumberFormat="1" applyFill="1" applyBorder="1" applyProtection="1">
      <protection locked="0"/>
    </xf>
    <xf numFmtId="172" fontId="0" fillId="12" borderId="1" xfId="0" applyNumberFormat="1" applyFill="1" applyBorder="1"/>
    <xf numFmtId="1" fontId="0" fillId="0" borderId="0" xfId="0" applyNumberFormat="1"/>
    <xf numFmtId="189" fontId="0" fillId="0" borderId="0" xfId="1" applyNumberFormat="1" applyFont="1"/>
    <xf numFmtId="0" fontId="8" fillId="0" borderId="3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0" fillId="0" borderId="0" xfId="0" applyAlignment="1">
      <alignment horizontal="center"/>
    </xf>
  </cellXfs>
  <cellStyles count="4">
    <cellStyle name="Comma" xfId="1" builtinId="3"/>
    <cellStyle name="Normal" xfId="0" builtinId="0"/>
    <cellStyle name="Normal 2" xfId="3" xr:uid="{CA956A68-2FAD-4C86-B5C1-5D0ACDC0CECE}"/>
    <cellStyle name="Percent" xfId="2" builtinId="5"/>
  </cellStyles>
  <dxfs count="36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5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Comparison of Month End Backlog vs. Hindsight IBNR Estimates</a:t>
            </a:r>
          </a:p>
        </c:rich>
      </c:tx>
      <c:layout>
        <c:manualLayout>
          <c:xMode val="edge"/>
          <c:yMode val="edge"/>
          <c:x val="0.19113149847094801"/>
          <c:y val="3.296703296703297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079528740695415"/>
          <c:y val="0.17032989881564808"/>
          <c:w val="0.67890009631250214"/>
          <c:h val="0.6648360566675307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Backlog!$U$55</c:f>
              <c:strCache>
                <c:ptCount val="1"/>
                <c:pt idx="0">
                  <c:v>Adjusted Backlog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Backlog!$T$56:$T$73</c:f>
              <c:numCache>
                <c:formatCode>mmm\-yy_)</c:formatCode>
                <c:ptCount val="18"/>
                <c:pt idx="0">
                  <c:v>45382</c:v>
                </c:pt>
                <c:pt idx="1">
                  <c:v>45351</c:v>
                </c:pt>
                <c:pt idx="2">
                  <c:v>45322</c:v>
                </c:pt>
                <c:pt idx="3">
                  <c:v>45291</c:v>
                </c:pt>
                <c:pt idx="4">
                  <c:v>45260</c:v>
                </c:pt>
                <c:pt idx="5">
                  <c:v>45230</c:v>
                </c:pt>
                <c:pt idx="6">
                  <c:v>45199</c:v>
                </c:pt>
                <c:pt idx="7">
                  <c:v>45169</c:v>
                </c:pt>
                <c:pt idx="8">
                  <c:v>45138</c:v>
                </c:pt>
                <c:pt idx="9">
                  <c:v>45107</c:v>
                </c:pt>
                <c:pt idx="10">
                  <c:v>45077</c:v>
                </c:pt>
                <c:pt idx="11">
                  <c:v>45046</c:v>
                </c:pt>
                <c:pt idx="12">
                  <c:v>45016</c:v>
                </c:pt>
                <c:pt idx="13">
                  <c:v>44985</c:v>
                </c:pt>
                <c:pt idx="14">
                  <c:v>44957</c:v>
                </c:pt>
                <c:pt idx="15">
                  <c:v>44926</c:v>
                </c:pt>
                <c:pt idx="16">
                  <c:v>44895</c:v>
                </c:pt>
                <c:pt idx="17">
                  <c:v>44865</c:v>
                </c:pt>
              </c:numCache>
            </c:numRef>
          </c:cat>
          <c:val>
            <c:numRef>
              <c:f>Backlog!$U$56:$U$73</c:f>
              <c:numCache>
                <c:formatCode>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EA-4F78-961D-356A218343D7}"/>
            </c:ext>
          </c:extLst>
        </c:ser>
        <c:ser>
          <c:idx val="1"/>
          <c:order val="1"/>
          <c:tx>
            <c:strRef>
              <c:f>Backlog!$V$55</c:f>
              <c:strCache>
                <c:ptCount val="1"/>
                <c:pt idx="0">
                  <c:v>Hindsight IBNR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Backlog!$T$56:$T$73</c:f>
              <c:numCache>
                <c:formatCode>mmm\-yy_)</c:formatCode>
                <c:ptCount val="18"/>
                <c:pt idx="0">
                  <c:v>45382</c:v>
                </c:pt>
                <c:pt idx="1">
                  <c:v>45351</c:v>
                </c:pt>
                <c:pt idx="2">
                  <c:v>45322</c:v>
                </c:pt>
                <c:pt idx="3">
                  <c:v>45291</c:v>
                </c:pt>
                <c:pt idx="4">
                  <c:v>45260</c:v>
                </c:pt>
                <c:pt idx="5">
                  <c:v>45230</c:v>
                </c:pt>
                <c:pt idx="6">
                  <c:v>45199</c:v>
                </c:pt>
                <c:pt idx="7">
                  <c:v>45169</c:v>
                </c:pt>
                <c:pt idx="8">
                  <c:v>45138</c:v>
                </c:pt>
                <c:pt idx="9">
                  <c:v>45107</c:v>
                </c:pt>
                <c:pt idx="10">
                  <c:v>45077</c:v>
                </c:pt>
                <c:pt idx="11">
                  <c:v>45046</c:v>
                </c:pt>
                <c:pt idx="12">
                  <c:v>45016</c:v>
                </c:pt>
                <c:pt idx="13">
                  <c:v>44985</c:v>
                </c:pt>
                <c:pt idx="14">
                  <c:v>44957</c:v>
                </c:pt>
                <c:pt idx="15">
                  <c:v>44926</c:v>
                </c:pt>
                <c:pt idx="16">
                  <c:v>44895</c:v>
                </c:pt>
                <c:pt idx="17">
                  <c:v>44865</c:v>
                </c:pt>
              </c:numCache>
            </c:numRef>
          </c:cat>
          <c:val>
            <c:numRef>
              <c:f>Backlog!$V$56:$V$73</c:f>
              <c:numCache>
                <c:formatCode>#,##0</c:formatCode>
                <c:ptCount val="18"/>
                <c:pt idx="0">
                  <c:v>0</c:v>
                </c:pt>
                <c:pt idx="1">
                  <c:v>9688588.1153595168</c:v>
                </c:pt>
                <c:pt idx="2">
                  <c:v>9095087.0253595077</c:v>
                </c:pt>
                <c:pt idx="3">
                  <c:v>8915630.5253595058</c:v>
                </c:pt>
                <c:pt idx="4">
                  <c:v>8990484.5053594876</c:v>
                </c:pt>
                <c:pt idx="5">
                  <c:v>8905602.1253594942</c:v>
                </c:pt>
                <c:pt idx="6">
                  <c:v>8947418.2453594729</c:v>
                </c:pt>
                <c:pt idx="7">
                  <c:v>9225449.3553594723</c:v>
                </c:pt>
                <c:pt idx="8">
                  <c:v>8486496.1153594479</c:v>
                </c:pt>
                <c:pt idx="9">
                  <c:v>8290017.2253594473</c:v>
                </c:pt>
                <c:pt idx="10">
                  <c:v>7904515.2053594366</c:v>
                </c:pt>
                <c:pt idx="11">
                  <c:v>7761511.4153594151</c:v>
                </c:pt>
                <c:pt idx="12">
                  <c:v>7122043.5653594062</c:v>
                </c:pt>
                <c:pt idx="13">
                  <c:v>7067127.1912921593</c:v>
                </c:pt>
                <c:pt idx="14">
                  <c:v>6831625.6727810204</c:v>
                </c:pt>
                <c:pt idx="15">
                  <c:v>7342920.6884581745</c:v>
                </c:pt>
                <c:pt idx="16">
                  <c:v>8031536.0997053981</c:v>
                </c:pt>
                <c:pt idx="17">
                  <c:v>7849999.2171627432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EA-4F78-961D-356A21834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2752256"/>
        <c:axId val="492942464"/>
      </c:barChart>
      <c:dateAx>
        <c:axId val="492752256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2942464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4929424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2752256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3180428134556572"/>
          <c:y val="0.45054945054945056"/>
          <c:w val="0.15749235474006157"/>
          <c:h val="0.109890109890109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1840607210626224"/>
          <c:y val="2.7734976887519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56930655228342"/>
          <c:y val="9.3990825722585533E-2"/>
          <c:w val="0.87191691246743863"/>
          <c:h val="0.73651827369501355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diamond"/>
            <c:size val="11"/>
            <c:spPr>
              <a:solidFill>
                <a:srgbClr val="FFFF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35.869891317541402</c:v>
                </c:pt>
                <c:pt idx="1">
                  <c:v>36.591966235234068</c:v>
                </c:pt>
                <c:pt idx="2">
                  <c:v>38.790531392615186</c:v>
                </c:pt>
                <c:pt idx="3">
                  <c:v>40.350388620093234</c:v>
                </c:pt>
                <c:pt idx="4">
                  <c:v>47.798624963803547</c:v>
                </c:pt>
                <c:pt idx="5">
                  <c:v>46.237790728679677</c:v>
                </c:pt>
                <c:pt idx="6">
                  <c:v>47.622125569631088</c:v>
                </c:pt>
                <c:pt idx="7">
                  <c:v>47.227304643709218</c:v>
                </c:pt>
                <c:pt idx="8">
                  <c:v>48.96810775013158</c:v>
                </c:pt>
                <c:pt idx="9">
                  <c:v>32.792024176098245</c:v>
                </c:pt>
                <c:pt idx="10">
                  <c:v>31.17009535145916</c:v>
                </c:pt>
                <c:pt idx="11">
                  <c:v>39.046129236548509</c:v>
                </c:pt>
                <c:pt idx="12">
                  <c:v>37.458797906089245</c:v>
                </c:pt>
                <c:pt idx="13">
                  <c:v>39.220997237718201</c:v>
                </c:pt>
                <c:pt idx="14">
                  <c:v>39.387231494672243</c:v>
                </c:pt>
                <c:pt idx="15">
                  <c:v>37.986203504258292</c:v>
                </c:pt>
                <c:pt idx="16">
                  <c:v>44.71334857009554</c:v>
                </c:pt>
                <c:pt idx="17">
                  <c:v>40.787181949898923</c:v>
                </c:pt>
                <c:pt idx="18">
                  <c:v>41.482201046704006</c:v>
                </c:pt>
                <c:pt idx="19">
                  <c:v>39.292868284527216</c:v>
                </c:pt>
                <c:pt idx="20">
                  <c:v>39.955172982558864</c:v>
                </c:pt>
                <c:pt idx="21">
                  <c:v>34.457578879124007</c:v>
                </c:pt>
                <c:pt idx="22">
                  <c:v>35.59053999092955</c:v>
                </c:pt>
                <c:pt idx="23">
                  <c:v>43.272089036718107</c:v>
                </c:pt>
                <c:pt idx="24">
                  <c:v>35.983312262958279</c:v>
                </c:pt>
                <c:pt idx="25">
                  <c:v>40.251983787602725</c:v>
                </c:pt>
                <c:pt idx="26">
                  <c:v>40.966554665288186</c:v>
                </c:pt>
                <c:pt idx="27">
                  <c:v>38.321848276874519</c:v>
                </c:pt>
                <c:pt idx="28">
                  <c:v>43.908844442170953</c:v>
                </c:pt>
                <c:pt idx="29">
                  <c:v>39.63601951304247</c:v>
                </c:pt>
                <c:pt idx="30">
                  <c:v>45.354256209484092</c:v>
                </c:pt>
                <c:pt idx="31">
                  <c:v>42.107491445560107</c:v>
                </c:pt>
                <c:pt idx="32">
                  <c:v>39.732638501839261</c:v>
                </c:pt>
                <c:pt idx="33">
                  <c:v>37.056707228213348</c:v>
                </c:pt>
                <c:pt idx="34">
                  <c:v>37.540722153702205</c:v>
                </c:pt>
                <c:pt idx="35">
                  <c:v>41.849998787231975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F3-413C-BBC5-43AE838161FE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41.059211258767021</c:v>
                </c:pt>
                <c:pt idx="2">
                  <c:v>41.010652442064291</c:v>
                </c:pt>
                <c:pt idx="3">
                  <c:v>40.962151053612324</c:v>
                </c:pt>
                <c:pt idx="4">
                  <c:v>40.913707025493366</c:v>
                </c:pt>
                <c:pt idx="5">
                  <c:v>40.865320289870041</c:v>
                </c:pt>
                <c:pt idx="6">
                  <c:v>40.816990778985208</c:v>
                </c:pt>
                <c:pt idx="7">
                  <c:v>40.768718425161786</c:v>
                </c:pt>
                <c:pt idx="8">
                  <c:v>40.720503160802821</c:v>
                </c:pt>
                <c:pt idx="9">
                  <c:v>40.672344918391232</c:v>
                </c:pt>
                <c:pt idx="10">
                  <c:v>40.62424363048985</c:v>
                </c:pt>
                <c:pt idx="11">
                  <c:v>40.576199229741192</c:v>
                </c:pt>
                <c:pt idx="12">
                  <c:v>40.52821164886749</c:v>
                </c:pt>
                <c:pt idx="13">
                  <c:v>40.480280820670544</c:v>
                </c:pt>
                <c:pt idx="14">
                  <c:v>40.432406678031569</c:v>
                </c:pt>
                <c:pt idx="15">
                  <c:v>40.384589153911236</c:v>
                </c:pt>
                <c:pt idx="16">
                  <c:v>40.336828181349418</c:v>
                </c:pt>
                <c:pt idx="17">
                  <c:v>40.289123693465243</c:v>
                </c:pt>
                <c:pt idx="18">
                  <c:v>40.241475623456928</c:v>
                </c:pt>
                <c:pt idx="19">
                  <c:v>40.193883904601648</c:v>
                </c:pt>
                <c:pt idx="20">
                  <c:v>40.146348470255546</c:v>
                </c:pt>
                <c:pt idx="21">
                  <c:v>40.098869253853536</c:v>
                </c:pt>
                <c:pt idx="22">
                  <c:v>40.051446188909274</c:v>
                </c:pt>
                <c:pt idx="23">
                  <c:v>40.004079209015075</c:v>
                </c:pt>
                <c:pt idx="24">
                  <c:v>39.956768247841715</c:v>
                </c:pt>
                <c:pt idx="25">
                  <c:v>39.909513239138512</c:v>
                </c:pt>
                <c:pt idx="26">
                  <c:v>39.862314116733046</c:v>
                </c:pt>
                <c:pt idx="27">
                  <c:v>39.815170814531228</c:v>
                </c:pt>
                <c:pt idx="28">
                  <c:v>39.768083266517067</c:v>
                </c:pt>
                <c:pt idx="29">
                  <c:v>39.7210514067527</c:v>
                </c:pt>
                <c:pt idx="30">
                  <c:v>39.674075169378256</c:v>
                </c:pt>
                <c:pt idx="31">
                  <c:v>39.627154488611673</c:v>
                </c:pt>
                <c:pt idx="32">
                  <c:v>39.580289298748788</c:v>
                </c:pt>
                <c:pt idx="33">
                  <c:v>39.53347953416305</c:v>
                </c:pt>
                <c:pt idx="34">
                  <c:v>39.486725129305583</c:v>
                </c:pt>
                <c:pt idx="35">
                  <c:v>39.440026018705034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F3-413C-BBC5-43AE838161FE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25400">
              <a:solidFill>
                <a:srgbClr val="FF6600"/>
              </a:solidFill>
              <a:prstDash val="solid"/>
            </a:ln>
          </c:spPr>
          <c:marker>
            <c:symbol val="triangle"/>
            <c:size val="9"/>
            <c:spPr>
              <a:solidFill>
                <a:srgbClr val="FFFFFF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37.798939413948808</c:v>
                </c:pt>
                <c:pt idx="11">
                  <c:v>37.93862963412726</c:v>
                </c:pt>
                <c:pt idx="12">
                  <c:v>38.078836095182204</c:v>
                </c:pt>
                <c:pt idx="13">
                  <c:v>38.219560704939695</c:v>
                </c:pt>
                <c:pt idx="14">
                  <c:v>38.360805378276368</c:v>
                </c:pt>
                <c:pt idx="15">
                  <c:v>38.502572037145548</c:v>
                </c:pt>
                <c:pt idx="16">
                  <c:v>38.644862610603298</c:v>
                </c:pt>
                <c:pt idx="17">
                  <c:v>38.787679034834738</c:v>
                </c:pt>
                <c:pt idx="18">
                  <c:v>38.931023253180392</c:v>
                </c:pt>
                <c:pt idx="19">
                  <c:v>39.074897216162597</c:v>
                </c:pt>
                <c:pt idx="20">
                  <c:v>39.219302881512078</c:v>
                </c:pt>
                <c:pt idx="21">
                  <c:v>39.364242214194569</c:v>
                </c:pt>
                <c:pt idx="22">
                  <c:v>39.509717186437555</c:v>
                </c:pt>
                <c:pt idx="23">
                  <c:v>39.655729777757116</c:v>
                </c:pt>
                <c:pt idx="24">
                  <c:v>39.80228197498483</c:v>
                </c:pt>
                <c:pt idx="25">
                  <c:v>39.949375772294879</c:v>
                </c:pt>
                <c:pt idx="26">
                  <c:v>40.097013171231112</c:v>
                </c:pt>
                <c:pt idx="27">
                  <c:v>40.24519618073429</c:v>
                </c:pt>
                <c:pt idx="28">
                  <c:v>40.393926817169479</c:v>
                </c:pt>
                <c:pt idx="29">
                  <c:v>40.543207104353414</c:v>
                </c:pt>
                <c:pt idx="30">
                  <c:v>40.693039073582099</c:v>
                </c:pt>
                <c:pt idx="31">
                  <c:v>40.843424763658398</c:v>
                </c:pt>
                <c:pt idx="32">
                  <c:v>40.994366220919815</c:v>
                </c:pt>
                <c:pt idx="33">
                  <c:v>41.145865499266314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F3-413C-BBC5-43AE838161FE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9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39.577895374722281</c:v>
                </c:pt>
                <c:pt idx="17">
                  <c:v>39.627826292020565</c:v>
                </c:pt>
                <c:pt idx="18">
                  <c:v>39.677820201463291</c:v>
                </c:pt>
                <c:pt idx="19">
                  <c:v>39.727877182520444</c:v>
                </c:pt>
                <c:pt idx="20">
                  <c:v>39.777997314762338</c:v>
                </c:pt>
                <c:pt idx="21">
                  <c:v>39.828180677859585</c:v>
                </c:pt>
                <c:pt idx="22">
                  <c:v>39.878427351583355</c:v>
                </c:pt>
                <c:pt idx="23">
                  <c:v>39.928737415805429</c:v>
                </c:pt>
                <c:pt idx="24">
                  <c:v>39.979110950498402</c:v>
                </c:pt>
                <c:pt idx="25">
                  <c:v>40.029548035735708</c:v>
                </c:pt>
                <c:pt idx="26">
                  <c:v>40.080048751691812</c:v>
                </c:pt>
                <c:pt idx="27">
                  <c:v>40.130613178642363</c:v>
                </c:pt>
                <c:pt idx="28">
                  <c:v>40.181241396964246</c:v>
                </c:pt>
                <c:pt idx="29">
                  <c:v>40.231933487135763</c:v>
                </c:pt>
                <c:pt idx="30">
                  <c:v>40.282689529736714</c:v>
                </c:pt>
                <c:pt idx="31">
                  <c:v>40.333509605448626</c:v>
                </c:pt>
                <c:pt idx="32">
                  <c:v>40.384393795054763</c:v>
                </c:pt>
                <c:pt idx="33">
                  <c:v>40.435342179440305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2F3-413C-BBC5-43AE838161FE}"/>
            </c:ext>
          </c:extLst>
        </c:ser>
        <c:ser>
          <c:idx val="4"/>
          <c:order val="4"/>
          <c:tx>
            <c:strRef>
              <c:f>Charts!$AP$5</c:f>
              <c:strCache>
                <c:ptCount val="1"/>
                <c:pt idx="0">
                  <c:v>Lst Sq-12 Mo</c:v>
                </c:pt>
              </c:strCache>
            </c:strRef>
          </c:tx>
          <c:spPr>
            <a:ln w="38100">
              <a:prstDash val="sysDot"/>
            </a:ln>
          </c:spPr>
          <c:val>
            <c:numRef>
              <c:f>Charts!$AX$9:$AX$44</c:f>
              <c:numCache>
                <c:formatCode>"$"#,##0.00</c:formatCode>
                <c:ptCount val="36"/>
                <c:pt idx="22">
                  <c:v>39.01297329838463</c:v>
                </c:pt>
                <c:pt idx="23">
                  <c:v>39.213531703317308</c:v>
                </c:pt>
                <c:pt idx="24">
                  <c:v>39.415121141529113</c:v>
                </c:pt>
                <c:pt idx="25">
                  <c:v>39.61774691336948</c:v>
                </c:pt>
                <c:pt idx="26">
                  <c:v>39.82141434643593</c:v>
                </c:pt>
                <c:pt idx="27">
                  <c:v>40.026128795714122</c:v>
                </c:pt>
                <c:pt idx="28">
                  <c:v>40.231895643718758</c:v>
                </c:pt>
                <c:pt idx="29">
                  <c:v>40.438720300635033</c:v>
                </c:pt>
                <c:pt idx="30">
                  <c:v>40.64660820446084</c:v>
                </c:pt>
                <c:pt idx="31">
                  <c:v>40.855564821149862</c:v>
                </c:pt>
                <c:pt idx="32">
                  <c:v>41.065595644755213</c:v>
                </c:pt>
                <c:pt idx="33">
                  <c:v>41.27670619757388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472-4414-9511-1BD77F71E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5920"/>
        <c:axId val="495187456"/>
      </c:lineChart>
      <c:catAx>
        <c:axId val="4951859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5187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5187456"/>
        <c:scaling>
          <c:orientation val="minMax"/>
          <c:max val="59"/>
          <c:min val="2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PMPMs</a:t>
                </a:r>
              </a:p>
            </c:rich>
          </c:tx>
          <c:layout>
            <c:manualLayout>
              <c:xMode val="edge"/>
              <c:yMode val="edge"/>
              <c:x val="1.4231499051233399E-2"/>
              <c:y val="0.41448414479777124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5185920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272717565723626E-2"/>
          <c:y val="0.93682653304700569"/>
          <c:w val="0.87894678386697556"/>
          <c:h val="6.317339502861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-3" verticalDpi="2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7666034155597738"/>
          <c:y val="2.63929618768328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36437472406768"/>
          <c:y val="0.10117309296323226"/>
          <c:w val="0.88045581585395249"/>
          <c:h val="0.7932556999001242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0.24959915512441702</c:v>
                </c:pt>
                <c:pt idx="1">
                  <c:v>0.27418952986562312</c:v>
                </c:pt>
                <c:pt idx="2">
                  <c:v>0.30109826112542049</c:v>
                </c:pt>
                <c:pt idx="3">
                  <c:v>0.31269346719620922</c:v>
                </c:pt>
                <c:pt idx="4">
                  <c:v>0.37036911826113594</c:v>
                </c:pt>
                <c:pt idx="5">
                  <c:v>0.54371439639319596</c:v>
                </c:pt>
                <c:pt idx="6">
                  <c:v>0.55866066780702617</c:v>
                </c:pt>
                <c:pt idx="7">
                  <c:v>0.71747213029414691</c:v>
                </c:pt>
                <c:pt idx="8">
                  <c:v>0.87586825684018188</c:v>
                </c:pt>
                <c:pt idx="9">
                  <c:v>0.94977751679092437</c:v>
                </c:pt>
                <c:pt idx="10">
                  <c:v>1.2589881104624836</c:v>
                </c:pt>
                <c:pt idx="11">
                  <c:v>1.4276210156046916</c:v>
                </c:pt>
                <c:pt idx="12">
                  <c:v>1.9568181624749865</c:v>
                </c:pt>
                <c:pt idx="13">
                  <c:v>2.1989383379145369</c:v>
                </c:pt>
                <c:pt idx="14">
                  <c:v>2.8458061392264149</c:v>
                </c:pt>
                <c:pt idx="15">
                  <c:v>5.6387455673759401</c:v>
                </c:pt>
                <c:pt idx="16">
                  <c:v>13.74112873729422</c:v>
                </c:pt>
                <c:pt idx="17">
                  <c:v>34.833327835451641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79-43C0-B543-4B7F165E6215}"/>
            </c:ext>
          </c:extLst>
        </c:ser>
        <c:ser>
          <c:idx val="0"/>
          <c:order val="1"/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0.24959915512441702</c:v>
                </c:pt>
                <c:pt idx="1">
                  <c:v>0.27418952986562312</c:v>
                </c:pt>
                <c:pt idx="2">
                  <c:v>0.30109826112542049</c:v>
                </c:pt>
                <c:pt idx="3">
                  <c:v>0.31269346719620922</c:v>
                </c:pt>
                <c:pt idx="4">
                  <c:v>0.37036911826113594</c:v>
                </c:pt>
                <c:pt idx="5">
                  <c:v>0.54371439639319596</c:v>
                </c:pt>
                <c:pt idx="6">
                  <c:v>0.55866066780702617</c:v>
                </c:pt>
                <c:pt idx="7">
                  <c:v>0.71747213029414691</c:v>
                </c:pt>
                <c:pt idx="8">
                  <c:v>0.87586825684018188</c:v>
                </c:pt>
                <c:pt idx="9">
                  <c:v>0.94977751679092437</c:v>
                </c:pt>
                <c:pt idx="10">
                  <c:v>1.2589881104624836</c:v>
                </c:pt>
                <c:pt idx="11">
                  <c:v>1.4276210156046916</c:v>
                </c:pt>
                <c:pt idx="12">
                  <c:v>1.9568181624749865</c:v>
                </c:pt>
                <c:pt idx="13">
                  <c:v>2.1989383379145369</c:v>
                </c:pt>
                <c:pt idx="14">
                  <c:v>2.8458061392264149</c:v>
                </c:pt>
                <c:pt idx="15">
                  <c:v>5.6387455673759401</c:v>
                </c:pt>
                <c:pt idx="16">
                  <c:v>13.74112873729422</c:v>
                </c:pt>
                <c:pt idx="17">
                  <c:v>34.833327835451641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79-43C0-B543-4B7F165E6215}"/>
            </c:ext>
          </c:extLst>
        </c:ser>
        <c:ser>
          <c:idx val="4"/>
          <c:order val="2"/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0.24959915512441702</c:v>
                </c:pt>
                <c:pt idx="1">
                  <c:v>0.27418952986562312</c:v>
                </c:pt>
                <c:pt idx="2">
                  <c:v>0.30109826112542049</c:v>
                </c:pt>
                <c:pt idx="3">
                  <c:v>0.31269346719620922</c:v>
                </c:pt>
                <c:pt idx="4">
                  <c:v>0.37036911826113594</c:v>
                </c:pt>
                <c:pt idx="5">
                  <c:v>0.54371439639319596</c:v>
                </c:pt>
                <c:pt idx="6">
                  <c:v>0.55866066780702617</c:v>
                </c:pt>
                <c:pt idx="7">
                  <c:v>0.71747213029414691</c:v>
                </c:pt>
                <c:pt idx="8">
                  <c:v>0.87586825684018188</c:v>
                </c:pt>
                <c:pt idx="9">
                  <c:v>0.94977751679092437</c:v>
                </c:pt>
                <c:pt idx="10">
                  <c:v>1.2589881104624836</c:v>
                </c:pt>
                <c:pt idx="11">
                  <c:v>1.4276210156046916</c:v>
                </c:pt>
                <c:pt idx="12">
                  <c:v>1.9568181624749865</c:v>
                </c:pt>
                <c:pt idx="13">
                  <c:v>2.1989383379145369</c:v>
                </c:pt>
                <c:pt idx="14">
                  <c:v>2.8458061392264149</c:v>
                </c:pt>
                <c:pt idx="15">
                  <c:v>5.6387455673759401</c:v>
                </c:pt>
                <c:pt idx="16">
                  <c:v>13.74112873729422</c:v>
                </c:pt>
                <c:pt idx="17">
                  <c:v>34.833327835451641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79-43C0-B543-4B7F165E6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6067712"/>
        <c:axId val="496069632"/>
      </c:barChart>
      <c:lineChart>
        <c:grouping val="standard"/>
        <c:varyColors val="0"/>
        <c:ser>
          <c:idx val="2"/>
          <c:order val="3"/>
          <c:spPr>
            <a:ln w="38100">
              <a:solidFill>
                <a:srgbClr val="000080"/>
              </a:solidFill>
              <a:prstDash val="solid"/>
            </a:ln>
          </c:spPr>
          <c:marker>
            <c:symbol val="diamond"/>
            <c:size val="9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41.482201046704006</c:v>
                </c:pt>
                <c:pt idx="1">
                  <c:v>39.292868284527216</c:v>
                </c:pt>
                <c:pt idx="2">
                  <c:v>39.955172982558864</c:v>
                </c:pt>
                <c:pt idx="3">
                  <c:v>34.457578879124007</c:v>
                </c:pt>
                <c:pt idx="4">
                  <c:v>35.59053999092955</c:v>
                </c:pt>
                <c:pt idx="5">
                  <c:v>43.272089036718107</c:v>
                </c:pt>
                <c:pt idx="6">
                  <c:v>35.983312262958279</c:v>
                </c:pt>
                <c:pt idx="7">
                  <c:v>40.251983787602725</c:v>
                </c:pt>
                <c:pt idx="8">
                  <c:v>40.966554665288186</c:v>
                </c:pt>
                <c:pt idx="9">
                  <c:v>38.321848276874519</c:v>
                </c:pt>
                <c:pt idx="10">
                  <c:v>43.908844442170953</c:v>
                </c:pt>
                <c:pt idx="11">
                  <c:v>39.63601951304247</c:v>
                </c:pt>
                <c:pt idx="12">
                  <c:v>45.354256209484092</c:v>
                </c:pt>
                <c:pt idx="13">
                  <c:v>42.107491445560107</c:v>
                </c:pt>
                <c:pt idx="14">
                  <c:v>39.732638501839261</c:v>
                </c:pt>
                <c:pt idx="15">
                  <c:v>37.056707228213348</c:v>
                </c:pt>
                <c:pt idx="16">
                  <c:v>37.540722153702205</c:v>
                </c:pt>
                <c:pt idx="17">
                  <c:v>41.849998787231975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79-43C0-B543-4B7F165E6215}"/>
            </c:ext>
          </c:extLst>
        </c:ser>
        <c:ser>
          <c:idx val="3"/>
          <c:order val="4"/>
          <c:spPr>
            <a:ln w="38100">
              <a:solidFill>
                <a:srgbClr val="FF00FF"/>
              </a:solidFill>
              <a:prstDash val="solid"/>
            </a:ln>
          </c:spPr>
          <c:marker>
            <c:symbol val="square"/>
            <c:size val="7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40.241475623456928</c:v>
                </c:pt>
                <c:pt idx="1">
                  <c:v>40.193883904601648</c:v>
                </c:pt>
                <c:pt idx="2">
                  <c:v>40.146348470255546</c:v>
                </c:pt>
                <c:pt idx="3">
                  <c:v>40.098869253853536</c:v>
                </c:pt>
                <c:pt idx="4">
                  <c:v>40.051446188909274</c:v>
                </c:pt>
                <c:pt idx="5">
                  <c:v>40.004079209015075</c:v>
                </c:pt>
                <c:pt idx="6">
                  <c:v>39.956768247841715</c:v>
                </c:pt>
                <c:pt idx="7">
                  <c:v>39.909513239138512</c:v>
                </c:pt>
                <c:pt idx="8">
                  <c:v>39.862314116733046</c:v>
                </c:pt>
                <c:pt idx="9">
                  <c:v>39.815170814531228</c:v>
                </c:pt>
                <c:pt idx="10">
                  <c:v>39.768083266517067</c:v>
                </c:pt>
                <c:pt idx="11">
                  <c:v>39.7210514067527</c:v>
                </c:pt>
                <c:pt idx="12">
                  <c:v>39.674075169378256</c:v>
                </c:pt>
                <c:pt idx="13">
                  <c:v>39.627154488611673</c:v>
                </c:pt>
                <c:pt idx="14">
                  <c:v>39.580289298748788</c:v>
                </c:pt>
                <c:pt idx="15">
                  <c:v>39.53347953416305</c:v>
                </c:pt>
                <c:pt idx="16">
                  <c:v>39.486725129305583</c:v>
                </c:pt>
                <c:pt idx="17">
                  <c:v>39.440026018705034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279-43C0-B543-4B7F165E6215}"/>
            </c:ext>
          </c:extLst>
        </c:ser>
        <c:ser>
          <c:idx val="5"/>
          <c:order val="5"/>
          <c:spPr>
            <a:ln w="12700">
              <a:solidFill>
                <a:srgbClr val="FF6600"/>
              </a:solidFill>
              <a:prstDash val="solid"/>
            </a:ln>
          </c:spPr>
          <c:marker>
            <c:symbol val="triangle"/>
            <c:size val="9"/>
            <c:spPr>
              <a:solidFill>
                <a:srgbClr val="800000"/>
              </a:solidFill>
              <a:ln>
                <a:solidFill>
                  <a:srgbClr val="FF99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38.931023253180392</c:v>
                </c:pt>
                <c:pt idx="1">
                  <c:v>39.074897216162597</c:v>
                </c:pt>
                <c:pt idx="2">
                  <c:v>39.219302881512078</c:v>
                </c:pt>
                <c:pt idx="3">
                  <c:v>39.364242214194569</c:v>
                </c:pt>
                <c:pt idx="4">
                  <c:v>39.509717186437555</c:v>
                </c:pt>
                <c:pt idx="5">
                  <c:v>39.655729777757116</c:v>
                </c:pt>
                <c:pt idx="6">
                  <c:v>39.80228197498483</c:v>
                </c:pt>
                <c:pt idx="7">
                  <c:v>39.949375772294879</c:v>
                </c:pt>
                <c:pt idx="8">
                  <c:v>40.097013171231112</c:v>
                </c:pt>
                <c:pt idx="9">
                  <c:v>40.24519618073429</c:v>
                </c:pt>
                <c:pt idx="10">
                  <c:v>40.393926817169479</c:v>
                </c:pt>
                <c:pt idx="11">
                  <c:v>40.543207104353414</c:v>
                </c:pt>
                <c:pt idx="12">
                  <c:v>40.693039073582099</c:v>
                </c:pt>
                <c:pt idx="13">
                  <c:v>40.843424763658398</c:v>
                </c:pt>
                <c:pt idx="14">
                  <c:v>40.994366220919815</c:v>
                </c:pt>
                <c:pt idx="15">
                  <c:v>41.145865499266314</c:v>
                </c:pt>
                <c:pt idx="16">
                  <c:v>41.297924660188258</c:v>
                </c:pt>
                <c:pt idx="17">
                  <c:v>41.450545772794555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279-43C0-B543-4B7F165E6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161920"/>
        <c:axId val="496163456"/>
      </c:lineChart>
      <c:catAx>
        <c:axId val="49606771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606963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960696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PMPMs</a:t>
                </a:r>
              </a:p>
            </c:rich>
          </c:tx>
          <c:layout>
            <c:manualLayout>
              <c:xMode val="edge"/>
              <c:yMode val="edge"/>
              <c:x val="1.8026565464895658E-2"/>
              <c:y val="0.45161321110521008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6067712"/>
        <c:crosses val="autoZero"/>
        <c:crossBetween val="between"/>
      </c:valAx>
      <c:catAx>
        <c:axId val="496161920"/>
        <c:scaling>
          <c:orientation val="minMax"/>
        </c:scaling>
        <c:delete val="1"/>
        <c:axPos val="b"/>
        <c:majorTickMark val="out"/>
        <c:minorTickMark val="none"/>
        <c:tickLblPos val="none"/>
        <c:crossAx val="496163456"/>
        <c:crosses val="autoZero"/>
        <c:auto val="0"/>
        <c:lblAlgn val="ctr"/>
        <c:lblOffset val="100"/>
        <c:noMultiLvlLbl val="0"/>
      </c:catAx>
      <c:valAx>
        <c:axId val="496163456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96161920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78" r="0.75000000000000078" t="1" header="0.5" footer="0.5"/>
    <c:pageSetup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5958254269449758"/>
          <c:y val="2.7104136947218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946875531307229"/>
          <c:y val="0.10984308131241093"/>
          <c:w val="0.84577520218890234"/>
          <c:h val="0.70091809402681182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diamond"/>
            <c:size val="10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0.87909387335932276</c:v>
                </c:pt>
                <c:pt idx="3">
                  <c:v>0.93383202622570205</c:v>
                </c:pt>
                <c:pt idx="4">
                  <c:v>0.95356844093311832</c:v>
                </c:pt>
                <c:pt idx="5">
                  <c:v>0.96242769045952814</c:v>
                </c:pt>
                <c:pt idx="6">
                  <c:v>0.96929641614863582</c:v>
                </c:pt>
                <c:pt idx="7">
                  <c:v>0.97605994987273759</c:v>
                </c:pt>
                <c:pt idx="8">
                  <c:v>0.98008004829088269</c:v>
                </c:pt>
                <c:pt idx="9">
                  <c:v>0.98307841292336984</c:v>
                </c:pt>
                <c:pt idx="10">
                  <c:v>0.98622556459580313</c:v>
                </c:pt>
                <c:pt idx="11">
                  <c:v>0.98818794845553182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B5-4F17-8385-390985D47478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38100">
              <a:solidFill>
                <a:srgbClr val="FF00FF"/>
              </a:solidFill>
              <a:prstDash val="sysDash"/>
            </a:ln>
          </c:spPr>
          <c:marker>
            <c:symbol val="square"/>
            <c:size val="9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0.87409588137181282</c:v>
                </c:pt>
                <c:pt idx="3">
                  <c:v>0.92837614609871677</c:v>
                </c:pt>
                <c:pt idx="4">
                  <c:v>0.94777800665301637</c:v>
                </c:pt>
                <c:pt idx="5">
                  <c:v>0.95685483322655829</c:v>
                </c:pt>
                <c:pt idx="6">
                  <c:v>0.96398179238062165</c:v>
                </c:pt>
                <c:pt idx="7">
                  <c:v>0.97132728101712662</c:v>
                </c:pt>
                <c:pt idx="8">
                  <c:v>0.97521571083726688</c:v>
                </c:pt>
                <c:pt idx="9">
                  <c:v>0.97861987373546322</c:v>
                </c:pt>
                <c:pt idx="10">
                  <c:v>0.98217546750704832</c:v>
                </c:pt>
                <c:pt idx="11">
                  <c:v>0.98447441318381057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B5-4F17-8385-390985D47478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38100">
              <a:solidFill>
                <a:srgbClr val="FF0000"/>
              </a:solidFill>
              <a:prstDash val="lgDash"/>
            </a:ln>
          </c:spPr>
          <c:marker>
            <c:symbol val="triangle"/>
            <c:size val="9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0.87820248963569991</c:v>
                </c:pt>
                <c:pt idx="3">
                  <c:v>0.92758925354060517</c:v>
                </c:pt>
                <c:pt idx="4">
                  <c:v>0.94524790181229301</c:v>
                </c:pt>
                <c:pt idx="5">
                  <c:v>0.95442563316371398</c:v>
                </c:pt>
                <c:pt idx="6">
                  <c:v>0.96266732516683329</c:v>
                </c:pt>
                <c:pt idx="7">
                  <c:v>0.96975398823719716</c:v>
                </c:pt>
                <c:pt idx="8">
                  <c:v>0.97457072439158232</c:v>
                </c:pt>
                <c:pt idx="9">
                  <c:v>0.97812221495946883</c:v>
                </c:pt>
                <c:pt idx="10">
                  <c:v>0.98158971719507759</c:v>
                </c:pt>
                <c:pt idx="11">
                  <c:v>0.98418334317359979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B5-4F17-8385-390985D47478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25400">
              <a:solidFill>
                <a:srgbClr val="339966"/>
              </a:solidFill>
              <a:prstDash val="solid"/>
            </a:ln>
          </c:spPr>
          <c:marker>
            <c:symbol val="circle"/>
            <c:size val="9"/>
            <c:spPr>
              <a:solidFill>
                <a:srgbClr val="FFFFFF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0.80586142120701187</c:v>
                </c:pt>
                <c:pt idx="3">
                  <c:v>0.87266317835254281</c:v>
                </c:pt>
                <c:pt idx="4">
                  <c:v>0.90617230927349479</c:v>
                </c:pt>
                <c:pt idx="5">
                  <c:v>0.92793683044965436</c:v>
                </c:pt>
                <c:pt idx="6">
                  <c:v>0.94297653417538729</c:v>
                </c:pt>
                <c:pt idx="7">
                  <c:v>0.95481421391443222</c:v>
                </c:pt>
                <c:pt idx="8">
                  <c:v>0.96180874690162388</c:v>
                </c:pt>
                <c:pt idx="9">
                  <c:v>0.9678020710325459</c:v>
                </c:pt>
                <c:pt idx="10">
                  <c:v>0.97264985576250418</c:v>
                </c:pt>
                <c:pt idx="11">
                  <c:v>0.9777568238372073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B5-4F17-8385-390985D47478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11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0.88166185284618559</c:v>
                </c:pt>
                <c:pt idx="3">
                  <c:v>0.93111555708440763</c:v>
                </c:pt>
                <c:pt idx="4">
                  <c:v>0.94856143575069685</c:v>
                </c:pt>
                <c:pt idx="5">
                  <c:v>0.95780885209330213</c:v>
                </c:pt>
                <c:pt idx="6">
                  <c:v>0.96587441371815064</c:v>
                </c:pt>
                <c:pt idx="7">
                  <c:v>0.97273756151259516</c:v>
                </c:pt>
                <c:pt idx="8">
                  <c:v>0.97737831187969959</c:v>
                </c:pt>
                <c:pt idx="9">
                  <c:v>0.98089684997822646</c:v>
                </c:pt>
                <c:pt idx="10">
                  <c:v>0.98432951543940195</c:v>
                </c:pt>
                <c:pt idx="11">
                  <c:v>0.98677567309757686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9B5-4F17-8385-390985D474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991232"/>
        <c:axId val="497014272"/>
      </c:lineChart>
      <c:catAx>
        <c:axId val="49699123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39763459005148349"/>
              <c:y val="0.887230752071329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0142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7014272"/>
        <c:scaling>
          <c:orientation val="minMax"/>
          <c:max val="1.05"/>
          <c:min val="0.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6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3.1309297912713523E-2"/>
              <c:y val="0.3751783166904428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6991232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4272905114604068E-2"/>
          <c:y val="0.94323332240166069"/>
          <c:w val="0.92504783676234015"/>
          <c:h val="4.85021398002853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946875531307229"/>
          <c:y val="0.10289869635798286"/>
          <c:w val="0.8472489693508406"/>
          <c:h val="0.64492844900425872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34925">
              <a:solidFill>
                <a:srgbClr val="000080"/>
              </a:solidFill>
              <a:prstDash val="sysDash"/>
            </a:ln>
          </c:spPr>
          <c:marker>
            <c:symbol val="diamond"/>
            <c:size val="11"/>
            <c:spPr>
              <a:noFill/>
              <a:ln w="19050"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0.87909387335932276</c:v>
                </c:pt>
                <c:pt idx="3">
                  <c:v>0.93383202622570205</c:v>
                </c:pt>
                <c:pt idx="4">
                  <c:v>0.95356844093311832</c:v>
                </c:pt>
                <c:pt idx="5">
                  <c:v>0.96242769045952814</c:v>
                </c:pt>
                <c:pt idx="6">
                  <c:v>0.96929641614863582</c:v>
                </c:pt>
                <c:pt idx="7">
                  <c:v>0.97605994987273759</c:v>
                </c:pt>
                <c:pt idx="8">
                  <c:v>0.98008004829088269</c:v>
                </c:pt>
                <c:pt idx="9">
                  <c:v>0.98307841292336984</c:v>
                </c:pt>
                <c:pt idx="10">
                  <c:v>0.98622556459580313</c:v>
                </c:pt>
                <c:pt idx="11">
                  <c:v>0.98818794845553182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F4-4F53-9A98-5205B3E158CA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31750">
              <a:solidFill>
                <a:srgbClr val="FF00FF"/>
              </a:solidFill>
              <a:prstDash val="lgDashDotDot"/>
            </a:ln>
          </c:spPr>
          <c:marker>
            <c:symbol val="square"/>
            <c:size val="9"/>
            <c:spPr>
              <a:noFill/>
              <a:ln w="15875"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0.86875338352933695</c:v>
                </c:pt>
                <c:pt idx="3">
                  <c:v>0.92255614800264008</c:v>
                </c:pt>
                <c:pt idx="4">
                  <c:v>0.9416186084663587</c:v>
                </c:pt>
                <c:pt idx="5">
                  <c:v>0.95090620999990549</c:v>
                </c:pt>
                <c:pt idx="6">
                  <c:v>0.95833573469404598</c:v>
                </c:pt>
                <c:pt idx="7">
                  <c:v>0.96625439954803349</c:v>
                </c:pt>
                <c:pt idx="8">
                  <c:v>0.97001095691100037</c:v>
                </c:pt>
                <c:pt idx="9">
                  <c:v>0.9738157463321464</c:v>
                </c:pt>
                <c:pt idx="10">
                  <c:v>0.97777488796092704</c:v>
                </c:pt>
                <c:pt idx="11">
                  <c:v>0.9804069105563129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F4-4F53-9A98-5205B3E158CA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28575">
              <a:solidFill>
                <a:srgbClr val="FF0000"/>
              </a:solidFill>
              <a:prstDash val="lgDash"/>
            </a:ln>
          </c:spPr>
          <c:marker>
            <c:symbol val="triangle"/>
            <c:size val="9"/>
            <c:spPr>
              <a:noFill/>
              <a:ln w="15875"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0.86488471486644092</c:v>
                </c:pt>
                <c:pt idx="3">
                  <c:v>0.91416991165877703</c:v>
                </c:pt>
                <c:pt idx="4">
                  <c:v>0.93170174839347986</c:v>
                </c:pt>
                <c:pt idx="5">
                  <c:v>0.94314793438162448</c:v>
                </c:pt>
                <c:pt idx="6">
                  <c:v>0.95469838900122361</c:v>
                </c:pt>
                <c:pt idx="7">
                  <c:v>0.96276399676956825</c:v>
                </c:pt>
                <c:pt idx="8">
                  <c:v>0.96913770815091638</c:v>
                </c:pt>
                <c:pt idx="9">
                  <c:v>0.97297240486699776</c:v>
                </c:pt>
                <c:pt idx="10">
                  <c:v>0.9760973922461742</c:v>
                </c:pt>
                <c:pt idx="11">
                  <c:v>0.98018527609956596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F4-4F53-9A98-5205B3E158CA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38100">
              <a:solidFill>
                <a:srgbClr val="339966"/>
              </a:solidFill>
              <a:prstDash val="dashDot"/>
            </a:ln>
          </c:spPr>
          <c:marker>
            <c:symbol val="x"/>
            <c:size val="9"/>
            <c:spPr>
              <a:noFill/>
              <a:ln w="22225"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0.89659371220203343</c:v>
                </c:pt>
                <c:pt idx="3">
                  <c:v>0.93601863084926606</c:v>
                </c:pt>
                <c:pt idx="4">
                  <c:v>0.95024108913962546</c:v>
                </c:pt>
                <c:pt idx="5">
                  <c:v>0.95733827020665985</c:v>
                </c:pt>
                <c:pt idx="6">
                  <c:v>0.96460102768475775</c:v>
                </c:pt>
                <c:pt idx="7">
                  <c:v>0.9701586495113439</c:v>
                </c:pt>
                <c:pt idx="8">
                  <c:v>0.97524796952374337</c:v>
                </c:pt>
                <c:pt idx="9">
                  <c:v>0.9790687381057005</c:v>
                </c:pt>
                <c:pt idx="10">
                  <c:v>0.98317176365525227</c:v>
                </c:pt>
                <c:pt idx="11">
                  <c:v>0.98550117594572217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0F4-4F53-9A98-5205B3E158CA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41275">
              <a:solidFill>
                <a:srgbClr val="0070C0"/>
              </a:solidFill>
            </a:ln>
          </c:spPr>
          <c:marker>
            <c:symbol val="circle"/>
            <c:size val="11"/>
            <c:spPr>
              <a:noFill/>
              <a:ln w="25400">
                <a:solidFill>
                  <a:srgbClr val="0070C0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0.87409588137181282</c:v>
                </c:pt>
                <c:pt idx="3">
                  <c:v>0.92837614609871677</c:v>
                </c:pt>
                <c:pt idx="4">
                  <c:v>0.94777800665301637</c:v>
                </c:pt>
                <c:pt idx="5">
                  <c:v>0.95685483322655829</c:v>
                </c:pt>
                <c:pt idx="6">
                  <c:v>0.96398179238062165</c:v>
                </c:pt>
                <c:pt idx="7">
                  <c:v>0.97132728101712662</c:v>
                </c:pt>
                <c:pt idx="8">
                  <c:v>0.97521571083726688</c:v>
                </c:pt>
                <c:pt idx="9">
                  <c:v>0.97861987373546322</c:v>
                </c:pt>
                <c:pt idx="10">
                  <c:v>0.98217546750704832</c:v>
                </c:pt>
                <c:pt idx="11">
                  <c:v>0.98447441318381057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0F4-4F53-9A98-5205B3E15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265280"/>
        <c:axId val="497316992"/>
      </c:lineChart>
      <c:catAx>
        <c:axId val="4972652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40132847246086722"/>
              <c:y val="0.823189623036250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316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7316992"/>
        <c:scaling>
          <c:orientation val="minMax"/>
          <c:max val="1.05"/>
          <c:min val="0.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6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3.1309297912713523E-2"/>
              <c:y val="0.28840625356613026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265280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1979779567402283"/>
          <c:y val="0.89710281866940578"/>
          <c:w val="0.66508518977822251"/>
          <c:h val="6.23174711856670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3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30998080614203516"/>
          <c:y val="2.62068965517241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228412171423362"/>
          <c:y val="8.9655172413793324E-2"/>
          <c:w val="0.87236125331827663"/>
          <c:h val="0.7751724137931045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5095954.3900000257</c:v>
                </c:pt>
                <c:pt idx="1">
                  <c:v>4865514.1700000167</c:v>
                </c:pt>
                <c:pt idx="2">
                  <c:v>5809110.5600000238</c:v>
                </c:pt>
                <c:pt idx="3">
                  <c:v>5131677.3100000117</c:v>
                </c:pt>
                <c:pt idx="4">
                  <c:v>4586340.4299999904</c:v>
                </c:pt>
                <c:pt idx="5">
                  <c:v>5780065.1999999704</c:v>
                </c:pt>
                <c:pt idx="6">
                  <c:v>4199208.1499999892</c:v>
                </c:pt>
                <c:pt idx="7">
                  <c:v>5269479.2099999841</c:v>
                </c:pt>
                <c:pt idx="8">
                  <c:v>5161983.979999993</c:v>
                </c:pt>
                <c:pt idx="9">
                  <c:v>5024298.1099999929</c:v>
                </c:pt>
                <c:pt idx="10">
                  <c:v>5269664.7599999877</c:v>
                </c:pt>
                <c:pt idx="11">
                  <c:v>5754302.1099999854</c:v>
                </c:pt>
                <c:pt idx="12">
                  <c:v>6436494.1199999833</c:v>
                </c:pt>
                <c:pt idx="13">
                  <c:v>5920319.6200000057</c:v>
                </c:pt>
                <c:pt idx="14">
                  <c:v>5777917.9799999846</c:v>
                </c:pt>
                <c:pt idx="15">
                  <c:v>5923338.4999999972</c:v>
                </c:pt>
                <c:pt idx="16">
                  <c:v>5585363.9099999908</c:v>
                </c:pt>
                <c:pt idx="17">
                  <c:v>5452454.4600000046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07-4683-9DE4-FF16658BAE33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5095954.3900000257</c:v>
                </c:pt>
                <c:pt idx="1">
                  <c:v>4865514.1700000167</c:v>
                </c:pt>
                <c:pt idx="2">
                  <c:v>5809110.5600000238</c:v>
                </c:pt>
                <c:pt idx="3">
                  <c:v>5131677.3100000117</c:v>
                </c:pt>
                <c:pt idx="4">
                  <c:v>4586340.4299999904</c:v>
                </c:pt>
                <c:pt idx="5">
                  <c:v>5780065.1999999704</c:v>
                </c:pt>
                <c:pt idx="6">
                  <c:v>4199208.1499999892</c:v>
                </c:pt>
                <c:pt idx="7">
                  <c:v>5269479.2099999841</c:v>
                </c:pt>
                <c:pt idx="8">
                  <c:v>5161983.979999993</c:v>
                </c:pt>
                <c:pt idx="9">
                  <c:v>5024298.1099999929</c:v>
                </c:pt>
                <c:pt idx="10">
                  <c:v>5269664.7599999877</c:v>
                </c:pt>
                <c:pt idx="11">
                  <c:v>5754302.1099999854</c:v>
                </c:pt>
                <c:pt idx="12">
                  <c:v>6436494.1199999833</c:v>
                </c:pt>
                <c:pt idx="13">
                  <c:v>5920319.6200000057</c:v>
                </c:pt>
                <c:pt idx="14">
                  <c:v>5777917.9799999846</c:v>
                </c:pt>
                <c:pt idx="15">
                  <c:v>5923338.4999999972</c:v>
                </c:pt>
                <c:pt idx="16">
                  <c:v>5585363.9099999908</c:v>
                </c:pt>
                <c:pt idx="17">
                  <c:v>5452454.4600000046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07-4683-9DE4-FF16658BA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7436928"/>
        <c:axId val="497553792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07-4683-9DE4-FF16658BAE33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square"/>
            <c:size val="9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5346516.4463065388</c:v>
                </c:pt>
                <c:pt idx="1">
                  <c:v>5047051.0525426669</c:v>
                </c:pt>
                <c:pt idx="2">
                  <c:v>5120495.1487528142</c:v>
                </c:pt>
                <c:pt idx="3">
                  <c:v>4620382.2943228586</c:v>
                </c:pt>
                <c:pt idx="4">
                  <c:v>4821841.9485111265</c:v>
                </c:pt>
                <c:pt idx="5">
                  <c:v>5834981.5740672164</c:v>
                </c:pt>
                <c:pt idx="6">
                  <c:v>4838676</c:v>
                </c:pt>
                <c:pt idx="7">
                  <c:v>5412483</c:v>
                </c:pt>
                <c:pt idx="8">
                  <c:v>5547486</c:v>
                </c:pt>
                <c:pt idx="9">
                  <c:v>5220777</c:v>
                </c:pt>
                <c:pt idx="10">
                  <c:v>6008618</c:v>
                </c:pt>
                <c:pt idx="11">
                  <c:v>5476271</c:v>
                </c:pt>
                <c:pt idx="12">
                  <c:v>6394678</c:v>
                </c:pt>
                <c:pt idx="13">
                  <c:v>6005202</c:v>
                </c:pt>
                <c:pt idx="14">
                  <c:v>5703064</c:v>
                </c:pt>
                <c:pt idx="15">
                  <c:v>6102795</c:v>
                </c:pt>
                <c:pt idx="16">
                  <c:v>6178865</c:v>
                </c:pt>
                <c:pt idx="17">
                  <c:v>6901567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07-4683-9DE4-FF16658BA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555328"/>
        <c:axId val="497556864"/>
      </c:lineChart>
      <c:catAx>
        <c:axId val="49743692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55379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975537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436928"/>
        <c:crosses val="autoZero"/>
        <c:crossBetween val="between"/>
      </c:valAx>
      <c:catAx>
        <c:axId val="4975553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97556864"/>
        <c:crosses val="autoZero"/>
        <c:auto val="0"/>
        <c:lblAlgn val="ctr"/>
        <c:lblOffset val="100"/>
        <c:noMultiLvlLbl val="0"/>
      </c:catAx>
      <c:valAx>
        <c:axId val="49755686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97555328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34548964488843886"/>
          <c:y val="0.95586206896551729"/>
          <c:w val="0.41074876197097293"/>
          <c:h val="3.31034482758620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78" r="0.75000000000000078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1316042267050931"/>
          <c:y val="2.666666666666667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7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0518788761171623E-2"/>
          <c:y val="9.7777919238887803E-2"/>
          <c:w val="0.92411229822614427"/>
          <c:h val="0.798519673784250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1.4015141411028174</c:v>
                </c:pt>
                <c:pt idx="1">
                  <c:v>1.7155183724395533</c:v>
                </c:pt>
                <c:pt idx="2">
                  <c:v>1.4219479117643059</c:v>
                </c:pt>
                <c:pt idx="3">
                  <c:v>1.4512651692824383</c:v>
                </c:pt>
                <c:pt idx="4">
                  <c:v>1.8399197636534819</c:v>
                </c:pt>
                <c:pt idx="5">
                  <c:v>1.1986605185699328</c:v>
                </c:pt>
                <c:pt idx="6">
                  <c:v>1.4139758492324335</c:v>
                </c:pt>
                <c:pt idx="7">
                  <c:v>1.4863687392743334</c:v>
                </c:pt>
                <c:pt idx="8">
                  <c:v>1.334686902689693</c:v>
                </c:pt>
                <c:pt idx="9">
                  <c:v>1.5290577015542586</c:v>
                </c:pt>
                <c:pt idx="10">
                  <c:v>1.601199541960997</c:v>
                </c:pt>
                <c:pt idx="11">
                  <c:v>1.7690423956555197</c:v>
                </c:pt>
                <c:pt idx="12">
                  <c:v>1.4148367403464688</c:v>
                </c:pt>
                <c:pt idx="13">
                  <c:v>1.5836270356633217</c:v>
                </c:pt>
                <c:pt idx="14">
                  <c:v>1.488565846689297</c:v>
                </c:pt>
                <c:pt idx="15">
                  <c:v>1.3900507002934246</c:v>
                </c:pt>
                <c:pt idx="16">
                  <c:v>1.6458325953554589</c:v>
                </c:pt>
                <c:pt idx="17">
                  <c:v>1.3738519367661068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96-45A7-BC9F-A26F4962C5E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97593344"/>
        <c:axId val="497653632"/>
      </c:barChart>
      <c:catAx>
        <c:axId val="49759334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653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76536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593344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8803088803088853"/>
          <c:y val="2.749638205499279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7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150616455368764E-2"/>
          <c:y val="9.5513815683944014E-2"/>
          <c:w val="0.90637108355599005"/>
          <c:h val="0.801737180134923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107101</c:v>
                </c:pt>
                <c:pt idx="1">
                  <c:v>107146</c:v>
                </c:pt>
                <c:pt idx="2">
                  <c:v>107140</c:v>
                </c:pt>
                <c:pt idx="3">
                  <c:v>107241</c:v>
                </c:pt>
                <c:pt idx="4">
                  <c:v>107513</c:v>
                </c:pt>
                <c:pt idx="5">
                  <c:v>107756</c:v>
                </c:pt>
                <c:pt idx="6">
                  <c:v>107747</c:v>
                </c:pt>
                <c:pt idx="7">
                  <c:v>108297</c:v>
                </c:pt>
                <c:pt idx="8">
                  <c:v>110175</c:v>
                </c:pt>
                <c:pt idx="9">
                  <c:v>129231</c:v>
                </c:pt>
                <c:pt idx="10">
                  <c:v>132944</c:v>
                </c:pt>
                <c:pt idx="11">
                  <c:v>131999</c:v>
                </c:pt>
                <c:pt idx="12">
                  <c:v>132272</c:v>
                </c:pt>
                <c:pt idx="13">
                  <c:v>132389</c:v>
                </c:pt>
                <c:pt idx="14">
                  <c:v>131777</c:v>
                </c:pt>
                <c:pt idx="15">
                  <c:v>131723</c:v>
                </c:pt>
                <c:pt idx="16">
                  <c:v>130970</c:v>
                </c:pt>
                <c:pt idx="17">
                  <c:v>129309</c:v>
                </c:pt>
                <c:pt idx="18">
                  <c:v>128887</c:v>
                </c:pt>
                <c:pt idx="19">
                  <c:v>128447</c:v>
                </c:pt>
                <c:pt idx="20">
                  <c:v>128156</c:v>
                </c:pt>
                <c:pt idx="21">
                  <c:v>134089</c:v>
                </c:pt>
                <c:pt idx="22">
                  <c:v>135481</c:v>
                </c:pt>
                <c:pt idx="23">
                  <c:v>134844</c:v>
                </c:pt>
                <c:pt idx="24">
                  <c:v>134470</c:v>
                </c:pt>
                <c:pt idx="25">
                  <c:v>134465</c:v>
                </c:pt>
                <c:pt idx="26">
                  <c:v>135415</c:v>
                </c:pt>
                <c:pt idx="27">
                  <c:v>136235</c:v>
                </c:pt>
                <c:pt idx="28">
                  <c:v>136843</c:v>
                </c:pt>
                <c:pt idx="29">
                  <c:v>138164</c:v>
                </c:pt>
                <c:pt idx="30">
                  <c:v>140994</c:v>
                </c:pt>
                <c:pt idx="31">
                  <c:v>142616</c:v>
                </c:pt>
                <c:pt idx="32">
                  <c:v>143536</c:v>
                </c:pt>
                <c:pt idx="33">
                  <c:v>164688</c:v>
                </c:pt>
                <c:pt idx="34">
                  <c:v>164591</c:v>
                </c:pt>
                <c:pt idx="35">
                  <c:v>164912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D5-4C75-8955-4137133C6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7735552"/>
        <c:axId val="497737088"/>
      </c:barChart>
      <c:catAx>
        <c:axId val="49773555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737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77370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73555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Hospital Per Diems</a:t>
            </a:r>
          </a:p>
        </c:rich>
      </c:tx>
      <c:layout>
        <c:manualLayout>
          <c:xMode val="edge"/>
          <c:yMode val="edge"/>
          <c:x val="0.41227229146692235"/>
          <c:y val="2.7104136947218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990412272291552E-2"/>
          <c:y val="9.129814550641957E-2"/>
          <c:w val="0.91466922339405565"/>
          <c:h val="0.766048502139801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Charts!$AP$310</c:f>
              <c:strCache>
                <c:ptCount val="1"/>
                <c:pt idx="0">
                  <c:v>Actual Per Diem</c:v>
                </c:pt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Charts!$AP$311:$AP$328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E-4EE3-BEDE-8AAA767AFCCB}"/>
            </c:ext>
          </c:extLst>
        </c:ser>
        <c:ser>
          <c:idx val="0"/>
          <c:order val="1"/>
          <c:tx>
            <c:strRef>
              <c:f>Charts!$AQ$310</c:f>
              <c:strCache>
                <c:ptCount val="1"/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Charts!$AQ$311:$AQ$328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AE-4EE3-BEDE-8AAA767AF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8388992"/>
        <c:axId val="498390912"/>
      </c:barChart>
      <c:lineChart>
        <c:grouping val="standard"/>
        <c:varyColors val="0"/>
        <c:ser>
          <c:idx val="2"/>
          <c:order val="2"/>
          <c:tx>
            <c:strRef>
              <c:f>Charts!$AR$310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Charts!$AR$311:$AR$328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AE-4EE3-BEDE-8AAA767AFCCB}"/>
            </c:ext>
          </c:extLst>
        </c:ser>
        <c:ser>
          <c:idx val="3"/>
          <c:order val="3"/>
          <c:tx>
            <c:strRef>
              <c:f>Charts!$AS$310</c:f>
              <c:strCache>
                <c:ptCount val="1"/>
                <c:pt idx="0">
                  <c:v>Least Square Trended Per Diem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square"/>
            <c:size val="9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Charts!$AS$311:$AS$328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AE-4EE3-BEDE-8AAA767AF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92448"/>
        <c:axId val="498414720"/>
      </c:lineChart>
      <c:catAx>
        <c:axId val="4983889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28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3909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983909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388992"/>
        <c:crosses val="autoZero"/>
        <c:crossBetween val="between"/>
      </c:valAx>
      <c:catAx>
        <c:axId val="498392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98414720"/>
        <c:crosses val="autoZero"/>
        <c:auto val="0"/>
        <c:lblAlgn val="ctr"/>
        <c:lblOffset val="100"/>
        <c:noMultiLvlLbl val="0"/>
      </c:catAx>
      <c:valAx>
        <c:axId val="49841472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98392448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9530201342281925"/>
          <c:y val="0.9543509272467906"/>
          <c:w val="0.46500479386385507"/>
          <c:h val="3.423680456490731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1880341880341881"/>
          <c:y val="2.764976958525352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66486068901052"/>
          <c:y val="9.0629936260825078E-2"/>
          <c:w val="0.8708460118096476"/>
          <c:h val="0.74040049623250415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11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35.869891317541402</c:v>
                </c:pt>
                <c:pt idx="1">
                  <c:v>36.591966235234068</c:v>
                </c:pt>
                <c:pt idx="2">
                  <c:v>38.790531392615186</c:v>
                </c:pt>
                <c:pt idx="3">
                  <c:v>40.350388620093234</c:v>
                </c:pt>
                <c:pt idx="4">
                  <c:v>47.798624963803547</c:v>
                </c:pt>
                <c:pt idx="5">
                  <c:v>46.237790728679677</c:v>
                </c:pt>
                <c:pt idx="6">
                  <c:v>47.622125569631088</c:v>
                </c:pt>
                <c:pt idx="7">
                  <c:v>47.227304643709218</c:v>
                </c:pt>
                <c:pt idx="8">
                  <c:v>48.96810775013158</c:v>
                </c:pt>
                <c:pt idx="9">
                  <c:v>32.792024176098245</c:v>
                </c:pt>
                <c:pt idx="10">
                  <c:v>31.17009535145916</c:v>
                </c:pt>
                <c:pt idx="11">
                  <c:v>39.046129236548509</c:v>
                </c:pt>
                <c:pt idx="12">
                  <c:v>37.458797906089245</c:v>
                </c:pt>
                <c:pt idx="13">
                  <c:v>39.220997237718201</c:v>
                </c:pt>
                <c:pt idx="14">
                  <c:v>39.387231494672243</c:v>
                </c:pt>
                <c:pt idx="15">
                  <c:v>37.986203504258292</c:v>
                </c:pt>
                <c:pt idx="16">
                  <c:v>44.71334857009554</c:v>
                </c:pt>
                <c:pt idx="17">
                  <c:v>40.787181949898923</c:v>
                </c:pt>
                <c:pt idx="18">
                  <c:v>41.482201046704006</c:v>
                </c:pt>
                <c:pt idx="19">
                  <c:v>39.292868284527216</c:v>
                </c:pt>
                <c:pt idx="20">
                  <c:v>39.955172982558864</c:v>
                </c:pt>
                <c:pt idx="21">
                  <c:v>34.457578879124007</c:v>
                </c:pt>
                <c:pt idx="22">
                  <c:v>35.59053999092955</c:v>
                </c:pt>
                <c:pt idx="23">
                  <c:v>43.272089036718107</c:v>
                </c:pt>
                <c:pt idx="24">
                  <c:v>35.983312262958279</c:v>
                </c:pt>
                <c:pt idx="25">
                  <c:v>40.251983787602725</c:v>
                </c:pt>
                <c:pt idx="26">
                  <c:v>40.966554665288186</c:v>
                </c:pt>
                <c:pt idx="27">
                  <c:v>38.321848276874519</c:v>
                </c:pt>
                <c:pt idx="28">
                  <c:v>43.908844442170953</c:v>
                </c:pt>
                <c:pt idx="29">
                  <c:v>39.63601951304247</c:v>
                </c:pt>
                <c:pt idx="30">
                  <c:v>45.354256209484092</c:v>
                </c:pt>
                <c:pt idx="31">
                  <c:v>42.107491445560107</c:v>
                </c:pt>
                <c:pt idx="32">
                  <c:v>39.732638501839261</c:v>
                </c:pt>
                <c:pt idx="33">
                  <c:v>37.056707228213348</c:v>
                </c:pt>
                <c:pt idx="34">
                  <c:v>37.540722153702205</c:v>
                </c:pt>
                <c:pt idx="35">
                  <c:v>41.849998787231975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8E-497B-93EB-3A6CE36EA56D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41.059211258767021</c:v>
                </c:pt>
                <c:pt idx="2">
                  <c:v>41.010652442064291</c:v>
                </c:pt>
                <c:pt idx="3">
                  <c:v>40.962151053612324</c:v>
                </c:pt>
                <c:pt idx="4">
                  <c:v>40.913707025493366</c:v>
                </c:pt>
                <c:pt idx="5">
                  <c:v>40.865320289870041</c:v>
                </c:pt>
                <c:pt idx="6">
                  <c:v>40.816990778985208</c:v>
                </c:pt>
                <c:pt idx="7">
                  <c:v>40.768718425161786</c:v>
                </c:pt>
                <c:pt idx="8">
                  <c:v>40.720503160802821</c:v>
                </c:pt>
                <c:pt idx="9">
                  <c:v>40.672344918391232</c:v>
                </c:pt>
                <c:pt idx="10">
                  <c:v>40.62424363048985</c:v>
                </c:pt>
                <c:pt idx="11">
                  <c:v>40.576199229741192</c:v>
                </c:pt>
                <c:pt idx="12">
                  <c:v>40.52821164886749</c:v>
                </c:pt>
                <c:pt idx="13">
                  <c:v>40.480280820670544</c:v>
                </c:pt>
                <c:pt idx="14">
                  <c:v>40.432406678031569</c:v>
                </c:pt>
                <c:pt idx="15">
                  <c:v>40.384589153911236</c:v>
                </c:pt>
                <c:pt idx="16">
                  <c:v>40.336828181349418</c:v>
                </c:pt>
                <c:pt idx="17">
                  <c:v>40.289123693465243</c:v>
                </c:pt>
                <c:pt idx="18">
                  <c:v>40.241475623456928</c:v>
                </c:pt>
                <c:pt idx="19">
                  <c:v>40.193883904601648</c:v>
                </c:pt>
                <c:pt idx="20">
                  <c:v>40.146348470255546</c:v>
                </c:pt>
                <c:pt idx="21">
                  <c:v>40.098869253853536</c:v>
                </c:pt>
                <c:pt idx="22">
                  <c:v>40.051446188909274</c:v>
                </c:pt>
                <c:pt idx="23">
                  <c:v>40.004079209015075</c:v>
                </c:pt>
                <c:pt idx="24">
                  <c:v>39.956768247841715</c:v>
                </c:pt>
                <c:pt idx="25">
                  <c:v>39.909513239138512</c:v>
                </c:pt>
                <c:pt idx="26">
                  <c:v>39.862314116733046</c:v>
                </c:pt>
                <c:pt idx="27">
                  <c:v>39.815170814531228</c:v>
                </c:pt>
                <c:pt idx="28">
                  <c:v>39.768083266517067</c:v>
                </c:pt>
                <c:pt idx="29">
                  <c:v>39.7210514067527</c:v>
                </c:pt>
                <c:pt idx="30">
                  <c:v>39.674075169378256</c:v>
                </c:pt>
                <c:pt idx="31">
                  <c:v>39.627154488611673</c:v>
                </c:pt>
                <c:pt idx="32">
                  <c:v>39.580289298748788</c:v>
                </c:pt>
                <c:pt idx="33">
                  <c:v>39.53347953416305</c:v>
                </c:pt>
                <c:pt idx="34">
                  <c:v>39.486725129305583</c:v>
                </c:pt>
                <c:pt idx="35">
                  <c:v>39.440026018705034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8E-497B-93EB-3A6CE36EA56D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37.798939413948808</c:v>
                </c:pt>
                <c:pt idx="11">
                  <c:v>37.93862963412726</c:v>
                </c:pt>
                <c:pt idx="12">
                  <c:v>38.078836095182204</c:v>
                </c:pt>
                <c:pt idx="13">
                  <c:v>38.219560704939695</c:v>
                </c:pt>
                <c:pt idx="14">
                  <c:v>38.360805378276368</c:v>
                </c:pt>
                <c:pt idx="15">
                  <c:v>38.502572037145548</c:v>
                </c:pt>
                <c:pt idx="16">
                  <c:v>38.644862610603298</c:v>
                </c:pt>
                <c:pt idx="17">
                  <c:v>38.787679034834738</c:v>
                </c:pt>
                <c:pt idx="18">
                  <c:v>38.931023253180392</c:v>
                </c:pt>
                <c:pt idx="19">
                  <c:v>39.074897216162597</c:v>
                </c:pt>
                <c:pt idx="20">
                  <c:v>39.219302881512078</c:v>
                </c:pt>
                <c:pt idx="21">
                  <c:v>39.364242214194569</c:v>
                </c:pt>
                <c:pt idx="22">
                  <c:v>39.509717186437555</c:v>
                </c:pt>
                <c:pt idx="23">
                  <c:v>39.655729777757116</c:v>
                </c:pt>
                <c:pt idx="24">
                  <c:v>39.80228197498483</c:v>
                </c:pt>
                <c:pt idx="25">
                  <c:v>39.949375772294879</c:v>
                </c:pt>
                <c:pt idx="26">
                  <c:v>40.097013171231112</c:v>
                </c:pt>
                <c:pt idx="27">
                  <c:v>40.24519618073429</c:v>
                </c:pt>
                <c:pt idx="28">
                  <c:v>40.393926817169479</c:v>
                </c:pt>
                <c:pt idx="29">
                  <c:v>40.543207104353414</c:v>
                </c:pt>
                <c:pt idx="30">
                  <c:v>40.693039073582099</c:v>
                </c:pt>
                <c:pt idx="31">
                  <c:v>40.843424763658398</c:v>
                </c:pt>
                <c:pt idx="32">
                  <c:v>40.994366220919815</c:v>
                </c:pt>
                <c:pt idx="33">
                  <c:v>41.145865499266314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8E-497B-93EB-3A6CE36EA56D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circle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39.577895374722281</c:v>
                </c:pt>
                <c:pt idx="17">
                  <c:v>39.627826292020565</c:v>
                </c:pt>
                <c:pt idx="18">
                  <c:v>39.677820201463291</c:v>
                </c:pt>
                <c:pt idx="19">
                  <c:v>39.727877182520444</c:v>
                </c:pt>
                <c:pt idx="20">
                  <c:v>39.777997314762338</c:v>
                </c:pt>
                <c:pt idx="21">
                  <c:v>39.828180677859585</c:v>
                </c:pt>
                <c:pt idx="22">
                  <c:v>39.878427351583355</c:v>
                </c:pt>
                <c:pt idx="23">
                  <c:v>39.928737415805429</c:v>
                </c:pt>
                <c:pt idx="24">
                  <c:v>39.979110950498402</c:v>
                </c:pt>
                <c:pt idx="25">
                  <c:v>40.029548035735708</c:v>
                </c:pt>
                <c:pt idx="26">
                  <c:v>40.080048751691812</c:v>
                </c:pt>
                <c:pt idx="27">
                  <c:v>40.130613178642363</c:v>
                </c:pt>
                <c:pt idx="28">
                  <c:v>40.181241396964246</c:v>
                </c:pt>
                <c:pt idx="29">
                  <c:v>40.231933487135763</c:v>
                </c:pt>
                <c:pt idx="30">
                  <c:v>40.282689529736714</c:v>
                </c:pt>
                <c:pt idx="31">
                  <c:v>40.333509605448626</c:v>
                </c:pt>
                <c:pt idx="32">
                  <c:v>40.384393795054763</c:v>
                </c:pt>
                <c:pt idx="33">
                  <c:v>40.435342179440305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8E-497B-93EB-3A6CE36EA56D}"/>
            </c:ext>
          </c:extLst>
        </c:ser>
        <c:ser>
          <c:idx val="4"/>
          <c:order val="4"/>
          <c:tx>
            <c:strRef>
              <c:f>Charts!$AP$5</c:f>
              <c:strCache>
                <c:ptCount val="1"/>
                <c:pt idx="0">
                  <c:v>Lst Sq-12 Mo</c:v>
                </c:pt>
              </c:strCache>
            </c:strRef>
          </c:tx>
          <c:spPr>
            <a:ln w="38100">
              <a:solidFill>
                <a:sysClr val="windowText" lastClr="000000"/>
              </a:solidFill>
              <a:prstDash val="sysDot"/>
            </a:ln>
          </c:spPr>
          <c:marker>
            <c:spPr>
              <a:noFill/>
              <a:ln>
                <a:solidFill>
                  <a:sysClr val="windowText" lastClr="000000"/>
                </a:solidFill>
              </a:ln>
            </c:spPr>
          </c:marker>
          <c:val>
            <c:numRef>
              <c:f>Charts!$AX$9:$AX$44</c:f>
              <c:numCache>
                <c:formatCode>"$"#,##0.00</c:formatCode>
                <c:ptCount val="36"/>
                <c:pt idx="22">
                  <c:v>39.01297329838463</c:v>
                </c:pt>
                <c:pt idx="23">
                  <c:v>39.213531703317308</c:v>
                </c:pt>
                <c:pt idx="24">
                  <c:v>39.415121141529113</c:v>
                </c:pt>
                <c:pt idx="25">
                  <c:v>39.61774691336948</c:v>
                </c:pt>
                <c:pt idx="26">
                  <c:v>39.82141434643593</c:v>
                </c:pt>
                <c:pt idx="27">
                  <c:v>40.026128795714122</c:v>
                </c:pt>
                <c:pt idx="28">
                  <c:v>40.231895643718758</c:v>
                </c:pt>
                <c:pt idx="29">
                  <c:v>40.438720300635033</c:v>
                </c:pt>
                <c:pt idx="30">
                  <c:v>40.64660820446084</c:v>
                </c:pt>
                <c:pt idx="31">
                  <c:v>40.855564821149862</c:v>
                </c:pt>
                <c:pt idx="32">
                  <c:v>41.065595644755213</c:v>
                </c:pt>
                <c:pt idx="33">
                  <c:v>41.27670619757388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CC-4BCD-BF7F-BA2191AA9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653056"/>
        <c:axId val="498655232"/>
      </c:lineChart>
      <c:catAx>
        <c:axId val="49865305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655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8655232"/>
        <c:scaling>
          <c:orientation val="minMax"/>
          <c:max val="59"/>
          <c:min val="2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PMPMs</a:t>
                </a:r>
              </a:p>
            </c:rich>
          </c:tx>
          <c:layout>
            <c:manualLayout>
              <c:xMode val="edge"/>
              <c:yMode val="edge"/>
              <c:x val="1.4245014245014259E-2"/>
              <c:y val="0.41321109054916522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653056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1464139957389279E-2"/>
          <c:y val="0.93702142070950889"/>
          <c:w val="0.88212743332115195"/>
          <c:h val="6.297849278709846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7666034155597738"/>
          <c:y val="2.63929618768328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36437472406768"/>
          <c:y val="0.10263936967284404"/>
          <c:w val="0.88045581585395249"/>
          <c:h val="0.7917894231905130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0.24959915512441702</c:v>
                </c:pt>
                <c:pt idx="1">
                  <c:v>0.27418952986562312</c:v>
                </c:pt>
                <c:pt idx="2">
                  <c:v>0.30109826112542049</c:v>
                </c:pt>
                <c:pt idx="3">
                  <c:v>0.31269346719620922</c:v>
                </c:pt>
                <c:pt idx="4">
                  <c:v>0.37036911826113594</c:v>
                </c:pt>
                <c:pt idx="5">
                  <c:v>0.54371439639319596</c:v>
                </c:pt>
                <c:pt idx="6">
                  <c:v>0.55866066780702617</c:v>
                </c:pt>
                <c:pt idx="7">
                  <c:v>0.71747213029414691</c:v>
                </c:pt>
                <c:pt idx="8">
                  <c:v>0.87586825684018188</c:v>
                </c:pt>
                <c:pt idx="9">
                  <c:v>0.94977751679092437</c:v>
                </c:pt>
                <c:pt idx="10">
                  <c:v>1.2589881104624836</c:v>
                </c:pt>
                <c:pt idx="11">
                  <c:v>1.4276210156046916</c:v>
                </c:pt>
                <c:pt idx="12">
                  <c:v>1.9568181624749865</c:v>
                </c:pt>
                <c:pt idx="13">
                  <c:v>2.1989383379145369</c:v>
                </c:pt>
                <c:pt idx="14">
                  <c:v>2.8458061392264149</c:v>
                </c:pt>
                <c:pt idx="15">
                  <c:v>5.6387455673759401</c:v>
                </c:pt>
                <c:pt idx="16">
                  <c:v>13.74112873729422</c:v>
                </c:pt>
                <c:pt idx="17">
                  <c:v>34.833327835451641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A0-4938-9B5D-B4B3977EA603}"/>
            </c:ext>
          </c:extLst>
        </c:ser>
        <c:ser>
          <c:idx val="0"/>
          <c:order val="1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0.24959915512441702</c:v>
                </c:pt>
                <c:pt idx="1">
                  <c:v>0.27418952986562312</c:v>
                </c:pt>
                <c:pt idx="2">
                  <c:v>0.30109826112542049</c:v>
                </c:pt>
                <c:pt idx="3">
                  <c:v>0.31269346719620922</c:v>
                </c:pt>
                <c:pt idx="4">
                  <c:v>0.37036911826113594</c:v>
                </c:pt>
                <c:pt idx="5">
                  <c:v>0.54371439639319596</c:v>
                </c:pt>
                <c:pt idx="6">
                  <c:v>0.55866066780702617</c:v>
                </c:pt>
                <c:pt idx="7">
                  <c:v>0.71747213029414691</c:v>
                </c:pt>
                <c:pt idx="8">
                  <c:v>0.87586825684018188</c:v>
                </c:pt>
                <c:pt idx="9">
                  <c:v>0.94977751679092437</c:v>
                </c:pt>
                <c:pt idx="10">
                  <c:v>1.2589881104624836</c:v>
                </c:pt>
                <c:pt idx="11">
                  <c:v>1.4276210156046916</c:v>
                </c:pt>
                <c:pt idx="12">
                  <c:v>1.9568181624749865</c:v>
                </c:pt>
                <c:pt idx="13">
                  <c:v>2.1989383379145369</c:v>
                </c:pt>
                <c:pt idx="14">
                  <c:v>2.8458061392264149</c:v>
                </c:pt>
                <c:pt idx="15">
                  <c:v>5.6387455673759401</c:v>
                </c:pt>
                <c:pt idx="16">
                  <c:v>13.74112873729422</c:v>
                </c:pt>
                <c:pt idx="17">
                  <c:v>34.833327835451641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A0-4938-9B5D-B4B3977EA603}"/>
            </c:ext>
          </c:extLst>
        </c:ser>
        <c:ser>
          <c:idx val="4"/>
          <c:order val="2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0.24959915512441702</c:v>
                </c:pt>
                <c:pt idx="1">
                  <c:v>0.27418952986562312</c:v>
                </c:pt>
                <c:pt idx="2">
                  <c:v>0.30109826112542049</c:v>
                </c:pt>
                <c:pt idx="3">
                  <c:v>0.31269346719620922</c:v>
                </c:pt>
                <c:pt idx="4">
                  <c:v>0.37036911826113594</c:v>
                </c:pt>
                <c:pt idx="5">
                  <c:v>0.54371439639319596</c:v>
                </c:pt>
                <c:pt idx="6">
                  <c:v>0.55866066780702617</c:v>
                </c:pt>
                <c:pt idx="7">
                  <c:v>0.71747213029414691</c:v>
                </c:pt>
                <c:pt idx="8">
                  <c:v>0.87586825684018188</c:v>
                </c:pt>
                <c:pt idx="9">
                  <c:v>0.94977751679092437</c:v>
                </c:pt>
                <c:pt idx="10">
                  <c:v>1.2589881104624836</c:v>
                </c:pt>
                <c:pt idx="11">
                  <c:v>1.4276210156046916</c:v>
                </c:pt>
                <c:pt idx="12">
                  <c:v>1.9568181624749865</c:v>
                </c:pt>
                <c:pt idx="13">
                  <c:v>2.1989383379145369</c:v>
                </c:pt>
                <c:pt idx="14">
                  <c:v>2.8458061392264149</c:v>
                </c:pt>
                <c:pt idx="15">
                  <c:v>5.6387455673759401</c:v>
                </c:pt>
                <c:pt idx="16">
                  <c:v>13.74112873729422</c:v>
                </c:pt>
                <c:pt idx="17">
                  <c:v>34.833327835451641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0-4938-9B5D-B4B3977EA6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8851200"/>
        <c:axId val="499082752"/>
      </c:barChart>
      <c:lineChart>
        <c:grouping val="standard"/>
        <c:varyColors val="0"/>
        <c:ser>
          <c:idx val="2"/>
          <c:order val="3"/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9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41.482201046704006</c:v>
                </c:pt>
                <c:pt idx="1">
                  <c:v>39.292868284527216</c:v>
                </c:pt>
                <c:pt idx="2">
                  <c:v>39.955172982558864</c:v>
                </c:pt>
                <c:pt idx="3">
                  <c:v>34.457578879124007</c:v>
                </c:pt>
                <c:pt idx="4">
                  <c:v>35.59053999092955</c:v>
                </c:pt>
                <c:pt idx="5">
                  <c:v>43.272089036718107</c:v>
                </c:pt>
                <c:pt idx="6">
                  <c:v>35.983312262958279</c:v>
                </c:pt>
                <c:pt idx="7">
                  <c:v>40.251983787602725</c:v>
                </c:pt>
                <c:pt idx="8">
                  <c:v>40.966554665288186</c:v>
                </c:pt>
                <c:pt idx="9">
                  <c:v>38.321848276874519</c:v>
                </c:pt>
                <c:pt idx="10">
                  <c:v>43.908844442170953</c:v>
                </c:pt>
                <c:pt idx="11">
                  <c:v>39.63601951304247</c:v>
                </c:pt>
                <c:pt idx="12">
                  <c:v>45.354256209484092</c:v>
                </c:pt>
                <c:pt idx="13">
                  <c:v>42.107491445560107</c:v>
                </c:pt>
                <c:pt idx="14">
                  <c:v>39.732638501839261</c:v>
                </c:pt>
                <c:pt idx="15">
                  <c:v>37.056707228213348</c:v>
                </c:pt>
                <c:pt idx="16">
                  <c:v>37.540722153702205</c:v>
                </c:pt>
                <c:pt idx="17">
                  <c:v>41.849998787231975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1A0-4938-9B5D-B4B3977EA603}"/>
            </c:ext>
          </c:extLst>
        </c:ser>
        <c:ser>
          <c:idx val="3"/>
          <c:order val="4"/>
          <c:spPr>
            <a:ln w="38100">
              <a:solidFill>
                <a:srgbClr val="000000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40.241475623456928</c:v>
                </c:pt>
                <c:pt idx="1">
                  <c:v>40.193883904601648</c:v>
                </c:pt>
                <c:pt idx="2">
                  <c:v>40.146348470255546</c:v>
                </c:pt>
                <c:pt idx="3">
                  <c:v>40.098869253853536</c:v>
                </c:pt>
                <c:pt idx="4">
                  <c:v>40.051446188909274</c:v>
                </c:pt>
                <c:pt idx="5">
                  <c:v>40.004079209015075</c:v>
                </c:pt>
                <c:pt idx="6">
                  <c:v>39.956768247841715</c:v>
                </c:pt>
                <c:pt idx="7">
                  <c:v>39.909513239138512</c:v>
                </c:pt>
                <c:pt idx="8">
                  <c:v>39.862314116733046</c:v>
                </c:pt>
                <c:pt idx="9">
                  <c:v>39.815170814531228</c:v>
                </c:pt>
                <c:pt idx="10">
                  <c:v>39.768083266517067</c:v>
                </c:pt>
                <c:pt idx="11">
                  <c:v>39.7210514067527</c:v>
                </c:pt>
                <c:pt idx="12">
                  <c:v>39.674075169378256</c:v>
                </c:pt>
                <c:pt idx="13">
                  <c:v>39.627154488611673</c:v>
                </c:pt>
                <c:pt idx="14">
                  <c:v>39.580289298748788</c:v>
                </c:pt>
                <c:pt idx="15">
                  <c:v>39.53347953416305</c:v>
                </c:pt>
                <c:pt idx="16">
                  <c:v>39.486725129305583</c:v>
                </c:pt>
                <c:pt idx="17">
                  <c:v>39.440026018705034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1A0-4938-9B5D-B4B3977EA603}"/>
            </c:ext>
          </c:extLst>
        </c:ser>
        <c:ser>
          <c:idx val="5"/>
          <c:order val="5"/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38.931023253180392</c:v>
                </c:pt>
                <c:pt idx="1">
                  <c:v>39.074897216162597</c:v>
                </c:pt>
                <c:pt idx="2">
                  <c:v>39.219302881512078</c:v>
                </c:pt>
                <c:pt idx="3">
                  <c:v>39.364242214194569</c:v>
                </c:pt>
                <c:pt idx="4">
                  <c:v>39.509717186437555</c:v>
                </c:pt>
                <c:pt idx="5">
                  <c:v>39.655729777757116</c:v>
                </c:pt>
                <c:pt idx="6">
                  <c:v>39.80228197498483</c:v>
                </c:pt>
                <c:pt idx="7">
                  <c:v>39.949375772294879</c:v>
                </c:pt>
                <c:pt idx="8">
                  <c:v>40.097013171231112</c:v>
                </c:pt>
                <c:pt idx="9">
                  <c:v>40.24519618073429</c:v>
                </c:pt>
                <c:pt idx="10">
                  <c:v>40.393926817169479</c:v>
                </c:pt>
                <c:pt idx="11">
                  <c:v>40.543207104353414</c:v>
                </c:pt>
                <c:pt idx="12">
                  <c:v>40.693039073582099</c:v>
                </c:pt>
                <c:pt idx="13">
                  <c:v>40.843424763658398</c:v>
                </c:pt>
                <c:pt idx="14">
                  <c:v>40.994366220919815</c:v>
                </c:pt>
                <c:pt idx="15">
                  <c:v>41.145865499266314</c:v>
                </c:pt>
                <c:pt idx="16">
                  <c:v>41.297924660188258</c:v>
                </c:pt>
                <c:pt idx="17">
                  <c:v>41.450545772794555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1A0-4938-9B5D-B4B3977EA6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084672"/>
        <c:axId val="499106944"/>
      </c:lineChart>
      <c:catAx>
        <c:axId val="49885120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908275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990827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PMPMs</a:t>
                </a:r>
              </a:p>
            </c:rich>
          </c:tx>
          <c:layout>
            <c:manualLayout>
              <c:xMode val="edge"/>
              <c:yMode val="edge"/>
              <c:x val="1.8026565464895658E-2"/>
              <c:y val="0.45307948676503412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851200"/>
        <c:crosses val="autoZero"/>
        <c:crossBetween val="between"/>
      </c:valAx>
      <c:catAx>
        <c:axId val="499084672"/>
        <c:scaling>
          <c:orientation val="minMax"/>
        </c:scaling>
        <c:delete val="1"/>
        <c:axPos val="b"/>
        <c:majorTickMark val="out"/>
        <c:minorTickMark val="none"/>
        <c:tickLblPos val="none"/>
        <c:crossAx val="499106944"/>
        <c:crosses val="autoZero"/>
        <c:auto val="0"/>
        <c:lblAlgn val="ctr"/>
        <c:lblOffset val="100"/>
        <c:noMultiLvlLbl val="0"/>
      </c:catAx>
      <c:valAx>
        <c:axId val="499106944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99084672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5199240986717306"/>
          <c:y val="2.7104136947218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136628939896459"/>
          <c:y val="0.11412268188302437"/>
          <c:w val="0.84250513413611061"/>
          <c:h val="0.68330955777460767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0.87909387335932276</c:v>
                </c:pt>
                <c:pt idx="3">
                  <c:v>0.93383202622570205</c:v>
                </c:pt>
                <c:pt idx="4">
                  <c:v>0.95356844093311832</c:v>
                </c:pt>
                <c:pt idx="5">
                  <c:v>0.96242769045952814</c:v>
                </c:pt>
                <c:pt idx="6">
                  <c:v>0.96929641614863582</c:v>
                </c:pt>
                <c:pt idx="7">
                  <c:v>0.97605994987273759</c:v>
                </c:pt>
                <c:pt idx="8">
                  <c:v>0.98008004829088269</c:v>
                </c:pt>
                <c:pt idx="9">
                  <c:v>0.98307841292336984</c:v>
                </c:pt>
                <c:pt idx="10">
                  <c:v>0.98622556459580313</c:v>
                </c:pt>
                <c:pt idx="11">
                  <c:v>0.98818794845553182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56-4F08-995E-E62B017BA17F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ysDash"/>
            </a:ln>
          </c:spPr>
          <c:marker>
            <c:symbol val="square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0.87409588137181282</c:v>
                </c:pt>
                <c:pt idx="3">
                  <c:v>0.92837614609871677</c:v>
                </c:pt>
                <c:pt idx="4">
                  <c:v>0.94777800665301637</c:v>
                </c:pt>
                <c:pt idx="5">
                  <c:v>0.95685483322655829</c:v>
                </c:pt>
                <c:pt idx="6">
                  <c:v>0.96398179238062165</c:v>
                </c:pt>
                <c:pt idx="7">
                  <c:v>0.97132728101712662</c:v>
                </c:pt>
                <c:pt idx="8">
                  <c:v>0.97521571083726688</c:v>
                </c:pt>
                <c:pt idx="9">
                  <c:v>0.97861987373546322</c:v>
                </c:pt>
                <c:pt idx="10">
                  <c:v>0.98217546750704832</c:v>
                </c:pt>
                <c:pt idx="11">
                  <c:v>0.98447441318381057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56-4F08-995E-E62B017BA17F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</c:spPr>
          <c:marker>
            <c:symbol val="triangle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0.87820248963569991</c:v>
                </c:pt>
                <c:pt idx="3">
                  <c:v>0.92758925354060517</c:v>
                </c:pt>
                <c:pt idx="4">
                  <c:v>0.94524790181229301</c:v>
                </c:pt>
                <c:pt idx="5">
                  <c:v>0.95442563316371398</c:v>
                </c:pt>
                <c:pt idx="6">
                  <c:v>0.96266732516683329</c:v>
                </c:pt>
                <c:pt idx="7">
                  <c:v>0.96975398823719716</c:v>
                </c:pt>
                <c:pt idx="8">
                  <c:v>0.97457072439158232</c:v>
                </c:pt>
                <c:pt idx="9">
                  <c:v>0.97812221495946883</c:v>
                </c:pt>
                <c:pt idx="10">
                  <c:v>0.98158971719507759</c:v>
                </c:pt>
                <c:pt idx="11">
                  <c:v>0.98418334317359979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56-4F08-995E-E62B017BA17F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0.80586142120701187</c:v>
                </c:pt>
                <c:pt idx="3">
                  <c:v>0.87266317835254281</c:v>
                </c:pt>
                <c:pt idx="4">
                  <c:v>0.90617230927349479</c:v>
                </c:pt>
                <c:pt idx="5">
                  <c:v>0.92793683044965436</c:v>
                </c:pt>
                <c:pt idx="6">
                  <c:v>0.94297653417538729</c:v>
                </c:pt>
                <c:pt idx="7">
                  <c:v>0.95481421391443222</c:v>
                </c:pt>
                <c:pt idx="8">
                  <c:v>0.96180874690162388</c:v>
                </c:pt>
                <c:pt idx="9">
                  <c:v>0.9678020710325459</c:v>
                </c:pt>
                <c:pt idx="10">
                  <c:v>0.97264985576250418</c:v>
                </c:pt>
                <c:pt idx="11">
                  <c:v>0.9777568238372073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56-4F08-995E-E62B017BA17F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11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0.88166185284618559</c:v>
                </c:pt>
                <c:pt idx="3">
                  <c:v>0.93111555708440763</c:v>
                </c:pt>
                <c:pt idx="4">
                  <c:v>0.94856143575069685</c:v>
                </c:pt>
                <c:pt idx="5">
                  <c:v>0.95780885209330213</c:v>
                </c:pt>
                <c:pt idx="6">
                  <c:v>0.96587441371815064</c:v>
                </c:pt>
                <c:pt idx="7">
                  <c:v>0.97273756151259516</c:v>
                </c:pt>
                <c:pt idx="8">
                  <c:v>0.97737831187969959</c:v>
                </c:pt>
                <c:pt idx="9">
                  <c:v>0.98089684997822646</c:v>
                </c:pt>
                <c:pt idx="10">
                  <c:v>0.98432951543940195</c:v>
                </c:pt>
                <c:pt idx="11">
                  <c:v>0.98677567309757686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56-4F08-995E-E62B017BA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512832"/>
        <c:axId val="499548160"/>
      </c:lineChart>
      <c:catAx>
        <c:axId val="49951283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39184080642671087"/>
              <c:y val="0.873038516405136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95481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9548160"/>
        <c:scaling>
          <c:orientation val="minMax"/>
          <c:max val="1.05"/>
          <c:min val="0.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2.7514231499051241E-2"/>
              <c:y val="0.30955777460770362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9512832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0018985292872538"/>
          <c:y val="0.94721825962910211"/>
          <c:w val="0.7134727845926272"/>
          <c:h val="3.99429386590585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30998080614203516"/>
          <c:y val="2.62068965517241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324381506221839"/>
          <c:y val="8.9655172413793324E-2"/>
          <c:w val="0.87140155997029078"/>
          <c:h val="0.7724137931034486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5095954.3900000257</c:v>
                </c:pt>
                <c:pt idx="1">
                  <c:v>4865514.1700000167</c:v>
                </c:pt>
                <c:pt idx="2">
                  <c:v>5809110.5600000238</c:v>
                </c:pt>
                <c:pt idx="3">
                  <c:v>5131677.3100000117</c:v>
                </c:pt>
                <c:pt idx="4">
                  <c:v>4586340.4299999904</c:v>
                </c:pt>
                <c:pt idx="5">
                  <c:v>5780065.1999999704</c:v>
                </c:pt>
                <c:pt idx="6">
                  <c:v>4199208.1499999892</c:v>
                </c:pt>
                <c:pt idx="7">
                  <c:v>5269479.2099999841</c:v>
                </c:pt>
                <c:pt idx="8">
                  <c:v>5161983.979999993</c:v>
                </c:pt>
                <c:pt idx="9">
                  <c:v>5024298.1099999929</c:v>
                </c:pt>
                <c:pt idx="10">
                  <c:v>5269664.7599999877</c:v>
                </c:pt>
                <c:pt idx="11">
                  <c:v>5754302.1099999854</c:v>
                </c:pt>
                <c:pt idx="12">
                  <c:v>6436494.1199999833</c:v>
                </c:pt>
                <c:pt idx="13">
                  <c:v>5920319.6200000057</c:v>
                </c:pt>
                <c:pt idx="14">
                  <c:v>5777917.9799999846</c:v>
                </c:pt>
                <c:pt idx="15">
                  <c:v>5923338.4999999972</c:v>
                </c:pt>
                <c:pt idx="16">
                  <c:v>5585363.9099999908</c:v>
                </c:pt>
                <c:pt idx="17">
                  <c:v>5452454.4600000046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37-4798-903B-CE7034669A10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5095954.3900000257</c:v>
                </c:pt>
                <c:pt idx="1">
                  <c:v>4865514.1700000167</c:v>
                </c:pt>
                <c:pt idx="2">
                  <c:v>5809110.5600000238</c:v>
                </c:pt>
                <c:pt idx="3">
                  <c:v>5131677.3100000117</c:v>
                </c:pt>
                <c:pt idx="4">
                  <c:v>4586340.4299999904</c:v>
                </c:pt>
                <c:pt idx="5">
                  <c:v>5780065.1999999704</c:v>
                </c:pt>
                <c:pt idx="6">
                  <c:v>4199208.1499999892</c:v>
                </c:pt>
                <c:pt idx="7">
                  <c:v>5269479.2099999841</c:v>
                </c:pt>
                <c:pt idx="8">
                  <c:v>5161983.979999993</c:v>
                </c:pt>
                <c:pt idx="9">
                  <c:v>5024298.1099999929</c:v>
                </c:pt>
                <c:pt idx="10">
                  <c:v>5269664.7599999877</c:v>
                </c:pt>
                <c:pt idx="11">
                  <c:v>5754302.1099999854</c:v>
                </c:pt>
                <c:pt idx="12">
                  <c:v>6436494.1199999833</c:v>
                </c:pt>
                <c:pt idx="13">
                  <c:v>5920319.6200000057</c:v>
                </c:pt>
                <c:pt idx="14">
                  <c:v>5777917.9799999846</c:v>
                </c:pt>
                <c:pt idx="15">
                  <c:v>5923338.4999999972</c:v>
                </c:pt>
                <c:pt idx="16">
                  <c:v>5585363.9099999908</c:v>
                </c:pt>
                <c:pt idx="17">
                  <c:v>5452454.4600000046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37-4798-903B-CE7034669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4397440"/>
        <c:axId val="464399360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237-4798-903B-CE7034669A10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square"/>
            <c:size val="9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5346516.4463065388</c:v>
                </c:pt>
                <c:pt idx="1">
                  <c:v>5047051.0525426669</c:v>
                </c:pt>
                <c:pt idx="2">
                  <c:v>5120495.1487528142</c:v>
                </c:pt>
                <c:pt idx="3">
                  <c:v>4620382.2943228586</c:v>
                </c:pt>
                <c:pt idx="4">
                  <c:v>4821841.9485111265</c:v>
                </c:pt>
                <c:pt idx="5">
                  <c:v>5834981.5740672164</c:v>
                </c:pt>
                <c:pt idx="6">
                  <c:v>4838676</c:v>
                </c:pt>
                <c:pt idx="7">
                  <c:v>5412483</c:v>
                </c:pt>
                <c:pt idx="8">
                  <c:v>5547486</c:v>
                </c:pt>
                <c:pt idx="9">
                  <c:v>5220777</c:v>
                </c:pt>
                <c:pt idx="10">
                  <c:v>6008618</c:v>
                </c:pt>
                <c:pt idx="11">
                  <c:v>5476271</c:v>
                </c:pt>
                <c:pt idx="12">
                  <c:v>6394678</c:v>
                </c:pt>
                <c:pt idx="13">
                  <c:v>6005202</c:v>
                </c:pt>
                <c:pt idx="14">
                  <c:v>5703064</c:v>
                </c:pt>
                <c:pt idx="15">
                  <c:v>6102795</c:v>
                </c:pt>
                <c:pt idx="16">
                  <c:v>6178865</c:v>
                </c:pt>
                <c:pt idx="17">
                  <c:v>6901567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237-4798-903B-CE7034669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405248"/>
        <c:axId val="464406784"/>
      </c:lineChart>
      <c:catAx>
        <c:axId val="4643974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3993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4399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397440"/>
        <c:crosses val="autoZero"/>
        <c:crossBetween val="between"/>
      </c:valAx>
      <c:catAx>
        <c:axId val="4644052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64406784"/>
        <c:crosses val="autoZero"/>
        <c:auto val="0"/>
        <c:lblAlgn val="ctr"/>
        <c:lblOffset val="100"/>
        <c:noMultiLvlLbl val="0"/>
      </c:catAx>
      <c:valAx>
        <c:axId val="46440678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64405248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34452995199016662"/>
          <c:y val="0.95586206896551729"/>
          <c:w val="0.41074876197097293"/>
          <c:h val="3.31034482758620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1316042267050931"/>
          <c:y val="2.666666666666667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7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0518788761171623E-2"/>
          <c:y val="9.6296435614056208E-2"/>
          <c:w val="0.92315168253152335"/>
          <c:h val="0.798519673784250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1.4015141411028174</c:v>
                </c:pt>
                <c:pt idx="1">
                  <c:v>1.7155183724395533</c:v>
                </c:pt>
                <c:pt idx="2">
                  <c:v>1.4219479117643059</c:v>
                </c:pt>
                <c:pt idx="3">
                  <c:v>1.4512651692824383</c:v>
                </c:pt>
                <c:pt idx="4">
                  <c:v>1.8399197636534819</c:v>
                </c:pt>
                <c:pt idx="5">
                  <c:v>1.1986605185699328</c:v>
                </c:pt>
                <c:pt idx="6">
                  <c:v>1.4139758492324335</c:v>
                </c:pt>
                <c:pt idx="7">
                  <c:v>1.4863687392743334</c:v>
                </c:pt>
                <c:pt idx="8">
                  <c:v>1.334686902689693</c:v>
                </c:pt>
                <c:pt idx="9">
                  <c:v>1.5290577015542586</c:v>
                </c:pt>
                <c:pt idx="10">
                  <c:v>1.601199541960997</c:v>
                </c:pt>
                <c:pt idx="11">
                  <c:v>1.7690423956555197</c:v>
                </c:pt>
                <c:pt idx="12">
                  <c:v>1.4148367403464688</c:v>
                </c:pt>
                <c:pt idx="13">
                  <c:v>1.5836270356633217</c:v>
                </c:pt>
                <c:pt idx="14">
                  <c:v>1.488565846689297</c:v>
                </c:pt>
                <c:pt idx="15">
                  <c:v>1.3900507002934246</c:v>
                </c:pt>
                <c:pt idx="16">
                  <c:v>1.6458325953554589</c:v>
                </c:pt>
                <c:pt idx="17">
                  <c:v>1.3738519367661068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1B-4DD8-A2B7-C9C41E77857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64447360"/>
        <c:axId val="464450304"/>
      </c:barChart>
      <c:catAx>
        <c:axId val="46444736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450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44503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447360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8030888030888133"/>
          <c:y val="2.749638205499279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150616455368764E-2"/>
          <c:y val="0.10130253178600122"/>
          <c:w val="0.90637108355599005"/>
          <c:h val="0.7945012850073517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107101</c:v>
                </c:pt>
                <c:pt idx="1">
                  <c:v>107146</c:v>
                </c:pt>
                <c:pt idx="2">
                  <c:v>107140</c:v>
                </c:pt>
                <c:pt idx="3">
                  <c:v>107241</c:v>
                </c:pt>
                <c:pt idx="4">
                  <c:v>107513</c:v>
                </c:pt>
                <c:pt idx="5">
                  <c:v>107756</c:v>
                </c:pt>
                <c:pt idx="6">
                  <c:v>107747</c:v>
                </c:pt>
                <c:pt idx="7">
                  <c:v>108297</c:v>
                </c:pt>
                <c:pt idx="8">
                  <c:v>110175</c:v>
                </c:pt>
                <c:pt idx="9">
                  <c:v>129231</c:v>
                </c:pt>
                <c:pt idx="10">
                  <c:v>132944</c:v>
                </c:pt>
                <c:pt idx="11">
                  <c:v>131999</c:v>
                </c:pt>
                <c:pt idx="12">
                  <c:v>132272</c:v>
                </c:pt>
                <c:pt idx="13">
                  <c:v>132389</c:v>
                </c:pt>
                <c:pt idx="14">
                  <c:v>131777</c:v>
                </c:pt>
                <c:pt idx="15">
                  <c:v>131723</c:v>
                </c:pt>
                <c:pt idx="16">
                  <c:v>130970</c:v>
                </c:pt>
                <c:pt idx="17">
                  <c:v>129309</c:v>
                </c:pt>
                <c:pt idx="18">
                  <c:v>128887</c:v>
                </c:pt>
                <c:pt idx="19">
                  <c:v>128447</c:v>
                </c:pt>
                <c:pt idx="20">
                  <c:v>128156</c:v>
                </c:pt>
                <c:pt idx="21">
                  <c:v>134089</c:v>
                </c:pt>
                <c:pt idx="22">
                  <c:v>135481</c:v>
                </c:pt>
                <c:pt idx="23">
                  <c:v>134844</c:v>
                </c:pt>
                <c:pt idx="24">
                  <c:v>134470</c:v>
                </c:pt>
                <c:pt idx="25">
                  <c:v>134465</c:v>
                </c:pt>
                <c:pt idx="26">
                  <c:v>135415</c:v>
                </c:pt>
                <c:pt idx="27">
                  <c:v>136235</c:v>
                </c:pt>
                <c:pt idx="28">
                  <c:v>136843</c:v>
                </c:pt>
                <c:pt idx="29">
                  <c:v>138164</c:v>
                </c:pt>
                <c:pt idx="30">
                  <c:v>140994</c:v>
                </c:pt>
                <c:pt idx="31">
                  <c:v>142616</c:v>
                </c:pt>
                <c:pt idx="32">
                  <c:v>143536</c:v>
                </c:pt>
                <c:pt idx="33">
                  <c:v>164688</c:v>
                </c:pt>
                <c:pt idx="34">
                  <c:v>164591</c:v>
                </c:pt>
                <c:pt idx="35">
                  <c:v>164912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05-46D9-9B29-AA03D495E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4810752"/>
        <c:axId val="464812288"/>
      </c:barChart>
      <c:catAx>
        <c:axId val="46481075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812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48122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81075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Hospital Per Diems</a:t>
            </a:r>
          </a:p>
        </c:rich>
      </c:tx>
      <c:layout>
        <c:manualLayout>
          <c:xMode val="edge"/>
          <c:yMode val="edge"/>
          <c:x val="0.41227229146692235"/>
          <c:y val="2.7104136947218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990412272291552E-2"/>
          <c:y val="9.2724679029957208E-2"/>
          <c:w val="0.91466922339405565"/>
          <c:h val="0.766048502139801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Charts!$AP$310</c:f>
              <c:strCache>
                <c:ptCount val="1"/>
                <c:pt idx="0">
                  <c:v>Actual Per Diem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Charts!$AP$311:$AP$328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C6-4C8E-BAE1-CDF829038079}"/>
            </c:ext>
          </c:extLst>
        </c:ser>
        <c:ser>
          <c:idx val="0"/>
          <c:order val="1"/>
          <c:tx>
            <c:strRef>
              <c:f>Charts!$AQ$310</c:f>
              <c:strCache>
                <c:ptCount val="1"/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Charts!$AQ$311:$AQ$328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C6-4C8E-BAE1-CDF829038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3587072"/>
        <c:axId val="495010560"/>
      </c:barChart>
      <c:lineChart>
        <c:grouping val="standard"/>
        <c:varyColors val="0"/>
        <c:ser>
          <c:idx val="2"/>
          <c:order val="2"/>
          <c:tx>
            <c:strRef>
              <c:f>Charts!$AR$310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Charts!$AR$311:$AR$328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C6-4C8E-BAE1-CDF829038079}"/>
            </c:ext>
          </c:extLst>
        </c:ser>
        <c:ser>
          <c:idx val="3"/>
          <c:order val="3"/>
          <c:tx>
            <c:strRef>
              <c:f>Charts!$AS$310</c:f>
              <c:strCache>
                <c:ptCount val="1"/>
                <c:pt idx="0">
                  <c:v>Least Square Trended Per Diem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square"/>
            <c:size val="9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Charts!$AS$311:$AS$328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CC6-4C8E-BAE1-CDF829038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012096"/>
        <c:axId val="495038464"/>
      </c:lineChart>
      <c:catAx>
        <c:axId val="49358707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50105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950105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3587072"/>
        <c:crosses val="autoZero"/>
        <c:crossBetween val="between"/>
      </c:valAx>
      <c:catAx>
        <c:axId val="4950120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95038464"/>
        <c:crosses val="autoZero"/>
        <c:auto val="0"/>
        <c:lblAlgn val="ctr"/>
        <c:lblOffset val="100"/>
        <c:noMultiLvlLbl val="0"/>
      </c:catAx>
      <c:valAx>
        <c:axId val="49503846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95012096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9338446788111283"/>
          <c:y val="0.9543509272467906"/>
          <c:w val="0.46500479386385507"/>
          <c:h val="3.423680456490731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946875531307229"/>
          <c:y val="0.10289869635798286"/>
          <c:w val="0.8472489693508406"/>
          <c:h val="0.64492844900425872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34925">
              <a:solidFill>
                <a:schemeClr val="tx1"/>
              </a:solidFill>
              <a:prstDash val="sysDash"/>
            </a:ln>
          </c:spPr>
          <c:marker>
            <c:symbol val="diamond"/>
            <c:size val="11"/>
            <c:spPr>
              <a:noFill/>
              <a:ln w="1905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0.87909387335932276</c:v>
                </c:pt>
                <c:pt idx="3">
                  <c:v>0.93383202622570205</c:v>
                </c:pt>
                <c:pt idx="4">
                  <c:v>0.95356844093311832</c:v>
                </c:pt>
                <c:pt idx="5">
                  <c:v>0.96242769045952814</c:v>
                </c:pt>
                <c:pt idx="6">
                  <c:v>0.96929641614863582</c:v>
                </c:pt>
                <c:pt idx="7">
                  <c:v>0.97605994987273759</c:v>
                </c:pt>
                <c:pt idx="8">
                  <c:v>0.98008004829088269</c:v>
                </c:pt>
                <c:pt idx="9">
                  <c:v>0.98307841292336984</c:v>
                </c:pt>
                <c:pt idx="10">
                  <c:v>0.98622556459580313</c:v>
                </c:pt>
                <c:pt idx="11">
                  <c:v>0.98818794845553182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46-4AAF-9314-D0F75C01A003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31750">
              <a:solidFill>
                <a:schemeClr val="tx1"/>
              </a:solidFill>
              <a:prstDash val="lgDashDotDot"/>
            </a:ln>
          </c:spPr>
          <c:marker>
            <c:symbol val="square"/>
            <c:size val="9"/>
            <c:spPr>
              <a:noFill/>
              <a:ln w="15875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0.86875338352933695</c:v>
                </c:pt>
                <c:pt idx="3">
                  <c:v>0.92255614800264008</c:v>
                </c:pt>
                <c:pt idx="4">
                  <c:v>0.9416186084663587</c:v>
                </c:pt>
                <c:pt idx="5">
                  <c:v>0.95090620999990549</c:v>
                </c:pt>
                <c:pt idx="6">
                  <c:v>0.95833573469404598</c:v>
                </c:pt>
                <c:pt idx="7">
                  <c:v>0.96625439954803349</c:v>
                </c:pt>
                <c:pt idx="8">
                  <c:v>0.97001095691100037</c:v>
                </c:pt>
                <c:pt idx="9">
                  <c:v>0.9738157463321464</c:v>
                </c:pt>
                <c:pt idx="10">
                  <c:v>0.97777488796092704</c:v>
                </c:pt>
                <c:pt idx="11">
                  <c:v>0.9804069105563129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46-4AAF-9314-D0F75C01A003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28575">
              <a:solidFill>
                <a:schemeClr val="tx1"/>
              </a:solidFill>
              <a:prstDash val="lgDash"/>
            </a:ln>
          </c:spPr>
          <c:marker>
            <c:symbol val="triangle"/>
            <c:size val="9"/>
            <c:spPr>
              <a:noFill/>
              <a:ln w="15875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0.86488471486644092</c:v>
                </c:pt>
                <c:pt idx="3">
                  <c:v>0.91416991165877703</c:v>
                </c:pt>
                <c:pt idx="4">
                  <c:v>0.93170174839347986</c:v>
                </c:pt>
                <c:pt idx="5">
                  <c:v>0.94314793438162448</c:v>
                </c:pt>
                <c:pt idx="6">
                  <c:v>0.95469838900122361</c:v>
                </c:pt>
                <c:pt idx="7">
                  <c:v>0.96276399676956825</c:v>
                </c:pt>
                <c:pt idx="8">
                  <c:v>0.96913770815091638</c:v>
                </c:pt>
                <c:pt idx="9">
                  <c:v>0.97297240486699776</c:v>
                </c:pt>
                <c:pt idx="10">
                  <c:v>0.9760973922461742</c:v>
                </c:pt>
                <c:pt idx="11">
                  <c:v>0.98018527609956596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46-4AAF-9314-D0F75C01A003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38100">
              <a:solidFill>
                <a:schemeClr val="tx1"/>
              </a:solidFill>
              <a:prstDash val="dashDot"/>
            </a:ln>
          </c:spPr>
          <c:marker>
            <c:symbol val="x"/>
            <c:size val="9"/>
            <c:spPr>
              <a:noFill/>
              <a:ln w="22225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0.89659371220203343</c:v>
                </c:pt>
                <c:pt idx="3">
                  <c:v>0.93601863084926606</c:v>
                </c:pt>
                <c:pt idx="4">
                  <c:v>0.95024108913962546</c:v>
                </c:pt>
                <c:pt idx="5">
                  <c:v>0.95733827020665985</c:v>
                </c:pt>
                <c:pt idx="6">
                  <c:v>0.96460102768475775</c:v>
                </c:pt>
                <c:pt idx="7">
                  <c:v>0.9701586495113439</c:v>
                </c:pt>
                <c:pt idx="8">
                  <c:v>0.97524796952374337</c:v>
                </c:pt>
                <c:pt idx="9">
                  <c:v>0.9790687381057005</c:v>
                </c:pt>
                <c:pt idx="10">
                  <c:v>0.98317176365525227</c:v>
                </c:pt>
                <c:pt idx="11">
                  <c:v>0.98550117594572217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46-4AAF-9314-D0F75C01A003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circle"/>
            <c:size val="11"/>
            <c:spPr>
              <a:noFill/>
              <a:ln w="25400">
                <a:solidFill>
                  <a:schemeClr val="tx1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0.87409588137181282</c:v>
                </c:pt>
                <c:pt idx="3">
                  <c:v>0.92837614609871677</c:v>
                </c:pt>
                <c:pt idx="4">
                  <c:v>0.94777800665301637</c:v>
                </c:pt>
                <c:pt idx="5">
                  <c:v>0.95685483322655829</c:v>
                </c:pt>
                <c:pt idx="6">
                  <c:v>0.96398179238062165</c:v>
                </c:pt>
                <c:pt idx="7">
                  <c:v>0.97132728101712662</c:v>
                </c:pt>
                <c:pt idx="8">
                  <c:v>0.97521571083726688</c:v>
                </c:pt>
                <c:pt idx="9">
                  <c:v>0.97861987373546322</c:v>
                </c:pt>
                <c:pt idx="10">
                  <c:v>0.98217546750704832</c:v>
                </c:pt>
                <c:pt idx="11">
                  <c:v>0.98447441318381057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E46-4AAF-9314-D0F75C01A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576704"/>
        <c:axId val="465579008"/>
      </c:lineChart>
      <c:catAx>
        <c:axId val="4655767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40132847246086722"/>
              <c:y val="0.823189623036250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57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5579008"/>
        <c:scaling>
          <c:orientation val="minMax"/>
          <c:max val="1.05"/>
          <c:min val="0.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6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3.1309297912713523E-2"/>
              <c:y val="0.28840625356613026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576704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1979779567402283"/>
          <c:y val="0.89710281866940578"/>
          <c:w val="0.66508518977822251"/>
          <c:h val="6.23174711856670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3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0552016985138045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29530606278638E-2"/>
          <c:y val="9.8404383109083171E-2"/>
          <c:w val="0.86836698092278009"/>
          <c:h val="0.7127668830603846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35.869891317541402</c:v>
                </c:pt>
                <c:pt idx="1">
                  <c:v>36.591966235234068</c:v>
                </c:pt>
                <c:pt idx="2">
                  <c:v>38.790531392615186</c:v>
                </c:pt>
                <c:pt idx="3">
                  <c:v>40.350388620093234</c:v>
                </c:pt>
                <c:pt idx="4">
                  <c:v>47.798624963803547</c:v>
                </c:pt>
                <c:pt idx="5">
                  <c:v>46.237790728679677</c:v>
                </c:pt>
                <c:pt idx="6">
                  <c:v>47.622125569631088</c:v>
                </c:pt>
                <c:pt idx="7">
                  <c:v>47.227304643709218</c:v>
                </c:pt>
                <c:pt idx="8">
                  <c:v>48.96810775013158</c:v>
                </c:pt>
                <c:pt idx="9">
                  <c:v>32.792024176098245</c:v>
                </c:pt>
                <c:pt idx="10">
                  <c:v>31.17009535145916</c:v>
                </c:pt>
                <c:pt idx="11">
                  <c:v>39.046129236548509</c:v>
                </c:pt>
                <c:pt idx="12">
                  <c:v>37.458797906089245</c:v>
                </c:pt>
                <c:pt idx="13">
                  <c:v>39.220997237718201</c:v>
                </c:pt>
                <c:pt idx="14">
                  <c:v>39.387231494672243</c:v>
                </c:pt>
                <c:pt idx="15">
                  <c:v>37.986203504258292</c:v>
                </c:pt>
                <c:pt idx="16">
                  <c:v>44.71334857009554</c:v>
                </c:pt>
                <c:pt idx="17">
                  <c:v>40.787181949898923</c:v>
                </c:pt>
                <c:pt idx="18">
                  <c:v>41.482201046704006</c:v>
                </c:pt>
                <c:pt idx="19">
                  <c:v>39.292868284527216</c:v>
                </c:pt>
                <c:pt idx="20">
                  <c:v>39.955172982558864</c:v>
                </c:pt>
                <c:pt idx="21">
                  <c:v>34.457578879124007</c:v>
                </c:pt>
                <c:pt idx="22">
                  <c:v>35.59053999092955</c:v>
                </c:pt>
                <c:pt idx="23">
                  <c:v>43.272089036718107</c:v>
                </c:pt>
                <c:pt idx="24">
                  <c:v>35.983312262958279</c:v>
                </c:pt>
                <c:pt idx="25">
                  <c:v>40.251983787602725</c:v>
                </c:pt>
                <c:pt idx="26">
                  <c:v>40.966554665288186</c:v>
                </c:pt>
                <c:pt idx="27">
                  <c:v>38.321848276874519</c:v>
                </c:pt>
                <c:pt idx="28">
                  <c:v>43.908844442170953</c:v>
                </c:pt>
                <c:pt idx="29">
                  <c:v>39.63601951304247</c:v>
                </c:pt>
                <c:pt idx="30">
                  <c:v>45.354256209484092</c:v>
                </c:pt>
                <c:pt idx="31">
                  <c:v>42.107491445560107</c:v>
                </c:pt>
                <c:pt idx="32">
                  <c:v>39.732638501839261</c:v>
                </c:pt>
                <c:pt idx="33">
                  <c:v>37.056707228213348</c:v>
                </c:pt>
                <c:pt idx="34">
                  <c:v>37.540722153702205</c:v>
                </c:pt>
                <c:pt idx="35">
                  <c:v>41.849998787231975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0C-4C89-B08F-4FFDEA12AE74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41.059211258767021</c:v>
                </c:pt>
                <c:pt idx="2">
                  <c:v>41.010652442064291</c:v>
                </c:pt>
                <c:pt idx="3">
                  <c:v>40.962151053612324</c:v>
                </c:pt>
                <c:pt idx="4">
                  <c:v>40.913707025493366</c:v>
                </c:pt>
                <c:pt idx="5">
                  <c:v>40.865320289870041</c:v>
                </c:pt>
                <c:pt idx="6">
                  <c:v>40.816990778985208</c:v>
                </c:pt>
                <c:pt idx="7">
                  <c:v>40.768718425161786</c:v>
                </c:pt>
                <c:pt idx="8">
                  <c:v>40.720503160802821</c:v>
                </c:pt>
                <c:pt idx="9">
                  <c:v>40.672344918391232</c:v>
                </c:pt>
                <c:pt idx="10">
                  <c:v>40.62424363048985</c:v>
                </c:pt>
                <c:pt idx="11">
                  <c:v>40.576199229741192</c:v>
                </c:pt>
                <c:pt idx="12">
                  <c:v>40.52821164886749</c:v>
                </c:pt>
                <c:pt idx="13">
                  <c:v>40.480280820670544</c:v>
                </c:pt>
                <c:pt idx="14">
                  <c:v>40.432406678031569</c:v>
                </c:pt>
                <c:pt idx="15">
                  <c:v>40.384589153911236</c:v>
                </c:pt>
                <c:pt idx="16">
                  <c:v>40.336828181349418</c:v>
                </c:pt>
                <c:pt idx="17">
                  <c:v>40.289123693465243</c:v>
                </c:pt>
                <c:pt idx="18">
                  <c:v>40.241475623456928</c:v>
                </c:pt>
                <c:pt idx="19">
                  <c:v>40.193883904601648</c:v>
                </c:pt>
                <c:pt idx="20">
                  <c:v>40.146348470255546</c:v>
                </c:pt>
                <c:pt idx="21">
                  <c:v>40.098869253853536</c:v>
                </c:pt>
                <c:pt idx="22">
                  <c:v>40.051446188909274</c:v>
                </c:pt>
                <c:pt idx="23">
                  <c:v>40.004079209015075</c:v>
                </c:pt>
                <c:pt idx="24">
                  <c:v>39.956768247841715</c:v>
                </c:pt>
                <c:pt idx="25">
                  <c:v>39.909513239138512</c:v>
                </c:pt>
                <c:pt idx="26">
                  <c:v>39.862314116733046</c:v>
                </c:pt>
                <c:pt idx="27">
                  <c:v>39.815170814531228</c:v>
                </c:pt>
                <c:pt idx="28">
                  <c:v>39.768083266517067</c:v>
                </c:pt>
                <c:pt idx="29">
                  <c:v>39.7210514067527</c:v>
                </c:pt>
                <c:pt idx="30">
                  <c:v>39.674075169378256</c:v>
                </c:pt>
                <c:pt idx="31">
                  <c:v>39.627154488611673</c:v>
                </c:pt>
                <c:pt idx="32">
                  <c:v>39.580289298748788</c:v>
                </c:pt>
                <c:pt idx="33">
                  <c:v>39.53347953416305</c:v>
                </c:pt>
                <c:pt idx="34">
                  <c:v>39.486725129305583</c:v>
                </c:pt>
                <c:pt idx="35">
                  <c:v>39.440026018705034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0C-4C89-B08F-4FFDEA12AE74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37.798939413948808</c:v>
                </c:pt>
                <c:pt idx="11">
                  <c:v>37.93862963412726</c:v>
                </c:pt>
                <c:pt idx="12">
                  <c:v>38.078836095182204</c:v>
                </c:pt>
                <c:pt idx="13">
                  <c:v>38.219560704939695</c:v>
                </c:pt>
                <c:pt idx="14">
                  <c:v>38.360805378276368</c:v>
                </c:pt>
                <c:pt idx="15">
                  <c:v>38.502572037145548</c:v>
                </c:pt>
                <c:pt idx="16">
                  <c:v>38.644862610603298</c:v>
                </c:pt>
                <c:pt idx="17">
                  <c:v>38.787679034834738</c:v>
                </c:pt>
                <c:pt idx="18">
                  <c:v>38.931023253180392</c:v>
                </c:pt>
                <c:pt idx="19">
                  <c:v>39.074897216162597</c:v>
                </c:pt>
                <c:pt idx="20">
                  <c:v>39.219302881512078</c:v>
                </c:pt>
                <c:pt idx="21">
                  <c:v>39.364242214194569</c:v>
                </c:pt>
                <c:pt idx="22">
                  <c:v>39.509717186437555</c:v>
                </c:pt>
                <c:pt idx="23">
                  <c:v>39.655729777757116</c:v>
                </c:pt>
                <c:pt idx="24">
                  <c:v>39.80228197498483</c:v>
                </c:pt>
                <c:pt idx="25">
                  <c:v>39.949375772294879</c:v>
                </c:pt>
                <c:pt idx="26">
                  <c:v>40.097013171231112</c:v>
                </c:pt>
                <c:pt idx="27">
                  <c:v>40.24519618073429</c:v>
                </c:pt>
                <c:pt idx="28">
                  <c:v>40.393926817169479</c:v>
                </c:pt>
                <c:pt idx="29">
                  <c:v>40.543207104353414</c:v>
                </c:pt>
                <c:pt idx="30">
                  <c:v>40.693039073582099</c:v>
                </c:pt>
                <c:pt idx="31">
                  <c:v>40.843424763658398</c:v>
                </c:pt>
                <c:pt idx="32">
                  <c:v>40.994366220919815</c:v>
                </c:pt>
                <c:pt idx="33">
                  <c:v>41.145865499266314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30C-4C89-B08F-4FFDEA12AE74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39.577895374722281</c:v>
                </c:pt>
                <c:pt idx="17">
                  <c:v>39.627826292020565</c:v>
                </c:pt>
                <c:pt idx="18">
                  <c:v>39.677820201463291</c:v>
                </c:pt>
                <c:pt idx="19">
                  <c:v>39.727877182520444</c:v>
                </c:pt>
                <c:pt idx="20">
                  <c:v>39.777997314762338</c:v>
                </c:pt>
                <c:pt idx="21">
                  <c:v>39.828180677859585</c:v>
                </c:pt>
                <c:pt idx="22">
                  <c:v>39.878427351583355</c:v>
                </c:pt>
                <c:pt idx="23">
                  <c:v>39.928737415805429</c:v>
                </c:pt>
                <c:pt idx="24">
                  <c:v>39.979110950498402</c:v>
                </c:pt>
                <c:pt idx="25">
                  <c:v>40.029548035735708</c:v>
                </c:pt>
                <c:pt idx="26">
                  <c:v>40.080048751691812</c:v>
                </c:pt>
                <c:pt idx="27">
                  <c:v>40.130613178642363</c:v>
                </c:pt>
                <c:pt idx="28">
                  <c:v>40.181241396964246</c:v>
                </c:pt>
                <c:pt idx="29">
                  <c:v>40.231933487135763</c:v>
                </c:pt>
                <c:pt idx="30">
                  <c:v>40.282689529736714</c:v>
                </c:pt>
                <c:pt idx="31">
                  <c:v>40.333509605448626</c:v>
                </c:pt>
                <c:pt idx="32">
                  <c:v>40.384393795054763</c:v>
                </c:pt>
                <c:pt idx="33">
                  <c:v>40.435342179440305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30C-4C89-B08F-4FFDEA12AE74}"/>
            </c:ext>
          </c:extLst>
        </c:ser>
        <c:ser>
          <c:idx val="4"/>
          <c:order val="4"/>
          <c:tx>
            <c:strRef>
              <c:f>Charts!$AP$5</c:f>
              <c:strCache>
                <c:ptCount val="1"/>
                <c:pt idx="0">
                  <c:v>Lst Sq-12 Mo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ot"/>
            </a:ln>
          </c:spPr>
          <c:val>
            <c:numRef>
              <c:f>Charts!$AX$9:$AX$44</c:f>
              <c:numCache>
                <c:formatCode>"$"#,##0.00</c:formatCode>
                <c:ptCount val="36"/>
                <c:pt idx="22">
                  <c:v>39.01297329838463</c:v>
                </c:pt>
                <c:pt idx="23">
                  <c:v>39.213531703317308</c:v>
                </c:pt>
                <c:pt idx="24">
                  <c:v>39.415121141529113</c:v>
                </c:pt>
                <c:pt idx="25">
                  <c:v>39.61774691336948</c:v>
                </c:pt>
                <c:pt idx="26">
                  <c:v>39.82141434643593</c:v>
                </c:pt>
                <c:pt idx="27">
                  <c:v>40.026128795714122</c:v>
                </c:pt>
                <c:pt idx="28">
                  <c:v>40.231895643718758</c:v>
                </c:pt>
                <c:pt idx="29">
                  <c:v>40.438720300635033</c:v>
                </c:pt>
                <c:pt idx="30">
                  <c:v>40.64660820446084</c:v>
                </c:pt>
                <c:pt idx="31">
                  <c:v>40.855564821149862</c:v>
                </c:pt>
                <c:pt idx="32">
                  <c:v>41.065595644755213</c:v>
                </c:pt>
                <c:pt idx="33">
                  <c:v>41.27670619757388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14-4F9E-9040-2479F9895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873920"/>
        <c:axId val="463946496"/>
      </c:lineChart>
      <c:catAx>
        <c:axId val="4658739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394649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3946496"/>
        <c:scaling>
          <c:orientation val="minMax"/>
          <c:max val="59"/>
          <c:min val="2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873920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656497980150471E-2"/>
          <c:y val="0.93351063829787262"/>
          <c:w val="0.87627877886828498"/>
          <c:h val="6.64894786336268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4394904458598724"/>
          <c:y val="3.16622691292876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40362593639269"/>
          <c:y val="0.12664923968456221"/>
          <c:w val="0.8619975409649121"/>
          <c:h val="0.73878723149328041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0.24959915512441702</c:v>
                </c:pt>
                <c:pt idx="1">
                  <c:v>0.27418952986562312</c:v>
                </c:pt>
                <c:pt idx="2">
                  <c:v>0.30109826112542049</c:v>
                </c:pt>
                <c:pt idx="3">
                  <c:v>0.31269346719620922</c:v>
                </c:pt>
                <c:pt idx="4">
                  <c:v>0.37036911826113594</c:v>
                </c:pt>
                <c:pt idx="5">
                  <c:v>0.54371439639319596</c:v>
                </c:pt>
                <c:pt idx="6">
                  <c:v>0.55866066780702617</c:v>
                </c:pt>
                <c:pt idx="7">
                  <c:v>0.71747213029414691</c:v>
                </c:pt>
                <c:pt idx="8">
                  <c:v>0.87586825684018188</c:v>
                </c:pt>
                <c:pt idx="9">
                  <c:v>0.94977751679092437</c:v>
                </c:pt>
                <c:pt idx="10">
                  <c:v>1.2589881104624836</c:v>
                </c:pt>
                <c:pt idx="11">
                  <c:v>1.4276210156046916</c:v>
                </c:pt>
                <c:pt idx="12">
                  <c:v>1.9568181624749865</c:v>
                </c:pt>
                <c:pt idx="13">
                  <c:v>2.1989383379145369</c:v>
                </c:pt>
                <c:pt idx="14">
                  <c:v>2.8458061392264149</c:v>
                </c:pt>
                <c:pt idx="15">
                  <c:v>5.6387455673759401</c:v>
                </c:pt>
                <c:pt idx="16">
                  <c:v>13.74112873729422</c:v>
                </c:pt>
                <c:pt idx="17">
                  <c:v>34.833327835451641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87-402D-9FBF-83D3C8A584DC}"/>
            </c:ext>
          </c:extLst>
        </c:ser>
        <c:ser>
          <c:idx val="0"/>
          <c:order val="1"/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0.24959915512441702</c:v>
                </c:pt>
                <c:pt idx="1">
                  <c:v>0.27418952986562312</c:v>
                </c:pt>
                <c:pt idx="2">
                  <c:v>0.30109826112542049</c:v>
                </c:pt>
                <c:pt idx="3">
                  <c:v>0.31269346719620922</c:v>
                </c:pt>
                <c:pt idx="4">
                  <c:v>0.37036911826113594</c:v>
                </c:pt>
                <c:pt idx="5">
                  <c:v>0.54371439639319596</c:v>
                </c:pt>
                <c:pt idx="6">
                  <c:v>0.55866066780702617</c:v>
                </c:pt>
                <c:pt idx="7">
                  <c:v>0.71747213029414691</c:v>
                </c:pt>
                <c:pt idx="8">
                  <c:v>0.87586825684018188</c:v>
                </c:pt>
                <c:pt idx="9">
                  <c:v>0.94977751679092437</c:v>
                </c:pt>
                <c:pt idx="10">
                  <c:v>1.2589881104624836</c:v>
                </c:pt>
                <c:pt idx="11">
                  <c:v>1.4276210156046916</c:v>
                </c:pt>
                <c:pt idx="12">
                  <c:v>1.9568181624749865</c:v>
                </c:pt>
                <c:pt idx="13">
                  <c:v>2.1989383379145369</c:v>
                </c:pt>
                <c:pt idx="14">
                  <c:v>2.8458061392264149</c:v>
                </c:pt>
                <c:pt idx="15">
                  <c:v>5.6387455673759401</c:v>
                </c:pt>
                <c:pt idx="16">
                  <c:v>13.74112873729422</c:v>
                </c:pt>
                <c:pt idx="17">
                  <c:v>34.833327835451641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87-402D-9FBF-83D3C8A584DC}"/>
            </c:ext>
          </c:extLst>
        </c:ser>
        <c:ser>
          <c:idx val="4"/>
          <c:order val="2"/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0.24959915512441702</c:v>
                </c:pt>
                <c:pt idx="1">
                  <c:v>0.27418952986562312</c:v>
                </c:pt>
                <c:pt idx="2">
                  <c:v>0.30109826112542049</c:v>
                </c:pt>
                <c:pt idx="3">
                  <c:v>0.31269346719620922</c:v>
                </c:pt>
                <c:pt idx="4">
                  <c:v>0.37036911826113594</c:v>
                </c:pt>
                <c:pt idx="5">
                  <c:v>0.54371439639319596</c:v>
                </c:pt>
                <c:pt idx="6">
                  <c:v>0.55866066780702617</c:v>
                </c:pt>
                <c:pt idx="7">
                  <c:v>0.71747213029414691</c:v>
                </c:pt>
                <c:pt idx="8">
                  <c:v>0.87586825684018188</c:v>
                </c:pt>
                <c:pt idx="9">
                  <c:v>0.94977751679092437</c:v>
                </c:pt>
                <c:pt idx="10">
                  <c:v>1.2589881104624836</c:v>
                </c:pt>
                <c:pt idx="11">
                  <c:v>1.4276210156046916</c:v>
                </c:pt>
                <c:pt idx="12">
                  <c:v>1.9568181624749865</c:v>
                </c:pt>
                <c:pt idx="13">
                  <c:v>2.1989383379145369</c:v>
                </c:pt>
                <c:pt idx="14">
                  <c:v>2.8458061392264149</c:v>
                </c:pt>
                <c:pt idx="15">
                  <c:v>5.6387455673759401</c:v>
                </c:pt>
                <c:pt idx="16">
                  <c:v>13.74112873729422</c:v>
                </c:pt>
                <c:pt idx="17">
                  <c:v>34.833327835451641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187-402D-9FBF-83D3C8A58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4155008"/>
        <c:axId val="464156928"/>
      </c:barChart>
      <c:lineChart>
        <c:grouping val="standard"/>
        <c:varyColors val="0"/>
        <c:ser>
          <c:idx val="2"/>
          <c:order val="3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41.482201046704006</c:v>
                </c:pt>
                <c:pt idx="1">
                  <c:v>39.292868284527216</c:v>
                </c:pt>
                <c:pt idx="2">
                  <c:v>39.955172982558864</c:v>
                </c:pt>
                <c:pt idx="3">
                  <c:v>34.457578879124007</c:v>
                </c:pt>
                <c:pt idx="4">
                  <c:v>35.59053999092955</c:v>
                </c:pt>
                <c:pt idx="5">
                  <c:v>43.272089036718107</c:v>
                </c:pt>
                <c:pt idx="6">
                  <c:v>35.983312262958279</c:v>
                </c:pt>
                <c:pt idx="7">
                  <c:v>40.251983787602725</c:v>
                </c:pt>
                <c:pt idx="8">
                  <c:v>40.966554665288186</c:v>
                </c:pt>
                <c:pt idx="9">
                  <c:v>38.321848276874519</c:v>
                </c:pt>
                <c:pt idx="10">
                  <c:v>43.908844442170953</c:v>
                </c:pt>
                <c:pt idx="11">
                  <c:v>39.63601951304247</c:v>
                </c:pt>
                <c:pt idx="12">
                  <c:v>45.354256209484092</c:v>
                </c:pt>
                <c:pt idx="13">
                  <c:v>42.107491445560107</c:v>
                </c:pt>
                <c:pt idx="14">
                  <c:v>39.732638501839261</c:v>
                </c:pt>
                <c:pt idx="15">
                  <c:v>37.056707228213348</c:v>
                </c:pt>
                <c:pt idx="16">
                  <c:v>37.540722153702205</c:v>
                </c:pt>
                <c:pt idx="17">
                  <c:v>41.849998787231975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87-402D-9FBF-83D3C8A584DC}"/>
            </c:ext>
          </c:extLst>
        </c:ser>
        <c:ser>
          <c:idx val="3"/>
          <c:order val="4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40.241475623456928</c:v>
                </c:pt>
                <c:pt idx="1">
                  <c:v>40.193883904601648</c:v>
                </c:pt>
                <c:pt idx="2">
                  <c:v>40.146348470255546</c:v>
                </c:pt>
                <c:pt idx="3">
                  <c:v>40.098869253853536</c:v>
                </c:pt>
                <c:pt idx="4">
                  <c:v>40.051446188909274</c:v>
                </c:pt>
                <c:pt idx="5">
                  <c:v>40.004079209015075</c:v>
                </c:pt>
                <c:pt idx="6">
                  <c:v>39.956768247841715</c:v>
                </c:pt>
                <c:pt idx="7">
                  <c:v>39.909513239138512</c:v>
                </c:pt>
                <c:pt idx="8">
                  <c:v>39.862314116733046</c:v>
                </c:pt>
                <c:pt idx="9">
                  <c:v>39.815170814531228</c:v>
                </c:pt>
                <c:pt idx="10">
                  <c:v>39.768083266517067</c:v>
                </c:pt>
                <c:pt idx="11">
                  <c:v>39.7210514067527</c:v>
                </c:pt>
                <c:pt idx="12">
                  <c:v>39.674075169378256</c:v>
                </c:pt>
                <c:pt idx="13">
                  <c:v>39.627154488611673</c:v>
                </c:pt>
                <c:pt idx="14">
                  <c:v>39.580289298748788</c:v>
                </c:pt>
                <c:pt idx="15">
                  <c:v>39.53347953416305</c:v>
                </c:pt>
                <c:pt idx="16">
                  <c:v>39.486725129305583</c:v>
                </c:pt>
                <c:pt idx="17">
                  <c:v>39.440026018705034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187-402D-9FBF-83D3C8A584DC}"/>
            </c:ext>
          </c:extLst>
        </c:ser>
        <c:ser>
          <c:idx val="5"/>
          <c:order val="5"/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38.931023253180392</c:v>
                </c:pt>
                <c:pt idx="1">
                  <c:v>39.074897216162597</c:v>
                </c:pt>
                <c:pt idx="2">
                  <c:v>39.219302881512078</c:v>
                </c:pt>
                <c:pt idx="3">
                  <c:v>39.364242214194569</c:v>
                </c:pt>
                <c:pt idx="4">
                  <c:v>39.509717186437555</c:v>
                </c:pt>
                <c:pt idx="5">
                  <c:v>39.655729777757116</c:v>
                </c:pt>
                <c:pt idx="6">
                  <c:v>39.80228197498483</c:v>
                </c:pt>
                <c:pt idx="7">
                  <c:v>39.949375772294879</c:v>
                </c:pt>
                <c:pt idx="8">
                  <c:v>40.097013171231112</c:v>
                </c:pt>
                <c:pt idx="9">
                  <c:v>40.24519618073429</c:v>
                </c:pt>
                <c:pt idx="10">
                  <c:v>40.393926817169479</c:v>
                </c:pt>
                <c:pt idx="11">
                  <c:v>40.543207104353414</c:v>
                </c:pt>
                <c:pt idx="12">
                  <c:v>40.693039073582099</c:v>
                </c:pt>
                <c:pt idx="13">
                  <c:v>40.843424763658398</c:v>
                </c:pt>
                <c:pt idx="14">
                  <c:v>40.994366220919815</c:v>
                </c:pt>
                <c:pt idx="15">
                  <c:v>41.145865499266314</c:v>
                </c:pt>
                <c:pt idx="16">
                  <c:v>41.297924660188258</c:v>
                </c:pt>
                <c:pt idx="17">
                  <c:v>41.450545772794555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187-402D-9FBF-83D3C8A58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162816"/>
        <c:axId val="464164352"/>
      </c:lineChart>
      <c:catAx>
        <c:axId val="4641550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15692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4156928"/>
        <c:scaling>
          <c:orientation val="minMax"/>
          <c:max val="59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155008"/>
        <c:crosses val="autoZero"/>
        <c:crossBetween val="between"/>
      </c:valAx>
      <c:catAx>
        <c:axId val="464162816"/>
        <c:scaling>
          <c:orientation val="minMax"/>
        </c:scaling>
        <c:delete val="1"/>
        <c:axPos val="b"/>
        <c:majorTickMark val="out"/>
        <c:minorTickMark val="none"/>
        <c:tickLblPos val="none"/>
        <c:crossAx val="464164352"/>
        <c:crosses val="autoZero"/>
        <c:auto val="0"/>
        <c:lblAlgn val="ctr"/>
        <c:lblOffset val="100"/>
        <c:noMultiLvlLbl val="0"/>
      </c:catAx>
      <c:valAx>
        <c:axId val="464164352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64162816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333333333333333"/>
          <c:y val="3.560830860534128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458356645419607"/>
          <c:y val="0.14540080414387654"/>
          <c:w val="0.85833507962052424"/>
          <c:h val="0.70326511392038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6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1.4015141411028174</c:v>
                </c:pt>
                <c:pt idx="1">
                  <c:v>1.7155183724395533</c:v>
                </c:pt>
                <c:pt idx="2">
                  <c:v>1.4219479117643059</c:v>
                </c:pt>
                <c:pt idx="3">
                  <c:v>1.4512651692824383</c:v>
                </c:pt>
                <c:pt idx="4">
                  <c:v>1.8399197636534819</c:v>
                </c:pt>
                <c:pt idx="5">
                  <c:v>1.1986605185699328</c:v>
                </c:pt>
                <c:pt idx="6">
                  <c:v>1.4139758492324335</c:v>
                </c:pt>
                <c:pt idx="7">
                  <c:v>1.4863687392743334</c:v>
                </c:pt>
                <c:pt idx="8">
                  <c:v>1.334686902689693</c:v>
                </c:pt>
                <c:pt idx="9">
                  <c:v>1.5290577015542586</c:v>
                </c:pt>
                <c:pt idx="10">
                  <c:v>1.601199541960997</c:v>
                </c:pt>
                <c:pt idx="11">
                  <c:v>1.7690423956555197</c:v>
                </c:pt>
                <c:pt idx="12">
                  <c:v>1.4148367403464688</c:v>
                </c:pt>
                <c:pt idx="13">
                  <c:v>1.5836270356633217</c:v>
                </c:pt>
                <c:pt idx="14">
                  <c:v>1.488565846689297</c:v>
                </c:pt>
                <c:pt idx="15">
                  <c:v>1.3900507002934246</c:v>
                </c:pt>
                <c:pt idx="16">
                  <c:v>1.6458325953554589</c:v>
                </c:pt>
                <c:pt idx="17">
                  <c:v>1.3738519367661068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A2-473E-9BBC-BD8E6898734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64184064"/>
        <c:axId val="464186752"/>
      </c:barChart>
      <c:catAx>
        <c:axId val="4641840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186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4186752"/>
        <c:scaling>
          <c:orientation val="minMax"/>
          <c:min val="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184064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2908704883227213"/>
          <c:y val="3.16622691292876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679572799671737E-2"/>
          <c:y val="0.12401071385780046"/>
          <c:w val="0.90233732736474759"/>
          <c:h val="0.71504049905242395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0.87909387335932276</c:v>
                </c:pt>
                <c:pt idx="3">
                  <c:v>0.93383202622570205</c:v>
                </c:pt>
                <c:pt idx="4">
                  <c:v>0.95356844093311832</c:v>
                </c:pt>
                <c:pt idx="5">
                  <c:v>0.96242769045952814</c:v>
                </c:pt>
                <c:pt idx="6">
                  <c:v>0.96929641614863582</c:v>
                </c:pt>
                <c:pt idx="7">
                  <c:v>0.97605994987273759</c:v>
                </c:pt>
                <c:pt idx="8">
                  <c:v>0.98008004829088269</c:v>
                </c:pt>
                <c:pt idx="9">
                  <c:v>0.98307841292336984</c:v>
                </c:pt>
                <c:pt idx="10">
                  <c:v>0.98622556459580313</c:v>
                </c:pt>
                <c:pt idx="11">
                  <c:v>0.98818794845553182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10-4F71-878C-5B6723D3FF93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0.87409588137181282</c:v>
                </c:pt>
                <c:pt idx="3">
                  <c:v>0.92837614609871677</c:v>
                </c:pt>
                <c:pt idx="4">
                  <c:v>0.94777800665301637</c:v>
                </c:pt>
                <c:pt idx="5">
                  <c:v>0.95685483322655829</c:v>
                </c:pt>
                <c:pt idx="6">
                  <c:v>0.96398179238062165</c:v>
                </c:pt>
                <c:pt idx="7">
                  <c:v>0.97132728101712662</c:v>
                </c:pt>
                <c:pt idx="8">
                  <c:v>0.97521571083726688</c:v>
                </c:pt>
                <c:pt idx="9">
                  <c:v>0.97861987373546322</c:v>
                </c:pt>
                <c:pt idx="10">
                  <c:v>0.98217546750704832</c:v>
                </c:pt>
                <c:pt idx="11">
                  <c:v>0.98447441318381057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10-4F71-878C-5B6723D3FF93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0.87820248963569991</c:v>
                </c:pt>
                <c:pt idx="3">
                  <c:v>0.92758925354060517</c:v>
                </c:pt>
                <c:pt idx="4">
                  <c:v>0.94524790181229301</c:v>
                </c:pt>
                <c:pt idx="5">
                  <c:v>0.95442563316371398</c:v>
                </c:pt>
                <c:pt idx="6">
                  <c:v>0.96266732516683329</c:v>
                </c:pt>
                <c:pt idx="7">
                  <c:v>0.96975398823719716</c:v>
                </c:pt>
                <c:pt idx="8">
                  <c:v>0.97457072439158232</c:v>
                </c:pt>
                <c:pt idx="9">
                  <c:v>0.97812221495946883</c:v>
                </c:pt>
                <c:pt idx="10">
                  <c:v>0.98158971719507759</c:v>
                </c:pt>
                <c:pt idx="11">
                  <c:v>0.98418334317359979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10-4F71-878C-5B6723D3FF93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0.80586142120701187</c:v>
                </c:pt>
                <c:pt idx="3">
                  <c:v>0.87266317835254281</c:v>
                </c:pt>
                <c:pt idx="4">
                  <c:v>0.90617230927349479</c:v>
                </c:pt>
                <c:pt idx="5">
                  <c:v>0.92793683044965436</c:v>
                </c:pt>
                <c:pt idx="6">
                  <c:v>0.94297653417538729</c:v>
                </c:pt>
                <c:pt idx="7">
                  <c:v>0.95481421391443222</c:v>
                </c:pt>
                <c:pt idx="8">
                  <c:v>0.96180874690162388</c:v>
                </c:pt>
                <c:pt idx="9">
                  <c:v>0.9678020710325459</c:v>
                </c:pt>
                <c:pt idx="10">
                  <c:v>0.97264985576250418</c:v>
                </c:pt>
                <c:pt idx="11">
                  <c:v>0.9777568238372073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10-4F71-878C-5B6723D3FF93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0.88166185284618559</c:v>
                </c:pt>
                <c:pt idx="3">
                  <c:v>0.93111555708440763</c:v>
                </c:pt>
                <c:pt idx="4">
                  <c:v>0.94856143575069685</c:v>
                </c:pt>
                <c:pt idx="5">
                  <c:v>0.95780885209330213</c:v>
                </c:pt>
                <c:pt idx="6">
                  <c:v>0.96587441371815064</c:v>
                </c:pt>
                <c:pt idx="7">
                  <c:v>0.97273756151259516</c:v>
                </c:pt>
                <c:pt idx="8">
                  <c:v>0.97737831187969959</c:v>
                </c:pt>
                <c:pt idx="9">
                  <c:v>0.98089684997822646</c:v>
                </c:pt>
                <c:pt idx="10">
                  <c:v>0.98432951543940195</c:v>
                </c:pt>
                <c:pt idx="11">
                  <c:v>0.98677567309757686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910-4F71-878C-5B6723D3F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109952"/>
        <c:axId val="464112256"/>
      </c:lineChart>
      <c:catAx>
        <c:axId val="46410995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7749580665474265"/>
              <c:y val="0.72031745372197853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112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4112256"/>
        <c:scaling>
          <c:orientation val="minMax"/>
          <c:max val="1.05"/>
          <c:min val="0.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535625592975024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109952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2738853503184714E-2"/>
          <c:y val="0.92612248007257669"/>
          <c:w val="0.96178544560910872"/>
          <c:h val="6.596306068601587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974789915966444"/>
          <c:y val="3.174603174603174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25210084033634"/>
          <c:y val="0.12962996452847153"/>
          <c:w val="0.83823529411764708"/>
          <c:h val="0.73545163548806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107101</c:v>
                </c:pt>
                <c:pt idx="1">
                  <c:v>107146</c:v>
                </c:pt>
                <c:pt idx="2">
                  <c:v>107140</c:v>
                </c:pt>
                <c:pt idx="3">
                  <c:v>107241</c:v>
                </c:pt>
                <c:pt idx="4">
                  <c:v>107513</c:v>
                </c:pt>
                <c:pt idx="5">
                  <c:v>107756</c:v>
                </c:pt>
                <c:pt idx="6">
                  <c:v>107747</c:v>
                </c:pt>
                <c:pt idx="7">
                  <c:v>108297</c:v>
                </c:pt>
                <c:pt idx="8">
                  <c:v>110175</c:v>
                </c:pt>
                <c:pt idx="9">
                  <c:v>129231</c:v>
                </c:pt>
                <c:pt idx="10">
                  <c:v>132944</c:v>
                </c:pt>
                <c:pt idx="11">
                  <c:v>131999</c:v>
                </c:pt>
                <c:pt idx="12">
                  <c:v>132272</c:v>
                </c:pt>
                <c:pt idx="13">
                  <c:v>132389</c:v>
                </c:pt>
                <c:pt idx="14">
                  <c:v>131777</c:v>
                </c:pt>
                <c:pt idx="15">
                  <c:v>131723</c:v>
                </c:pt>
                <c:pt idx="16">
                  <c:v>130970</c:v>
                </c:pt>
                <c:pt idx="17">
                  <c:v>129309</c:v>
                </c:pt>
                <c:pt idx="18">
                  <c:v>128887</c:v>
                </c:pt>
                <c:pt idx="19">
                  <c:v>128447</c:v>
                </c:pt>
                <c:pt idx="20">
                  <c:v>128156</c:v>
                </c:pt>
                <c:pt idx="21">
                  <c:v>134089</c:v>
                </c:pt>
                <c:pt idx="22">
                  <c:v>135481</c:v>
                </c:pt>
                <c:pt idx="23">
                  <c:v>134844</c:v>
                </c:pt>
                <c:pt idx="24">
                  <c:v>134470</c:v>
                </c:pt>
                <c:pt idx="25">
                  <c:v>134465</c:v>
                </c:pt>
                <c:pt idx="26">
                  <c:v>135415</c:v>
                </c:pt>
                <c:pt idx="27">
                  <c:v>136235</c:v>
                </c:pt>
                <c:pt idx="28">
                  <c:v>136843</c:v>
                </c:pt>
                <c:pt idx="29">
                  <c:v>138164</c:v>
                </c:pt>
                <c:pt idx="30">
                  <c:v>140994</c:v>
                </c:pt>
                <c:pt idx="31">
                  <c:v>142616</c:v>
                </c:pt>
                <c:pt idx="32">
                  <c:v>143536</c:v>
                </c:pt>
                <c:pt idx="33">
                  <c:v>164688</c:v>
                </c:pt>
                <c:pt idx="34">
                  <c:v>164591</c:v>
                </c:pt>
                <c:pt idx="35">
                  <c:v>164912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9E-40F2-818B-A783701E3A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5928192"/>
        <c:axId val="465929728"/>
      </c:barChart>
      <c:catAx>
        <c:axId val="4659281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92972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5929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92819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Quarterly Completion Patterns By Quarter</a:t>
            </a:r>
          </a:p>
        </c:rich>
      </c:tx>
      <c:layout>
        <c:manualLayout>
          <c:xMode val="edge"/>
          <c:yMode val="edge"/>
          <c:x val="0.21019108280254795"/>
          <c:y val="3.25000000000000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03418597852404"/>
          <c:y val="0.13000015869159998"/>
          <c:w val="0.88747530079638737"/>
          <c:h val="0.74500090942493824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0.87909387335932276</c:v>
                </c:pt>
                <c:pt idx="3">
                  <c:v>0.93383202622570205</c:v>
                </c:pt>
                <c:pt idx="4">
                  <c:v>0.95356844093311832</c:v>
                </c:pt>
                <c:pt idx="5">
                  <c:v>0.96242769045952814</c:v>
                </c:pt>
                <c:pt idx="6">
                  <c:v>0.96929641614863582</c:v>
                </c:pt>
                <c:pt idx="7">
                  <c:v>0.97605994987273759</c:v>
                </c:pt>
                <c:pt idx="8">
                  <c:v>0.98008004829088269</c:v>
                </c:pt>
                <c:pt idx="9">
                  <c:v>0.98307841292336984</c:v>
                </c:pt>
                <c:pt idx="10">
                  <c:v>0.98622556459580313</c:v>
                </c:pt>
                <c:pt idx="11">
                  <c:v>0.98818794845553182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C6-4C09-BF6E-DBE651E7C03B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0.86875338352933695</c:v>
                </c:pt>
                <c:pt idx="3">
                  <c:v>0.92255614800264008</c:v>
                </c:pt>
                <c:pt idx="4">
                  <c:v>0.9416186084663587</c:v>
                </c:pt>
                <c:pt idx="5">
                  <c:v>0.95090620999990549</c:v>
                </c:pt>
                <c:pt idx="6">
                  <c:v>0.95833573469404598</c:v>
                </c:pt>
                <c:pt idx="7">
                  <c:v>0.96625439954803349</c:v>
                </c:pt>
                <c:pt idx="8">
                  <c:v>0.97001095691100037</c:v>
                </c:pt>
                <c:pt idx="9">
                  <c:v>0.9738157463321464</c:v>
                </c:pt>
                <c:pt idx="10">
                  <c:v>0.97777488796092704</c:v>
                </c:pt>
                <c:pt idx="11">
                  <c:v>0.9804069105563129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C6-4C09-BF6E-DBE651E7C03B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2700">
              <a:solidFill>
                <a:srgbClr val="339966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0.86488471486644092</c:v>
                </c:pt>
                <c:pt idx="3">
                  <c:v>0.91416991165877703</c:v>
                </c:pt>
                <c:pt idx="4">
                  <c:v>0.93170174839347986</c:v>
                </c:pt>
                <c:pt idx="5">
                  <c:v>0.94314793438162448</c:v>
                </c:pt>
                <c:pt idx="6">
                  <c:v>0.95469838900122361</c:v>
                </c:pt>
                <c:pt idx="7">
                  <c:v>0.96276399676956825</c:v>
                </c:pt>
                <c:pt idx="8">
                  <c:v>0.96913770815091638</c:v>
                </c:pt>
                <c:pt idx="9">
                  <c:v>0.97297240486699776</c:v>
                </c:pt>
                <c:pt idx="10">
                  <c:v>0.9760973922461742</c:v>
                </c:pt>
                <c:pt idx="11">
                  <c:v>0.98018527609956596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3C6-4C09-BF6E-DBE651E7C03B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0.89659371220203343</c:v>
                </c:pt>
                <c:pt idx="3">
                  <c:v>0.93601863084926606</c:v>
                </c:pt>
                <c:pt idx="4">
                  <c:v>0.95024108913962546</c:v>
                </c:pt>
                <c:pt idx="5">
                  <c:v>0.95733827020665985</c:v>
                </c:pt>
                <c:pt idx="6">
                  <c:v>0.96460102768475775</c:v>
                </c:pt>
                <c:pt idx="7">
                  <c:v>0.9701586495113439</c:v>
                </c:pt>
                <c:pt idx="8">
                  <c:v>0.97524796952374337</c:v>
                </c:pt>
                <c:pt idx="9">
                  <c:v>0.9790687381057005</c:v>
                </c:pt>
                <c:pt idx="10">
                  <c:v>0.98317176365525227</c:v>
                </c:pt>
                <c:pt idx="11">
                  <c:v>0.98550117594572217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3C6-4C09-BF6E-DBE651E7C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982208"/>
        <c:axId val="465984512"/>
      </c:lineChart>
      <c:catAx>
        <c:axId val="4659822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61358944781583835"/>
              <c:y val="0.7550010498687667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984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5984512"/>
        <c:scaling>
          <c:orientation val="minMax"/>
          <c:max val="1.100000000000000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825005249343835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982208"/>
        <c:crosses val="autoZero"/>
        <c:crossBetween val="between"/>
        <c:majorUnit val="0.1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3779237786359525"/>
          <c:y val="0.95000104986876632"/>
          <c:w val="0.60085059431265353"/>
          <c:h val="4.250000000000000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Trend Study on Actual PMPMs
Rolling Average Trends vs. Least Square Trend</a:t>
            </a:r>
          </a:p>
        </c:rich>
      </c:tx>
      <c:layout>
        <c:manualLayout>
          <c:xMode val="edge"/>
          <c:yMode val="edge"/>
          <c:x val="0.25576519916142559"/>
          <c:y val="3.57142857142857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159354034316949"/>
          <c:y val="0.18452434583201358"/>
          <c:w val="0.82809393854399826"/>
          <c:h val="0.55357303749603992"/>
        </c:manualLayout>
      </c:layout>
      <c:lineChart>
        <c:grouping val="standard"/>
        <c:varyColors val="0"/>
        <c:ser>
          <c:idx val="0"/>
          <c:order val="0"/>
          <c:tx>
            <c:v>3 Mo Roll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Trends!$E$62:$E$83</c:f>
              <c:numCache>
                <c:formatCode>0.0%</c:formatCode>
                <c:ptCount val="22"/>
                <c:pt idx="0">
                  <c:v>4.3276712875373269E-2</c:v>
                </c:pt>
                <c:pt idx="1">
                  <c:v>7.4442625310535693E-3</c:v>
                </c:pt>
                <c:pt idx="2">
                  <c:v>-3.8228917618885694E-2</c:v>
                </c:pt>
                <c:pt idx="3">
                  <c:v>-8.1109676981162004E-2</c:v>
                </c:pt>
                <c:pt idx="4">
                  <c:v>-0.10359989284557736</c:v>
                </c:pt>
                <c:pt idx="5">
                  <c:v>-0.1383893561055658</c:v>
                </c:pt>
                <c:pt idx="6">
                  <c:v>-0.16053185151553429</c:v>
                </c:pt>
                <c:pt idx="7">
                  <c:v>-0.11847523162027418</c:v>
                </c:pt>
                <c:pt idx="8">
                  <c:v>-2.5918086730485346E-2</c:v>
                </c:pt>
                <c:pt idx="9">
                  <c:v>0.10010809101590157</c:v>
                </c:pt>
                <c:pt idx="10">
                  <c:v>6.6597792416548174E-2</c:v>
                </c:pt>
                <c:pt idx="11">
                  <c:v>3.2676003472606796E-2</c:v>
                </c:pt>
                <c:pt idx="12">
                  <c:v>9.777316695672722E-3</c:v>
                </c:pt>
                <c:pt idx="13">
                  <c:v>2.5266682435893362E-2</c:v>
                </c:pt>
                <c:pt idx="14">
                  <c:v>9.0956922841671783E-3</c:v>
                </c:pt>
                <c:pt idx="15">
                  <c:v>-1.3118994562174024E-2</c:v>
                </c:pt>
                <c:pt idx="16">
                  <c:v>1.5091726050895815E-2</c:v>
                </c:pt>
                <c:pt idx="17">
                  <c:v>4.5536470644615301E-2</c:v>
                </c:pt>
                <c:pt idx="18">
                  <c:v>5.3542043146839857E-2</c:v>
                </c:pt>
                <c:pt idx="19">
                  <c:v>4.5654885156313441E-2</c:v>
                </c:pt>
                <c:pt idx="20">
                  <c:v>3.9333150474620604E-2</c:v>
                </c:pt>
                <c:pt idx="21">
                  <c:v>2.7596315962892026E-2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C5-428A-BF7C-05A01A85329B}"/>
            </c:ext>
          </c:extLst>
        </c:ser>
        <c:ser>
          <c:idx val="1"/>
          <c:order val="1"/>
          <c:tx>
            <c:v>6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Trends!$F$62:$F$83</c:f>
              <c:numCache>
                <c:formatCode>0.0%</c:formatCode>
                <c:ptCount val="22"/>
                <c:pt idx="3">
                  <c:v>-2.477386655819136E-2</c:v>
                </c:pt>
                <c:pt idx="4">
                  <c:v>-5.367025561163985E-2</c:v>
                </c:pt>
                <c:pt idx="5">
                  <c:v>-9.0952599397425393E-2</c:v>
                </c:pt>
                <c:pt idx="6">
                  <c:v>-0.12216691393077372</c:v>
                </c:pt>
                <c:pt idx="7">
                  <c:v>-0.11068934539176767</c:v>
                </c:pt>
                <c:pt idx="8">
                  <c:v>-8.8387255455566027E-2</c:v>
                </c:pt>
                <c:pt idx="9">
                  <c:v>-5.1758516305738356E-2</c:v>
                </c:pt>
                <c:pt idx="10">
                  <c:v>-3.4272007733281096E-2</c:v>
                </c:pt>
                <c:pt idx="11">
                  <c:v>3.7371628781914801E-3</c:v>
                </c:pt>
                <c:pt idx="12">
                  <c:v>5.2250456830420511E-2</c:v>
                </c:pt>
                <c:pt idx="13">
                  <c:v>4.5110348628492059E-2</c:v>
                </c:pt>
                <c:pt idx="14">
                  <c:v>2.0570492487188341E-2</c:v>
                </c:pt>
                <c:pt idx="15">
                  <c:v>-2.0254230760268221E-3</c:v>
                </c:pt>
                <c:pt idx="16">
                  <c:v>1.9962228869046861E-2</c:v>
                </c:pt>
                <c:pt idx="17">
                  <c:v>2.7276856263154903E-2</c:v>
                </c:pt>
                <c:pt idx="18">
                  <c:v>1.9835320719978844E-2</c:v>
                </c:pt>
                <c:pt idx="19">
                  <c:v>2.9530326568855347E-2</c:v>
                </c:pt>
                <c:pt idx="20">
                  <c:v>4.2589634816276867E-2</c:v>
                </c:pt>
                <c:pt idx="21">
                  <c:v>4.097990025838727E-2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C5-428A-BF7C-05A01A85329B}"/>
            </c:ext>
          </c:extLst>
        </c:ser>
        <c:ser>
          <c:idx val="2"/>
          <c:order val="2"/>
          <c:tx>
            <c:v>12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Trends!$G$62:$G$83</c:f>
              <c:numCache>
                <c:formatCode>0.0%</c:formatCode>
                <c:ptCount val="22"/>
                <c:pt idx="9">
                  <c:v>-3.8298701164099502E-2</c:v>
                </c:pt>
                <c:pt idx="10">
                  <c:v>-4.4378076824705626E-2</c:v>
                </c:pt>
                <c:pt idx="11">
                  <c:v>-4.7360609664821807E-2</c:v>
                </c:pt>
                <c:pt idx="12">
                  <c:v>-4.532778323630593E-2</c:v>
                </c:pt>
                <c:pt idx="13">
                  <c:v>-4.0089177916272756E-2</c:v>
                </c:pt>
                <c:pt idx="14">
                  <c:v>-3.5703342593939258E-2</c:v>
                </c:pt>
                <c:pt idx="15">
                  <c:v>-2.7263757888178586E-2</c:v>
                </c:pt>
                <c:pt idx="16">
                  <c:v>-6.7644450424725333E-3</c:v>
                </c:pt>
                <c:pt idx="17">
                  <c:v>1.5880632265681038E-2</c:v>
                </c:pt>
                <c:pt idx="18">
                  <c:v>3.5163344972331201E-2</c:v>
                </c:pt>
                <c:pt idx="19">
                  <c:v>3.7045251586962369E-2</c:v>
                </c:pt>
                <c:pt idx="20">
                  <c:v>3.1433532351111682E-2</c:v>
                </c:pt>
                <c:pt idx="21">
                  <c:v>1.9227376322711542E-2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C5-428A-BF7C-05A01A85329B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Trends!$H$62:$H$83</c:f>
              <c:numCache>
                <c:formatCode>0.0%</c:formatCode>
                <c:ptCount val="22"/>
                <c:pt idx="0">
                  <c:v>-2.0919267130664165E-2</c:v>
                </c:pt>
                <c:pt idx="1">
                  <c:v>-2.0919267130664165E-2</c:v>
                </c:pt>
                <c:pt idx="2">
                  <c:v>-2.0919267130664165E-2</c:v>
                </c:pt>
                <c:pt idx="3">
                  <c:v>-2.0919267130664165E-2</c:v>
                </c:pt>
                <c:pt idx="4">
                  <c:v>-2.0919267130664165E-2</c:v>
                </c:pt>
                <c:pt idx="5">
                  <c:v>-2.0919267130664165E-2</c:v>
                </c:pt>
                <c:pt idx="6">
                  <c:v>-2.0919267130664165E-2</c:v>
                </c:pt>
                <c:pt idx="7">
                  <c:v>-2.0919267130664165E-2</c:v>
                </c:pt>
                <c:pt idx="8">
                  <c:v>-2.0919267130664165E-2</c:v>
                </c:pt>
                <c:pt idx="9">
                  <c:v>-2.0919267130664165E-2</c:v>
                </c:pt>
                <c:pt idx="10">
                  <c:v>-2.0919267130664165E-2</c:v>
                </c:pt>
                <c:pt idx="11">
                  <c:v>-2.0919267130664165E-2</c:v>
                </c:pt>
                <c:pt idx="12">
                  <c:v>-2.0919267130664165E-2</c:v>
                </c:pt>
                <c:pt idx="13">
                  <c:v>-2.0919267130664165E-2</c:v>
                </c:pt>
                <c:pt idx="14">
                  <c:v>-2.0919267130664165E-2</c:v>
                </c:pt>
                <c:pt idx="15">
                  <c:v>-2.0919267130664165E-2</c:v>
                </c:pt>
                <c:pt idx="16">
                  <c:v>-2.0919267130664165E-2</c:v>
                </c:pt>
                <c:pt idx="17">
                  <c:v>-2.0919267130664165E-2</c:v>
                </c:pt>
                <c:pt idx="18">
                  <c:v>-2.0919267130664165E-2</c:v>
                </c:pt>
                <c:pt idx="19">
                  <c:v>-2.0919267130664165E-2</c:v>
                </c:pt>
                <c:pt idx="20">
                  <c:v>-2.0919267130664165E-2</c:v>
                </c:pt>
                <c:pt idx="21">
                  <c:v>-2.0919267130664165E-2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C5-428A-BF7C-05A01A8532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029184"/>
        <c:axId val="466031360"/>
      </c:lineChart>
      <c:dateAx>
        <c:axId val="4660291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6031360"/>
        <c:crossesAt val="-5.9999998658895534E-2"/>
        <c:auto val="1"/>
        <c:lblOffset val="100"/>
        <c:baseTimeUnit val="months"/>
        <c:majorUnit val="2"/>
        <c:majorTimeUnit val="months"/>
        <c:minorUnit val="1"/>
        <c:minorTimeUnit val="months"/>
      </c:dateAx>
      <c:valAx>
        <c:axId val="466031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602918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0796645702306154E-2"/>
          <c:y val="0.92559523809523814"/>
          <c:w val="0.86373165618448844"/>
          <c:h val="6.54761904761904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0506329113924117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181457635848571"/>
          <c:y val="0.10638311687468427"/>
          <c:w val="0.84810301313417613"/>
          <c:h val="0.70212857137291618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35.869891317541402</c:v>
                </c:pt>
                <c:pt idx="1">
                  <c:v>36.591966235234068</c:v>
                </c:pt>
                <c:pt idx="2">
                  <c:v>38.790531392615186</c:v>
                </c:pt>
                <c:pt idx="3">
                  <c:v>40.350388620093234</c:v>
                </c:pt>
                <c:pt idx="4">
                  <c:v>47.798624963803547</c:v>
                </c:pt>
                <c:pt idx="5">
                  <c:v>46.237790728679677</c:v>
                </c:pt>
                <c:pt idx="6">
                  <c:v>47.622125569631088</c:v>
                </c:pt>
                <c:pt idx="7">
                  <c:v>47.227304643709218</c:v>
                </c:pt>
                <c:pt idx="8">
                  <c:v>48.96810775013158</c:v>
                </c:pt>
                <c:pt idx="9">
                  <c:v>32.792024176098245</c:v>
                </c:pt>
                <c:pt idx="10">
                  <c:v>31.17009535145916</c:v>
                </c:pt>
                <c:pt idx="11">
                  <c:v>39.046129236548509</c:v>
                </c:pt>
                <c:pt idx="12">
                  <c:v>37.458797906089245</c:v>
                </c:pt>
                <c:pt idx="13">
                  <c:v>39.220997237718201</c:v>
                </c:pt>
                <c:pt idx="14">
                  <c:v>39.387231494672243</c:v>
                </c:pt>
                <c:pt idx="15">
                  <c:v>37.986203504258292</c:v>
                </c:pt>
                <c:pt idx="16">
                  <c:v>44.71334857009554</c:v>
                </c:pt>
                <c:pt idx="17">
                  <c:v>40.787181949898923</c:v>
                </c:pt>
                <c:pt idx="18">
                  <c:v>41.482201046704006</c:v>
                </c:pt>
                <c:pt idx="19">
                  <c:v>39.292868284527216</c:v>
                </c:pt>
                <c:pt idx="20">
                  <c:v>39.955172982558864</c:v>
                </c:pt>
                <c:pt idx="21">
                  <c:v>34.457578879124007</c:v>
                </c:pt>
                <c:pt idx="22">
                  <c:v>35.59053999092955</c:v>
                </c:pt>
                <c:pt idx="23">
                  <c:v>43.272089036718107</c:v>
                </c:pt>
                <c:pt idx="24">
                  <c:v>35.983312262958279</c:v>
                </c:pt>
                <c:pt idx="25">
                  <c:v>40.251983787602725</c:v>
                </c:pt>
                <c:pt idx="26">
                  <c:v>40.966554665288186</c:v>
                </c:pt>
                <c:pt idx="27">
                  <c:v>38.321848276874519</c:v>
                </c:pt>
                <c:pt idx="28">
                  <c:v>43.908844442170953</c:v>
                </c:pt>
                <c:pt idx="29">
                  <c:v>39.63601951304247</c:v>
                </c:pt>
                <c:pt idx="30">
                  <c:v>45.354256209484092</c:v>
                </c:pt>
                <c:pt idx="31">
                  <c:v>42.107491445560107</c:v>
                </c:pt>
                <c:pt idx="32">
                  <c:v>39.732638501839261</c:v>
                </c:pt>
                <c:pt idx="33">
                  <c:v>37.056707228213348</c:v>
                </c:pt>
                <c:pt idx="34">
                  <c:v>37.540722153702205</c:v>
                </c:pt>
                <c:pt idx="35">
                  <c:v>41.849998787231975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77-46DE-B786-6754A618E1DB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41.059211258767021</c:v>
                </c:pt>
                <c:pt idx="2">
                  <c:v>41.010652442064291</c:v>
                </c:pt>
                <c:pt idx="3">
                  <c:v>40.962151053612324</c:v>
                </c:pt>
                <c:pt idx="4">
                  <c:v>40.913707025493366</c:v>
                </c:pt>
                <c:pt idx="5">
                  <c:v>40.865320289870041</c:v>
                </c:pt>
                <c:pt idx="6">
                  <c:v>40.816990778985208</c:v>
                </c:pt>
                <c:pt idx="7">
                  <c:v>40.768718425161786</c:v>
                </c:pt>
                <c:pt idx="8">
                  <c:v>40.720503160802821</c:v>
                </c:pt>
                <c:pt idx="9">
                  <c:v>40.672344918391232</c:v>
                </c:pt>
                <c:pt idx="10">
                  <c:v>40.62424363048985</c:v>
                </c:pt>
                <c:pt idx="11">
                  <c:v>40.576199229741192</c:v>
                </c:pt>
                <c:pt idx="12">
                  <c:v>40.52821164886749</c:v>
                </c:pt>
                <c:pt idx="13">
                  <c:v>40.480280820670544</c:v>
                </c:pt>
                <c:pt idx="14">
                  <c:v>40.432406678031569</c:v>
                </c:pt>
                <c:pt idx="15">
                  <c:v>40.384589153911236</c:v>
                </c:pt>
                <c:pt idx="16">
                  <c:v>40.336828181349418</c:v>
                </c:pt>
                <c:pt idx="17">
                  <c:v>40.289123693465243</c:v>
                </c:pt>
                <c:pt idx="18">
                  <c:v>40.241475623456928</c:v>
                </c:pt>
                <c:pt idx="19">
                  <c:v>40.193883904601648</c:v>
                </c:pt>
                <c:pt idx="20">
                  <c:v>40.146348470255546</c:v>
                </c:pt>
                <c:pt idx="21">
                  <c:v>40.098869253853536</c:v>
                </c:pt>
                <c:pt idx="22">
                  <c:v>40.051446188909274</c:v>
                </c:pt>
                <c:pt idx="23">
                  <c:v>40.004079209015075</c:v>
                </c:pt>
                <c:pt idx="24">
                  <c:v>39.956768247841715</c:v>
                </c:pt>
                <c:pt idx="25">
                  <c:v>39.909513239138512</c:v>
                </c:pt>
                <c:pt idx="26">
                  <c:v>39.862314116733046</c:v>
                </c:pt>
                <c:pt idx="27">
                  <c:v>39.815170814531228</c:v>
                </c:pt>
                <c:pt idx="28">
                  <c:v>39.768083266517067</c:v>
                </c:pt>
                <c:pt idx="29">
                  <c:v>39.7210514067527</c:v>
                </c:pt>
                <c:pt idx="30">
                  <c:v>39.674075169378256</c:v>
                </c:pt>
                <c:pt idx="31">
                  <c:v>39.627154488611673</c:v>
                </c:pt>
                <c:pt idx="32">
                  <c:v>39.580289298748788</c:v>
                </c:pt>
                <c:pt idx="33">
                  <c:v>39.53347953416305</c:v>
                </c:pt>
                <c:pt idx="34">
                  <c:v>39.486725129305583</c:v>
                </c:pt>
                <c:pt idx="35">
                  <c:v>39.440026018705034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77-46DE-B786-6754A618E1DB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37.798939413948808</c:v>
                </c:pt>
                <c:pt idx="11">
                  <c:v>37.93862963412726</c:v>
                </c:pt>
                <c:pt idx="12">
                  <c:v>38.078836095182204</c:v>
                </c:pt>
                <c:pt idx="13">
                  <c:v>38.219560704939695</c:v>
                </c:pt>
                <c:pt idx="14">
                  <c:v>38.360805378276368</c:v>
                </c:pt>
                <c:pt idx="15">
                  <c:v>38.502572037145548</c:v>
                </c:pt>
                <c:pt idx="16">
                  <c:v>38.644862610603298</c:v>
                </c:pt>
                <c:pt idx="17">
                  <c:v>38.787679034834738</c:v>
                </c:pt>
                <c:pt idx="18">
                  <c:v>38.931023253180392</c:v>
                </c:pt>
                <c:pt idx="19">
                  <c:v>39.074897216162597</c:v>
                </c:pt>
                <c:pt idx="20">
                  <c:v>39.219302881512078</c:v>
                </c:pt>
                <c:pt idx="21">
                  <c:v>39.364242214194569</c:v>
                </c:pt>
                <c:pt idx="22">
                  <c:v>39.509717186437555</c:v>
                </c:pt>
                <c:pt idx="23">
                  <c:v>39.655729777757116</c:v>
                </c:pt>
                <c:pt idx="24">
                  <c:v>39.80228197498483</c:v>
                </c:pt>
                <c:pt idx="25">
                  <c:v>39.949375772294879</c:v>
                </c:pt>
                <c:pt idx="26">
                  <c:v>40.097013171231112</c:v>
                </c:pt>
                <c:pt idx="27">
                  <c:v>40.24519618073429</c:v>
                </c:pt>
                <c:pt idx="28">
                  <c:v>40.393926817169479</c:v>
                </c:pt>
                <c:pt idx="29">
                  <c:v>40.543207104353414</c:v>
                </c:pt>
                <c:pt idx="30">
                  <c:v>40.693039073582099</c:v>
                </c:pt>
                <c:pt idx="31">
                  <c:v>40.843424763658398</c:v>
                </c:pt>
                <c:pt idx="32">
                  <c:v>40.994366220919815</c:v>
                </c:pt>
                <c:pt idx="33">
                  <c:v>41.145865499266314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77-46DE-B786-6754A618E1DB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39.577895374722281</c:v>
                </c:pt>
                <c:pt idx="17">
                  <c:v>39.627826292020565</c:v>
                </c:pt>
                <c:pt idx="18">
                  <c:v>39.677820201463291</c:v>
                </c:pt>
                <c:pt idx="19">
                  <c:v>39.727877182520444</c:v>
                </c:pt>
                <c:pt idx="20">
                  <c:v>39.777997314762338</c:v>
                </c:pt>
                <c:pt idx="21">
                  <c:v>39.828180677859585</c:v>
                </c:pt>
                <c:pt idx="22">
                  <c:v>39.878427351583355</c:v>
                </c:pt>
                <c:pt idx="23">
                  <c:v>39.928737415805429</c:v>
                </c:pt>
                <c:pt idx="24">
                  <c:v>39.979110950498402</c:v>
                </c:pt>
                <c:pt idx="25">
                  <c:v>40.029548035735708</c:v>
                </c:pt>
                <c:pt idx="26">
                  <c:v>40.080048751691812</c:v>
                </c:pt>
                <c:pt idx="27">
                  <c:v>40.130613178642363</c:v>
                </c:pt>
                <c:pt idx="28">
                  <c:v>40.181241396964246</c:v>
                </c:pt>
                <c:pt idx="29">
                  <c:v>40.231933487135763</c:v>
                </c:pt>
                <c:pt idx="30">
                  <c:v>40.282689529736714</c:v>
                </c:pt>
                <c:pt idx="31">
                  <c:v>40.333509605448626</c:v>
                </c:pt>
                <c:pt idx="32">
                  <c:v>40.384393795054763</c:v>
                </c:pt>
                <c:pt idx="33">
                  <c:v>40.435342179440305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677-46DE-B786-6754A618E1DB}"/>
            </c:ext>
          </c:extLst>
        </c:ser>
        <c:ser>
          <c:idx val="4"/>
          <c:order val="4"/>
          <c:tx>
            <c:strRef>
              <c:f>Charts!$AP$5</c:f>
              <c:strCache>
                <c:ptCount val="1"/>
                <c:pt idx="0">
                  <c:v>Lst Sq-12 Mo</c:v>
                </c:pt>
              </c:strCache>
            </c:strRef>
          </c:tx>
          <c:spPr>
            <a:ln w="12700">
              <a:solidFill>
                <a:sysClr val="windowText" lastClr="000000"/>
              </a:solidFill>
              <a:prstDash val="sysDot"/>
            </a:ln>
          </c:spPr>
          <c:marker>
            <c:spPr>
              <a:noFill/>
              <a:ln>
                <a:solidFill>
                  <a:sysClr val="windowText" lastClr="000000"/>
                </a:solidFill>
              </a:ln>
            </c:spPr>
          </c:marker>
          <c:val>
            <c:numRef>
              <c:f>Charts!$AX$9:$AX$44</c:f>
              <c:numCache>
                <c:formatCode>"$"#,##0.00</c:formatCode>
                <c:ptCount val="36"/>
                <c:pt idx="22">
                  <c:v>39.01297329838463</c:v>
                </c:pt>
                <c:pt idx="23">
                  <c:v>39.213531703317308</c:v>
                </c:pt>
                <c:pt idx="24">
                  <c:v>39.415121141529113</c:v>
                </c:pt>
                <c:pt idx="25">
                  <c:v>39.61774691336948</c:v>
                </c:pt>
                <c:pt idx="26">
                  <c:v>39.82141434643593</c:v>
                </c:pt>
                <c:pt idx="27">
                  <c:v>40.026128795714122</c:v>
                </c:pt>
                <c:pt idx="28">
                  <c:v>40.231895643718758</c:v>
                </c:pt>
                <c:pt idx="29">
                  <c:v>40.438720300635033</c:v>
                </c:pt>
                <c:pt idx="30">
                  <c:v>40.64660820446084</c:v>
                </c:pt>
                <c:pt idx="31">
                  <c:v>40.855564821149862</c:v>
                </c:pt>
                <c:pt idx="32">
                  <c:v>41.065595644755213</c:v>
                </c:pt>
                <c:pt idx="33">
                  <c:v>41.27670619757388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63-436D-A288-171092911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090240"/>
        <c:axId val="466166144"/>
      </c:lineChart>
      <c:catAx>
        <c:axId val="4660902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616614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6166144"/>
        <c:scaling>
          <c:orientation val="minMax"/>
          <c:max val="59"/>
          <c:min val="2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6090240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0973220493809323"/>
          <c:y val="0.93351063829787262"/>
          <c:w val="0.8550284446900005"/>
          <c:h val="6.648949893427624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4460887949260105"/>
          <c:y val="3.59281437125748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107822410147993"/>
          <c:y val="0.13173671953464097"/>
          <c:w val="0.80761099365750599"/>
          <c:h val="0.70359384296910565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0.24959915512441702</c:v>
                </c:pt>
                <c:pt idx="1">
                  <c:v>0.27418952986562312</c:v>
                </c:pt>
                <c:pt idx="2">
                  <c:v>0.30109826112542049</c:v>
                </c:pt>
                <c:pt idx="3">
                  <c:v>0.31269346719620922</c:v>
                </c:pt>
                <c:pt idx="4">
                  <c:v>0.37036911826113594</c:v>
                </c:pt>
                <c:pt idx="5">
                  <c:v>0.54371439639319596</c:v>
                </c:pt>
                <c:pt idx="6">
                  <c:v>0.55866066780702617</c:v>
                </c:pt>
                <c:pt idx="7">
                  <c:v>0.71747213029414691</c:v>
                </c:pt>
                <c:pt idx="8">
                  <c:v>0.87586825684018188</c:v>
                </c:pt>
                <c:pt idx="9">
                  <c:v>0.94977751679092437</c:v>
                </c:pt>
                <c:pt idx="10">
                  <c:v>1.2589881104624836</c:v>
                </c:pt>
                <c:pt idx="11">
                  <c:v>1.4276210156046916</c:v>
                </c:pt>
                <c:pt idx="12">
                  <c:v>1.9568181624749865</c:v>
                </c:pt>
                <c:pt idx="13">
                  <c:v>2.1989383379145369</c:v>
                </c:pt>
                <c:pt idx="14">
                  <c:v>2.8458061392264149</c:v>
                </c:pt>
                <c:pt idx="15">
                  <c:v>5.6387455673759401</c:v>
                </c:pt>
                <c:pt idx="16">
                  <c:v>13.74112873729422</c:v>
                </c:pt>
                <c:pt idx="17">
                  <c:v>34.833327835451641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E3-489A-8D4E-95F2A4A55CAB}"/>
            </c:ext>
          </c:extLst>
        </c:ser>
        <c:ser>
          <c:idx val="0"/>
          <c:order val="1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0.24959915512441702</c:v>
                </c:pt>
                <c:pt idx="1">
                  <c:v>0.27418952986562312</c:v>
                </c:pt>
                <c:pt idx="2">
                  <c:v>0.30109826112542049</c:v>
                </c:pt>
                <c:pt idx="3">
                  <c:v>0.31269346719620922</c:v>
                </c:pt>
                <c:pt idx="4">
                  <c:v>0.37036911826113594</c:v>
                </c:pt>
                <c:pt idx="5">
                  <c:v>0.54371439639319596</c:v>
                </c:pt>
                <c:pt idx="6">
                  <c:v>0.55866066780702617</c:v>
                </c:pt>
                <c:pt idx="7">
                  <c:v>0.71747213029414691</c:v>
                </c:pt>
                <c:pt idx="8">
                  <c:v>0.87586825684018188</c:v>
                </c:pt>
                <c:pt idx="9">
                  <c:v>0.94977751679092437</c:v>
                </c:pt>
                <c:pt idx="10">
                  <c:v>1.2589881104624836</c:v>
                </c:pt>
                <c:pt idx="11">
                  <c:v>1.4276210156046916</c:v>
                </c:pt>
                <c:pt idx="12">
                  <c:v>1.9568181624749865</c:v>
                </c:pt>
                <c:pt idx="13">
                  <c:v>2.1989383379145369</c:v>
                </c:pt>
                <c:pt idx="14">
                  <c:v>2.8458061392264149</c:v>
                </c:pt>
                <c:pt idx="15">
                  <c:v>5.6387455673759401</c:v>
                </c:pt>
                <c:pt idx="16">
                  <c:v>13.74112873729422</c:v>
                </c:pt>
                <c:pt idx="17">
                  <c:v>34.833327835451641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E3-489A-8D4E-95F2A4A55CAB}"/>
            </c:ext>
          </c:extLst>
        </c:ser>
        <c:ser>
          <c:idx val="4"/>
          <c:order val="2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0.24959915512441702</c:v>
                </c:pt>
                <c:pt idx="1">
                  <c:v>0.27418952986562312</c:v>
                </c:pt>
                <c:pt idx="2">
                  <c:v>0.30109826112542049</c:v>
                </c:pt>
                <c:pt idx="3">
                  <c:v>0.31269346719620922</c:v>
                </c:pt>
                <c:pt idx="4">
                  <c:v>0.37036911826113594</c:v>
                </c:pt>
                <c:pt idx="5">
                  <c:v>0.54371439639319596</c:v>
                </c:pt>
                <c:pt idx="6">
                  <c:v>0.55866066780702617</c:v>
                </c:pt>
                <c:pt idx="7">
                  <c:v>0.71747213029414691</c:v>
                </c:pt>
                <c:pt idx="8">
                  <c:v>0.87586825684018188</c:v>
                </c:pt>
                <c:pt idx="9">
                  <c:v>0.94977751679092437</c:v>
                </c:pt>
                <c:pt idx="10">
                  <c:v>1.2589881104624836</c:v>
                </c:pt>
                <c:pt idx="11">
                  <c:v>1.4276210156046916</c:v>
                </c:pt>
                <c:pt idx="12">
                  <c:v>1.9568181624749865</c:v>
                </c:pt>
                <c:pt idx="13">
                  <c:v>2.1989383379145369</c:v>
                </c:pt>
                <c:pt idx="14">
                  <c:v>2.8458061392264149</c:v>
                </c:pt>
                <c:pt idx="15">
                  <c:v>5.6387455673759401</c:v>
                </c:pt>
                <c:pt idx="16">
                  <c:v>13.74112873729422</c:v>
                </c:pt>
                <c:pt idx="17">
                  <c:v>34.833327835451641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E3-489A-8D4E-95F2A4A55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939328"/>
        <c:axId val="467941248"/>
      </c:barChart>
      <c:lineChart>
        <c:grouping val="standard"/>
        <c:varyColors val="0"/>
        <c:ser>
          <c:idx val="2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41.482201046704006</c:v>
                </c:pt>
                <c:pt idx="1">
                  <c:v>39.292868284527216</c:v>
                </c:pt>
                <c:pt idx="2">
                  <c:v>39.955172982558864</c:v>
                </c:pt>
                <c:pt idx="3">
                  <c:v>34.457578879124007</c:v>
                </c:pt>
                <c:pt idx="4">
                  <c:v>35.59053999092955</c:v>
                </c:pt>
                <c:pt idx="5">
                  <c:v>43.272089036718107</c:v>
                </c:pt>
                <c:pt idx="6">
                  <c:v>35.983312262958279</c:v>
                </c:pt>
                <c:pt idx="7">
                  <c:v>40.251983787602725</c:v>
                </c:pt>
                <c:pt idx="8">
                  <c:v>40.966554665288186</c:v>
                </c:pt>
                <c:pt idx="9">
                  <c:v>38.321848276874519</c:v>
                </c:pt>
                <c:pt idx="10">
                  <c:v>43.908844442170953</c:v>
                </c:pt>
                <c:pt idx="11">
                  <c:v>39.63601951304247</c:v>
                </c:pt>
                <c:pt idx="12">
                  <c:v>45.354256209484092</c:v>
                </c:pt>
                <c:pt idx="13">
                  <c:v>42.107491445560107</c:v>
                </c:pt>
                <c:pt idx="14">
                  <c:v>39.732638501839261</c:v>
                </c:pt>
                <c:pt idx="15">
                  <c:v>37.056707228213348</c:v>
                </c:pt>
                <c:pt idx="16">
                  <c:v>37.540722153702205</c:v>
                </c:pt>
                <c:pt idx="17">
                  <c:v>41.849998787231975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9E3-489A-8D4E-95F2A4A55CAB}"/>
            </c:ext>
          </c:extLst>
        </c:ser>
        <c:ser>
          <c:idx val="3"/>
          <c:order val="4"/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40.241475623456928</c:v>
                </c:pt>
                <c:pt idx="1">
                  <c:v>40.193883904601648</c:v>
                </c:pt>
                <c:pt idx="2">
                  <c:v>40.146348470255546</c:v>
                </c:pt>
                <c:pt idx="3">
                  <c:v>40.098869253853536</c:v>
                </c:pt>
                <c:pt idx="4">
                  <c:v>40.051446188909274</c:v>
                </c:pt>
                <c:pt idx="5">
                  <c:v>40.004079209015075</c:v>
                </c:pt>
                <c:pt idx="6">
                  <c:v>39.956768247841715</c:v>
                </c:pt>
                <c:pt idx="7">
                  <c:v>39.909513239138512</c:v>
                </c:pt>
                <c:pt idx="8">
                  <c:v>39.862314116733046</c:v>
                </c:pt>
                <c:pt idx="9">
                  <c:v>39.815170814531228</c:v>
                </c:pt>
                <c:pt idx="10">
                  <c:v>39.768083266517067</c:v>
                </c:pt>
                <c:pt idx="11">
                  <c:v>39.7210514067527</c:v>
                </c:pt>
                <c:pt idx="12">
                  <c:v>39.674075169378256</c:v>
                </c:pt>
                <c:pt idx="13">
                  <c:v>39.627154488611673</c:v>
                </c:pt>
                <c:pt idx="14">
                  <c:v>39.580289298748788</c:v>
                </c:pt>
                <c:pt idx="15">
                  <c:v>39.53347953416305</c:v>
                </c:pt>
                <c:pt idx="16">
                  <c:v>39.486725129305583</c:v>
                </c:pt>
                <c:pt idx="17">
                  <c:v>39.440026018705034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9E3-489A-8D4E-95F2A4A55CAB}"/>
            </c:ext>
          </c:extLst>
        </c:ser>
        <c:ser>
          <c:idx val="5"/>
          <c:order val="5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38.931023253180392</c:v>
                </c:pt>
                <c:pt idx="1">
                  <c:v>39.074897216162597</c:v>
                </c:pt>
                <c:pt idx="2">
                  <c:v>39.219302881512078</c:v>
                </c:pt>
                <c:pt idx="3">
                  <c:v>39.364242214194569</c:v>
                </c:pt>
                <c:pt idx="4">
                  <c:v>39.509717186437555</c:v>
                </c:pt>
                <c:pt idx="5">
                  <c:v>39.655729777757116</c:v>
                </c:pt>
                <c:pt idx="6">
                  <c:v>39.80228197498483</c:v>
                </c:pt>
                <c:pt idx="7">
                  <c:v>39.949375772294879</c:v>
                </c:pt>
                <c:pt idx="8">
                  <c:v>40.097013171231112</c:v>
                </c:pt>
                <c:pt idx="9">
                  <c:v>40.24519618073429</c:v>
                </c:pt>
                <c:pt idx="10">
                  <c:v>40.393926817169479</c:v>
                </c:pt>
                <c:pt idx="11">
                  <c:v>40.543207104353414</c:v>
                </c:pt>
                <c:pt idx="12">
                  <c:v>40.693039073582099</c:v>
                </c:pt>
                <c:pt idx="13">
                  <c:v>40.843424763658398</c:v>
                </c:pt>
                <c:pt idx="14">
                  <c:v>40.994366220919815</c:v>
                </c:pt>
                <c:pt idx="15">
                  <c:v>41.145865499266314</c:v>
                </c:pt>
                <c:pt idx="16">
                  <c:v>41.297924660188258</c:v>
                </c:pt>
                <c:pt idx="17">
                  <c:v>41.450545772794555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9E3-489A-8D4E-95F2A4A55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942784"/>
        <c:axId val="467948672"/>
      </c:lineChart>
      <c:catAx>
        <c:axId val="46793932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4124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7941248"/>
        <c:scaling>
          <c:orientation val="minMax"/>
          <c:max val="59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39328"/>
        <c:crosses val="autoZero"/>
        <c:crossBetween val="between"/>
      </c:valAx>
      <c:catAx>
        <c:axId val="467942784"/>
        <c:scaling>
          <c:orientation val="minMax"/>
        </c:scaling>
        <c:delete val="1"/>
        <c:axPos val="b"/>
        <c:majorTickMark val="out"/>
        <c:minorTickMark val="none"/>
        <c:tickLblPos val="none"/>
        <c:crossAx val="467948672"/>
        <c:crosses val="autoZero"/>
        <c:auto val="0"/>
        <c:lblAlgn val="ctr"/>
        <c:lblOffset val="100"/>
        <c:noMultiLvlLbl val="0"/>
      </c:catAx>
      <c:valAx>
        <c:axId val="467948672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67942784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242677824267859"/>
          <c:y val="3.291139240506337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43108842905059"/>
          <c:y val="0.12658227848101269"/>
          <c:w val="0.82845272911701617"/>
          <c:h val="0.7341772151898747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6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1.4015141411028174</c:v>
                </c:pt>
                <c:pt idx="1">
                  <c:v>1.7155183724395533</c:v>
                </c:pt>
                <c:pt idx="2">
                  <c:v>1.4219479117643059</c:v>
                </c:pt>
                <c:pt idx="3">
                  <c:v>1.4512651692824383</c:v>
                </c:pt>
                <c:pt idx="4">
                  <c:v>1.8399197636534819</c:v>
                </c:pt>
                <c:pt idx="5">
                  <c:v>1.1986605185699328</c:v>
                </c:pt>
                <c:pt idx="6">
                  <c:v>1.4139758492324335</c:v>
                </c:pt>
                <c:pt idx="7">
                  <c:v>1.4863687392743334</c:v>
                </c:pt>
                <c:pt idx="8">
                  <c:v>1.334686902689693</c:v>
                </c:pt>
                <c:pt idx="9">
                  <c:v>1.5290577015542586</c:v>
                </c:pt>
                <c:pt idx="10">
                  <c:v>1.601199541960997</c:v>
                </c:pt>
                <c:pt idx="11">
                  <c:v>1.7690423956555197</c:v>
                </c:pt>
                <c:pt idx="12">
                  <c:v>1.4148367403464688</c:v>
                </c:pt>
                <c:pt idx="13">
                  <c:v>1.5836270356633217</c:v>
                </c:pt>
                <c:pt idx="14">
                  <c:v>1.488565846689297</c:v>
                </c:pt>
                <c:pt idx="15">
                  <c:v>1.3900507002934246</c:v>
                </c:pt>
                <c:pt idx="16">
                  <c:v>1.6458325953554589</c:v>
                </c:pt>
                <c:pt idx="17">
                  <c:v>1.3738519367661068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E1-4069-B481-9AB92429E53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67980672"/>
        <c:axId val="467983360"/>
      </c:barChart>
      <c:catAx>
        <c:axId val="46798067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83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7983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8067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2908704883227213"/>
          <c:y val="3.1578947368421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40362593639269"/>
          <c:y val="0.11578947368421059"/>
          <c:w val="0.85987439431228962"/>
          <c:h val="0.7131578947368421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0.87909387335932276</c:v>
                </c:pt>
                <c:pt idx="3">
                  <c:v>0.93383202622570205</c:v>
                </c:pt>
                <c:pt idx="4">
                  <c:v>0.95356844093311832</c:v>
                </c:pt>
                <c:pt idx="5">
                  <c:v>0.96242769045952814</c:v>
                </c:pt>
                <c:pt idx="6">
                  <c:v>0.96929641614863582</c:v>
                </c:pt>
                <c:pt idx="7">
                  <c:v>0.97605994987273759</c:v>
                </c:pt>
                <c:pt idx="8">
                  <c:v>0.98008004829088269</c:v>
                </c:pt>
                <c:pt idx="9">
                  <c:v>0.98307841292336984</c:v>
                </c:pt>
                <c:pt idx="10">
                  <c:v>0.98622556459580313</c:v>
                </c:pt>
                <c:pt idx="11">
                  <c:v>0.98818794845553182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0C-4F18-AC75-2E7181E80387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0.87409588137181282</c:v>
                </c:pt>
                <c:pt idx="3">
                  <c:v>0.92837614609871677</c:v>
                </c:pt>
                <c:pt idx="4">
                  <c:v>0.94777800665301637</c:v>
                </c:pt>
                <c:pt idx="5">
                  <c:v>0.95685483322655829</c:v>
                </c:pt>
                <c:pt idx="6">
                  <c:v>0.96398179238062165</c:v>
                </c:pt>
                <c:pt idx="7">
                  <c:v>0.97132728101712662</c:v>
                </c:pt>
                <c:pt idx="8">
                  <c:v>0.97521571083726688</c:v>
                </c:pt>
                <c:pt idx="9">
                  <c:v>0.97861987373546322</c:v>
                </c:pt>
                <c:pt idx="10">
                  <c:v>0.98217546750704832</c:v>
                </c:pt>
                <c:pt idx="11">
                  <c:v>0.98447441318381057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0C-4F18-AC75-2E7181E80387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0.87820248963569991</c:v>
                </c:pt>
                <c:pt idx="3">
                  <c:v>0.92758925354060517</c:v>
                </c:pt>
                <c:pt idx="4">
                  <c:v>0.94524790181229301</c:v>
                </c:pt>
                <c:pt idx="5">
                  <c:v>0.95442563316371398</c:v>
                </c:pt>
                <c:pt idx="6">
                  <c:v>0.96266732516683329</c:v>
                </c:pt>
                <c:pt idx="7">
                  <c:v>0.96975398823719716</c:v>
                </c:pt>
                <c:pt idx="8">
                  <c:v>0.97457072439158232</c:v>
                </c:pt>
                <c:pt idx="9">
                  <c:v>0.97812221495946883</c:v>
                </c:pt>
                <c:pt idx="10">
                  <c:v>0.98158971719507759</c:v>
                </c:pt>
                <c:pt idx="11">
                  <c:v>0.98418334317359979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0C-4F18-AC75-2E7181E80387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0.80586142120701187</c:v>
                </c:pt>
                <c:pt idx="3">
                  <c:v>0.87266317835254281</c:v>
                </c:pt>
                <c:pt idx="4">
                  <c:v>0.90617230927349479</c:v>
                </c:pt>
                <c:pt idx="5">
                  <c:v>0.92793683044965436</c:v>
                </c:pt>
                <c:pt idx="6">
                  <c:v>0.94297653417538729</c:v>
                </c:pt>
                <c:pt idx="7">
                  <c:v>0.95481421391443222</c:v>
                </c:pt>
                <c:pt idx="8">
                  <c:v>0.96180874690162388</c:v>
                </c:pt>
                <c:pt idx="9">
                  <c:v>0.9678020710325459</c:v>
                </c:pt>
                <c:pt idx="10">
                  <c:v>0.97264985576250418</c:v>
                </c:pt>
                <c:pt idx="11">
                  <c:v>0.9777568238372073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10C-4F18-AC75-2E7181E80387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0.88166185284618559</c:v>
                </c:pt>
                <c:pt idx="3">
                  <c:v>0.93111555708440763</c:v>
                </c:pt>
                <c:pt idx="4">
                  <c:v>0.94856143575069685</c:v>
                </c:pt>
                <c:pt idx="5">
                  <c:v>0.95780885209330213</c:v>
                </c:pt>
                <c:pt idx="6">
                  <c:v>0.96587441371815064</c:v>
                </c:pt>
                <c:pt idx="7">
                  <c:v>0.97273756151259516</c:v>
                </c:pt>
                <c:pt idx="8">
                  <c:v>0.97737831187969959</c:v>
                </c:pt>
                <c:pt idx="9">
                  <c:v>0.98089684997822646</c:v>
                </c:pt>
                <c:pt idx="10">
                  <c:v>0.98432951543940195</c:v>
                </c:pt>
                <c:pt idx="11">
                  <c:v>0.98677567309757686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10C-4F18-AC75-2E7181E80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028800"/>
        <c:axId val="468039552"/>
      </c:lineChart>
      <c:catAx>
        <c:axId val="46802880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923580253105305"/>
              <c:y val="0.71578947368421175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039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039552"/>
        <c:scaling>
          <c:orientation val="minMax"/>
          <c:max val="1.05"/>
          <c:min val="0.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7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447368421052631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028800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6985138004246305E-2"/>
          <c:y val="0.8973684210526307"/>
          <c:w val="0.9681548723607013"/>
          <c:h val="9.473684210526343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919831223628691"/>
          <c:y val="3.166226912928760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8019572495491"/>
          <c:y val="0.10817955889723019"/>
          <c:w val="0.83755446819469481"/>
          <c:h val="0.754618386453850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107101</c:v>
                </c:pt>
                <c:pt idx="1">
                  <c:v>107146</c:v>
                </c:pt>
                <c:pt idx="2">
                  <c:v>107140</c:v>
                </c:pt>
                <c:pt idx="3">
                  <c:v>107241</c:v>
                </c:pt>
                <c:pt idx="4">
                  <c:v>107513</c:v>
                </c:pt>
                <c:pt idx="5">
                  <c:v>107756</c:v>
                </c:pt>
                <c:pt idx="6">
                  <c:v>107747</c:v>
                </c:pt>
                <c:pt idx="7">
                  <c:v>108297</c:v>
                </c:pt>
                <c:pt idx="8">
                  <c:v>110175</c:v>
                </c:pt>
                <c:pt idx="9">
                  <c:v>129231</c:v>
                </c:pt>
                <c:pt idx="10">
                  <c:v>132944</c:v>
                </c:pt>
                <c:pt idx="11">
                  <c:v>131999</c:v>
                </c:pt>
                <c:pt idx="12">
                  <c:v>132272</c:v>
                </c:pt>
                <c:pt idx="13">
                  <c:v>132389</c:v>
                </c:pt>
                <c:pt idx="14">
                  <c:v>131777</c:v>
                </c:pt>
                <c:pt idx="15">
                  <c:v>131723</c:v>
                </c:pt>
                <c:pt idx="16">
                  <c:v>130970</c:v>
                </c:pt>
                <c:pt idx="17">
                  <c:v>129309</c:v>
                </c:pt>
                <c:pt idx="18">
                  <c:v>128887</c:v>
                </c:pt>
                <c:pt idx="19">
                  <c:v>128447</c:v>
                </c:pt>
                <c:pt idx="20">
                  <c:v>128156</c:v>
                </c:pt>
                <c:pt idx="21">
                  <c:v>134089</c:v>
                </c:pt>
                <c:pt idx="22">
                  <c:v>135481</c:v>
                </c:pt>
                <c:pt idx="23">
                  <c:v>134844</c:v>
                </c:pt>
                <c:pt idx="24">
                  <c:v>134470</c:v>
                </c:pt>
                <c:pt idx="25">
                  <c:v>134465</c:v>
                </c:pt>
                <c:pt idx="26">
                  <c:v>135415</c:v>
                </c:pt>
                <c:pt idx="27">
                  <c:v>136235</c:v>
                </c:pt>
                <c:pt idx="28">
                  <c:v>136843</c:v>
                </c:pt>
                <c:pt idx="29">
                  <c:v>138164</c:v>
                </c:pt>
                <c:pt idx="30">
                  <c:v>140994</c:v>
                </c:pt>
                <c:pt idx="31">
                  <c:v>142616</c:v>
                </c:pt>
                <c:pt idx="32">
                  <c:v>143536</c:v>
                </c:pt>
                <c:pt idx="33">
                  <c:v>164688</c:v>
                </c:pt>
                <c:pt idx="34">
                  <c:v>164591</c:v>
                </c:pt>
                <c:pt idx="35">
                  <c:v>164912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2C-4F74-AB42-1E7AB0C24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8073088"/>
        <c:axId val="468078976"/>
      </c:barChart>
      <c:catAx>
        <c:axId val="46807308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07897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80789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073088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Quarterly Completion Patterns By Quarter</a:t>
            </a:r>
          </a:p>
        </c:rich>
      </c:tx>
      <c:layout>
        <c:manualLayout>
          <c:xMode val="edge"/>
          <c:yMode val="edge"/>
          <c:x val="0.21019108280254795"/>
          <c:y val="3.25814536340852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101935919950718"/>
          <c:y val="0.10275714373126117"/>
          <c:w val="0.84925866104917525"/>
          <c:h val="0.7468689959003856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0.87909387335932276</c:v>
                </c:pt>
                <c:pt idx="3">
                  <c:v>0.93383202622570205</c:v>
                </c:pt>
                <c:pt idx="4">
                  <c:v>0.95356844093311832</c:v>
                </c:pt>
                <c:pt idx="5">
                  <c:v>0.96242769045952814</c:v>
                </c:pt>
                <c:pt idx="6">
                  <c:v>0.96929641614863582</c:v>
                </c:pt>
                <c:pt idx="7">
                  <c:v>0.97605994987273759</c:v>
                </c:pt>
                <c:pt idx="8">
                  <c:v>0.98008004829088269</c:v>
                </c:pt>
                <c:pt idx="9">
                  <c:v>0.98307841292336984</c:v>
                </c:pt>
                <c:pt idx="10">
                  <c:v>0.98622556459580313</c:v>
                </c:pt>
                <c:pt idx="11">
                  <c:v>0.98818794845553182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DA-45CB-AD95-0ABA89A6B95C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0.86875338352933695</c:v>
                </c:pt>
                <c:pt idx="3">
                  <c:v>0.92255614800264008</c:v>
                </c:pt>
                <c:pt idx="4">
                  <c:v>0.9416186084663587</c:v>
                </c:pt>
                <c:pt idx="5">
                  <c:v>0.95090620999990549</c:v>
                </c:pt>
                <c:pt idx="6">
                  <c:v>0.95833573469404598</c:v>
                </c:pt>
                <c:pt idx="7">
                  <c:v>0.96625439954803349</c:v>
                </c:pt>
                <c:pt idx="8">
                  <c:v>0.97001095691100037</c:v>
                </c:pt>
                <c:pt idx="9">
                  <c:v>0.9738157463321464</c:v>
                </c:pt>
                <c:pt idx="10">
                  <c:v>0.97777488796092704</c:v>
                </c:pt>
                <c:pt idx="11">
                  <c:v>0.9804069105563129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DA-45CB-AD95-0ABA89A6B95C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0.86488471486644092</c:v>
                </c:pt>
                <c:pt idx="3">
                  <c:v>0.91416991165877703</c:v>
                </c:pt>
                <c:pt idx="4">
                  <c:v>0.93170174839347986</c:v>
                </c:pt>
                <c:pt idx="5">
                  <c:v>0.94314793438162448</c:v>
                </c:pt>
                <c:pt idx="6">
                  <c:v>0.95469838900122361</c:v>
                </c:pt>
                <c:pt idx="7">
                  <c:v>0.96276399676956825</c:v>
                </c:pt>
                <c:pt idx="8">
                  <c:v>0.96913770815091638</c:v>
                </c:pt>
                <c:pt idx="9">
                  <c:v>0.97297240486699776</c:v>
                </c:pt>
                <c:pt idx="10">
                  <c:v>0.9760973922461742</c:v>
                </c:pt>
                <c:pt idx="11">
                  <c:v>0.98018527609956596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DA-45CB-AD95-0ABA89A6B95C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0.89659371220203343</c:v>
                </c:pt>
                <c:pt idx="3">
                  <c:v>0.93601863084926606</c:v>
                </c:pt>
                <c:pt idx="4">
                  <c:v>0.95024108913962546</c:v>
                </c:pt>
                <c:pt idx="5">
                  <c:v>0.95733827020665985</c:v>
                </c:pt>
                <c:pt idx="6">
                  <c:v>0.96460102768475775</c:v>
                </c:pt>
                <c:pt idx="7">
                  <c:v>0.9701586495113439</c:v>
                </c:pt>
                <c:pt idx="8">
                  <c:v>0.97524796952374337</c:v>
                </c:pt>
                <c:pt idx="9">
                  <c:v>0.9790687381057005</c:v>
                </c:pt>
                <c:pt idx="10">
                  <c:v>0.98317176365525227</c:v>
                </c:pt>
                <c:pt idx="11">
                  <c:v>0.98550117594572217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EDA-45CB-AD95-0ABA89A6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123008"/>
        <c:axId val="468125568"/>
      </c:lineChart>
      <c:catAx>
        <c:axId val="4681230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9660430981159207"/>
              <c:y val="0.73433768147402634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125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125568"/>
        <c:scaling>
          <c:orientation val="minMax"/>
          <c:max val="1.100000000000000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6591557634243144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123008"/>
        <c:crosses val="autoZero"/>
        <c:crossBetween val="between"/>
        <c:majorUnit val="0.1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165609553582872"/>
          <c:y val="0.93734572652102766"/>
          <c:w val="0.66029857732751662"/>
          <c:h val="5.51381077365329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Trend Study on Actual PMPMs
Rolling Average Trends vs. Least Square Trend</a:t>
            </a:r>
          </a:p>
        </c:rich>
      </c:tx>
      <c:layout>
        <c:manualLayout>
          <c:xMode val="edge"/>
          <c:yMode val="edge"/>
          <c:x val="0.25473684210526315"/>
          <c:y val="3.582089552238806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684224593158503"/>
          <c:y val="0.17014925373134351"/>
          <c:w val="0.81052714897938838"/>
          <c:h val="0.60298507462686635"/>
        </c:manualLayout>
      </c:layout>
      <c:lineChart>
        <c:grouping val="standard"/>
        <c:varyColors val="0"/>
        <c:ser>
          <c:idx val="0"/>
          <c:order val="0"/>
          <c:tx>
            <c:v>3 Mo Roll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Trends!$E$62:$E$83</c:f>
              <c:numCache>
                <c:formatCode>0.0%</c:formatCode>
                <c:ptCount val="22"/>
                <c:pt idx="0">
                  <c:v>4.3276712875373269E-2</c:v>
                </c:pt>
                <c:pt idx="1">
                  <c:v>7.4442625310535693E-3</c:v>
                </c:pt>
                <c:pt idx="2">
                  <c:v>-3.8228917618885694E-2</c:v>
                </c:pt>
                <c:pt idx="3">
                  <c:v>-8.1109676981162004E-2</c:v>
                </c:pt>
                <c:pt idx="4">
                  <c:v>-0.10359989284557736</c:v>
                </c:pt>
                <c:pt idx="5">
                  <c:v>-0.1383893561055658</c:v>
                </c:pt>
                <c:pt idx="6">
                  <c:v>-0.16053185151553429</c:v>
                </c:pt>
                <c:pt idx="7">
                  <c:v>-0.11847523162027418</c:v>
                </c:pt>
                <c:pt idx="8">
                  <c:v>-2.5918086730485346E-2</c:v>
                </c:pt>
                <c:pt idx="9">
                  <c:v>0.10010809101590157</c:v>
                </c:pt>
                <c:pt idx="10">
                  <c:v>6.6597792416548174E-2</c:v>
                </c:pt>
                <c:pt idx="11">
                  <c:v>3.2676003472606796E-2</c:v>
                </c:pt>
                <c:pt idx="12">
                  <c:v>9.777316695672722E-3</c:v>
                </c:pt>
                <c:pt idx="13">
                  <c:v>2.5266682435893362E-2</c:v>
                </c:pt>
                <c:pt idx="14">
                  <c:v>9.0956922841671783E-3</c:v>
                </c:pt>
                <c:pt idx="15">
                  <c:v>-1.3118994562174024E-2</c:v>
                </c:pt>
                <c:pt idx="16">
                  <c:v>1.5091726050895815E-2</c:v>
                </c:pt>
                <c:pt idx="17">
                  <c:v>4.5536470644615301E-2</c:v>
                </c:pt>
                <c:pt idx="18">
                  <c:v>5.3542043146839857E-2</c:v>
                </c:pt>
                <c:pt idx="19">
                  <c:v>4.5654885156313441E-2</c:v>
                </c:pt>
                <c:pt idx="20">
                  <c:v>3.9333150474620604E-2</c:v>
                </c:pt>
                <c:pt idx="21">
                  <c:v>2.7596315962892026E-2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8E-43C3-8E77-7CEF68CF7776}"/>
            </c:ext>
          </c:extLst>
        </c:ser>
        <c:ser>
          <c:idx val="1"/>
          <c:order val="1"/>
          <c:tx>
            <c:v>6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Trends!$F$62:$F$83</c:f>
              <c:numCache>
                <c:formatCode>0.0%</c:formatCode>
                <c:ptCount val="22"/>
                <c:pt idx="3">
                  <c:v>-2.477386655819136E-2</c:v>
                </c:pt>
                <c:pt idx="4">
                  <c:v>-5.367025561163985E-2</c:v>
                </c:pt>
                <c:pt idx="5">
                  <c:v>-9.0952599397425393E-2</c:v>
                </c:pt>
                <c:pt idx="6">
                  <c:v>-0.12216691393077372</c:v>
                </c:pt>
                <c:pt idx="7">
                  <c:v>-0.11068934539176767</c:v>
                </c:pt>
                <c:pt idx="8">
                  <c:v>-8.8387255455566027E-2</c:v>
                </c:pt>
                <c:pt idx="9">
                  <c:v>-5.1758516305738356E-2</c:v>
                </c:pt>
                <c:pt idx="10">
                  <c:v>-3.4272007733281096E-2</c:v>
                </c:pt>
                <c:pt idx="11">
                  <c:v>3.7371628781914801E-3</c:v>
                </c:pt>
                <c:pt idx="12">
                  <c:v>5.2250456830420511E-2</c:v>
                </c:pt>
                <c:pt idx="13">
                  <c:v>4.5110348628492059E-2</c:v>
                </c:pt>
                <c:pt idx="14">
                  <c:v>2.0570492487188341E-2</c:v>
                </c:pt>
                <c:pt idx="15">
                  <c:v>-2.0254230760268221E-3</c:v>
                </c:pt>
                <c:pt idx="16">
                  <c:v>1.9962228869046861E-2</c:v>
                </c:pt>
                <c:pt idx="17">
                  <c:v>2.7276856263154903E-2</c:v>
                </c:pt>
                <c:pt idx="18">
                  <c:v>1.9835320719978844E-2</c:v>
                </c:pt>
                <c:pt idx="19">
                  <c:v>2.9530326568855347E-2</c:v>
                </c:pt>
                <c:pt idx="20">
                  <c:v>4.2589634816276867E-2</c:v>
                </c:pt>
                <c:pt idx="21">
                  <c:v>4.097990025838727E-2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8E-43C3-8E77-7CEF68CF7776}"/>
            </c:ext>
          </c:extLst>
        </c:ser>
        <c:ser>
          <c:idx val="2"/>
          <c:order val="2"/>
          <c:tx>
            <c:v>12 Mo Roll Ave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Trends!$G$62:$G$83</c:f>
              <c:numCache>
                <c:formatCode>0.0%</c:formatCode>
                <c:ptCount val="22"/>
                <c:pt idx="9">
                  <c:v>-3.8298701164099502E-2</c:v>
                </c:pt>
                <c:pt idx="10">
                  <c:v>-4.4378076824705626E-2</c:v>
                </c:pt>
                <c:pt idx="11">
                  <c:v>-4.7360609664821807E-2</c:v>
                </c:pt>
                <c:pt idx="12">
                  <c:v>-4.532778323630593E-2</c:v>
                </c:pt>
                <c:pt idx="13">
                  <c:v>-4.0089177916272756E-2</c:v>
                </c:pt>
                <c:pt idx="14">
                  <c:v>-3.5703342593939258E-2</c:v>
                </c:pt>
                <c:pt idx="15">
                  <c:v>-2.7263757888178586E-2</c:v>
                </c:pt>
                <c:pt idx="16">
                  <c:v>-6.7644450424725333E-3</c:v>
                </c:pt>
                <c:pt idx="17">
                  <c:v>1.5880632265681038E-2</c:v>
                </c:pt>
                <c:pt idx="18">
                  <c:v>3.5163344972331201E-2</c:v>
                </c:pt>
                <c:pt idx="19">
                  <c:v>3.7045251586962369E-2</c:v>
                </c:pt>
                <c:pt idx="20">
                  <c:v>3.1433532351111682E-2</c:v>
                </c:pt>
                <c:pt idx="21">
                  <c:v>1.9227376322711542E-2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8E-43C3-8E77-7CEF68CF7776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Trends!$H$62:$H$83</c:f>
              <c:numCache>
                <c:formatCode>0.0%</c:formatCode>
                <c:ptCount val="22"/>
                <c:pt idx="0">
                  <c:v>-2.0919267130664165E-2</c:v>
                </c:pt>
                <c:pt idx="1">
                  <c:v>-2.0919267130664165E-2</c:v>
                </c:pt>
                <c:pt idx="2">
                  <c:v>-2.0919267130664165E-2</c:v>
                </c:pt>
                <c:pt idx="3">
                  <c:v>-2.0919267130664165E-2</c:v>
                </c:pt>
                <c:pt idx="4">
                  <c:v>-2.0919267130664165E-2</c:v>
                </c:pt>
                <c:pt idx="5">
                  <c:v>-2.0919267130664165E-2</c:v>
                </c:pt>
                <c:pt idx="6">
                  <c:v>-2.0919267130664165E-2</c:v>
                </c:pt>
                <c:pt idx="7">
                  <c:v>-2.0919267130664165E-2</c:v>
                </c:pt>
                <c:pt idx="8">
                  <c:v>-2.0919267130664165E-2</c:v>
                </c:pt>
                <c:pt idx="9">
                  <c:v>-2.0919267130664165E-2</c:v>
                </c:pt>
                <c:pt idx="10">
                  <c:v>-2.0919267130664165E-2</c:v>
                </c:pt>
                <c:pt idx="11">
                  <c:v>-2.0919267130664165E-2</c:v>
                </c:pt>
                <c:pt idx="12">
                  <c:v>-2.0919267130664165E-2</c:v>
                </c:pt>
                <c:pt idx="13">
                  <c:v>-2.0919267130664165E-2</c:v>
                </c:pt>
                <c:pt idx="14">
                  <c:v>-2.0919267130664165E-2</c:v>
                </c:pt>
                <c:pt idx="15">
                  <c:v>-2.0919267130664165E-2</c:v>
                </c:pt>
                <c:pt idx="16">
                  <c:v>-2.0919267130664165E-2</c:v>
                </c:pt>
                <c:pt idx="17">
                  <c:v>-2.0919267130664165E-2</c:v>
                </c:pt>
                <c:pt idx="18">
                  <c:v>-2.0919267130664165E-2</c:v>
                </c:pt>
                <c:pt idx="19">
                  <c:v>-2.0919267130664165E-2</c:v>
                </c:pt>
                <c:pt idx="20">
                  <c:v>-2.0919267130664165E-2</c:v>
                </c:pt>
                <c:pt idx="21">
                  <c:v>-2.0919267130664165E-2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C8E-43C3-8E77-7CEF68CF77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186240"/>
        <c:axId val="468188160"/>
      </c:lineChart>
      <c:dateAx>
        <c:axId val="4681862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188160"/>
        <c:crossesAt val="-5.9999998658895534E-2"/>
        <c:auto val="1"/>
        <c:lblOffset val="100"/>
        <c:baseTimeUnit val="months"/>
        <c:majorUnit val="2"/>
        <c:majorTimeUnit val="months"/>
        <c:minorUnit val="1"/>
        <c:minorTimeUnit val="months"/>
      </c:dateAx>
      <c:valAx>
        <c:axId val="4681881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186240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4.6315789473684206E-2"/>
          <c:y val="0.92537313432835822"/>
          <c:w val="0.86736842105263157"/>
          <c:h val="6.567164179104478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25887265135699405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448851774530287"/>
          <c:y val="0.11702142856215272"/>
          <c:w val="0.82672233820459395"/>
          <c:h val="0.72074561682598737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5095954.3900000257</c:v>
                </c:pt>
                <c:pt idx="1">
                  <c:v>4865514.1700000167</c:v>
                </c:pt>
                <c:pt idx="2">
                  <c:v>5809110.5600000238</c:v>
                </c:pt>
                <c:pt idx="3">
                  <c:v>5131677.3100000117</c:v>
                </c:pt>
                <c:pt idx="4">
                  <c:v>4586340.4299999904</c:v>
                </c:pt>
                <c:pt idx="5">
                  <c:v>5780065.1999999704</c:v>
                </c:pt>
                <c:pt idx="6">
                  <c:v>4199208.1499999892</c:v>
                </c:pt>
                <c:pt idx="7">
                  <c:v>5269479.2099999841</c:v>
                </c:pt>
                <c:pt idx="8">
                  <c:v>5161983.979999993</c:v>
                </c:pt>
                <c:pt idx="9">
                  <c:v>5024298.1099999929</c:v>
                </c:pt>
                <c:pt idx="10">
                  <c:v>5269664.7599999877</c:v>
                </c:pt>
                <c:pt idx="11">
                  <c:v>5754302.1099999854</c:v>
                </c:pt>
                <c:pt idx="12">
                  <c:v>6436494.1199999833</c:v>
                </c:pt>
                <c:pt idx="13">
                  <c:v>5920319.6200000057</c:v>
                </c:pt>
                <c:pt idx="14">
                  <c:v>5777917.9799999846</c:v>
                </c:pt>
                <c:pt idx="15">
                  <c:v>5923338.4999999972</c:v>
                </c:pt>
                <c:pt idx="16">
                  <c:v>5585363.9099999908</c:v>
                </c:pt>
                <c:pt idx="17">
                  <c:v>5452454.4600000046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0E-4028-B069-F48D2221156E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5095954.3900000257</c:v>
                </c:pt>
                <c:pt idx="1">
                  <c:v>4865514.1700000167</c:v>
                </c:pt>
                <c:pt idx="2">
                  <c:v>5809110.5600000238</c:v>
                </c:pt>
                <c:pt idx="3">
                  <c:v>5131677.3100000117</c:v>
                </c:pt>
                <c:pt idx="4">
                  <c:v>4586340.4299999904</c:v>
                </c:pt>
                <c:pt idx="5">
                  <c:v>5780065.1999999704</c:v>
                </c:pt>
                <c:pt idx="6">
                  <c:v>4199208.1499999892</c:v>
                </c:pt>
                <c:pt idx="7">
                  <c:v>5269479.2099999841</c:v>
                </c:pt>
                <c:pt idx="8">
                  <c:v>5161983.979999993</c:v>
                </c:pt>
                <c:pt idx="9">
                  <c:v>5024298.1099999929</c:v>
                </c:pt>
                <c:pt idx="10">
                  <c:v>5269664.7599999877</c:v>
                </c:pt>
                <c:pt idx="11">
                  <c:v>5754302.1099999854</c:v>
                </c:pt>
                <c:pt idx="12">
                  <c:v>6436494.1199999833</c:v>
                </c:pt>
                <c:pt idx="13">
                  <c:v>5920319.6200000057</c:v>
                </c:pt>
                <c:pt idx="14">
                  <c:v>5777917.9799999846</c:v>
                </c:pt>
                <c:pt idx="15">
                  <c:v>5923338.4999999972</c:v>
                </c:pt>
                <c:pt idx="16">
                  <c:v>5585363.9099999908</c:v>
                </c:pt>
                <c:pt idx="17">
                  <c:v>5452454.4600000046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0E-4028-B069-F48D22211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792640"/>
        <c:axId val="467794560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0E-4028-B069-F48D2221156E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5346516.4463065388</c:v>
                </c:pt>
                <c:pt idx="1">
                  <c:v>5047051.0525426669</c:v>
                </c:pt>
                <c:pt idx="2">
                  <c:v>5120495.1487528142</c:v>
                </c:pt>
                <c:pt idx="3">
                  <c:v>4620382.2943228586</c:v>
                </c:pt>
                <c:pt idx="4">
                  <c:v>4821841.9485111265</c:v>
                </c:pt>
                <c:pt idx="5">
                  <c:v>5834981.5740672164</c:v>
                </c:pt>
                <c:pt idx="6">
                  <c:v>4838676</c:v>
                </c:pt>
                <c:pt idx="7">
                  <c:v>5412483</c:v>
                </c:pt>
                <c:pt idx="8">
                  <c:v>5547486</c:v>
                </c:pt>
                <c:pt idx="9">
                  <c:v>5220777</c:v>
                </c:pt>
                <c:pt idx="10">
                  <c:v>6008618</c:v>
                </c:pt>
                <c:pt idx="11">
                  <c:v>5476271</c:v>
                </c:pt>
                <c:pt idx="12">
                  <c:v>6394678</c:v>
                </c:pt>
                <c:pt idx="13">
                  <c:v>6005202</c:v>
                </c:pt>
                <c:pt idx="14">
                  <c:v>5703064</c:v>
                </c:pt>
                <c:pt idx="15">
                  <c:v>6102795</c:v>
                </c:pt>
                <c:pt idx="16">
                  <c:v>6178865</c:v>
                </c:pt>
                <c:pt idx="17">
                  <c:v>6901567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C0E-4028-B069-F48D22211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800448"/>
        <c:axId val="467801984"/>
      </c:lineChart>
      <c:catAx>
        <c:axId val="4677926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7945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77945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792640"/>
        <c:crosses val="autoZero"/>
        <c:crossBetween val="between"/>
      </c:valAx>
      <c:catAx>
        <c:axId val="467800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67801984"/>
        <c:crosses val="autoZero"/>
        <c:auto val="0"/>
        <c:lblAlgn val="ctr"/>
        <c:lblOffset val="100"/>
        <c:noMultiLvlLbl val="0"/>
      </c:catAx>
      <c:valAx>
        <c:axId val="46780198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67800448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8455114822547026E-2"/>
          <c:y val="0.93351175517953866"/>
          <c:w val="0.76409185803757995"/>
          <c:h val="5.851063829787231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portrait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25786163522012578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190810876103263"/>
          <c:y val="0.11702142856215272"/>
          <c:w val="0.80084021398432248"/>
          <c:h val="0.7180860389041188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5095954.3900000257</c:v>
                </c:pt>
                <c:pt idx="1">
                  <c:v>4865514.1700000167</c:v>
                </c:pt>
                <c:pt idx="2">
                  <c:v>5809110.5600000238</c:v>
                </c:pt>
                <c:pt idx="3">
                  <c:v>5131677.3100000117</c:v>
                </c:pt>
                <c:pt idx="4">
                  <c:v>4586340.4299999904</c:v>
                </c:pt>
                <c:pt idx="5">
                  <c:v>5780065.1999999704</c:v>
                </c:pt>
                <c:pt idx="6">
                  <c:v>4199208.1499999892</c:v>
                </c:pt>
                <c:pt idx="7">
                  <c:v>5269479.2099999841</c:v>
                </c:pt>
                <c:pt idx="8">
                  <c:v>5161983.979999993</c:v>
                </c:pt>
                <c:pt idx="9">
                  <c:v>5024298.1099999929</c:v>
                </c:pt>
                <c:pt idx="10">
                  <c:v>5269664.7599999877</c:v>
                </c:pt>
                <c:pt idx="11">
                  <c:v>5754302.1099999854</c:v>
                </c:pt>
                <c:pt idx="12">
                  <c:v>6436494.1199999833</c:v>
                </c:pt>
                <c:pt idx="13">
                  <c:v>5920319.6200000057</c:v>
                </c:pt>
                <c:pt idx="14">
                  <c:v>5777917.9799999846</c:v>
                </c:pt>
                <c:pt idx="15">
                  <c:v>5923338.4999999972</c:v>
                </c:pt>
                <c:pt idx="16">
                  <c:v>5585363.9099999908</c:v>
                </c:pt>
                <c:pt idx="17">
                  <c:v>5452454.4600000046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F0-496E-BF73-295EC0DE4C76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5095954.3900000257</c:v>
                </c:pt>
                <c:pt idx="1">
                  <c:v>4865514.1700000167</c:v>
                </c:pt>
                <c:pt idx="2">
                  <c:v>5809110.5600000238</c:v>
                </c:pt>
                <c:pt idx="3">
                  <c:v>5131677.3100000117</c:v>
                </c:pt>
                <c:pt idx="4">
                  <c:v>4586340.4299999904</c:v>
                </c:pt>
                <c:pt idx="5">
                  <c:v>5780065.1999999704</c:v>
                </c:pt>
                <c:pt idx="6">
                  <c:v>4199208.1499999892</c:v>
                </c:pt>
                <c:pt idx="7">
                  <c:v>5269479.2099999841</c:v>
                </c:pt>
                <c:pt idx="8">
                  <c:v>5161983.979999993</c:v>
                </c:pt>
                <c:pt idx="9">
                  <c:v>5024298.1099999929</c:v>
                </c:pt>
                <c:pt idx="10">
                  <c:v>5269664.7599999877</c:v>
                </c:pt>
                <c:pt idx="11">
                  <c:v>5754302.1099999854</c:v>
                </c:pt>
                <c:pt idx="12">
                  <c:v>6436494.1199999833</c:v>
                </c:pt>
                <c:pt idx="13">
                  <c:v>5920319.6200000057</c:v>
                </c:pt>
                <c:pt idx="14">
                  <c:v>5777917.9799999846</c:v>
                </c:pt>
                <c:pt idx="15">
                  <c:v>5923338.4999999972</c:v>
                </c:pt>
                <c:pt idx="16">
                  <c:v>5585363.9099999908</c:v>
                </c:pt>
                <c:pt idx="17">
                  <c:v>5452454.4600000046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F0-496E-BF73-295EC0DE4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835520"/>
        <c:axId val="467845888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F0-496E-BF73-295EC0DE4C76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5346516.4463065388</c:v>
                </c:pt>
                <c:pt idx="1">
                  <c:v>5047051.0525426669</c:v>
                </c:pt>
                <c:pt idx="2">
                  <c:v>5120495.1487528142</c:v>
                </c:pt>
                <c:pt idx="3">
                  <c:v>4620382.2943228586</c:v>
                </c:pt>
                <c:pt idx="4">
                  <c:v>4821841.9485111265</c:v>
                </c:pt>
                <c:pt idx="5">
                  <c:v>5834981.5740672164</c:v>
                </c:pt>
                <c:pt idx="6">
                  <c:v>4838676</c:v>
                </c:pt>
                <c:pt idx="7">
                  <c:v>5412483</c:v>
                </c:pt>
                <c:pt idx="8">
                  <c:v>5547486</c:v>
                </c:pt>
                <c:pt idx="9">
                  <c:v>5220777</c:v>
                </c:pt>
                <c:pt idx="10">
                  <c:v>6008618</c:v>
                </c:pt>
                <c:pt idx="11">
                  <c:v>5476271</c:v>
                </c:pt>
                <c:pt idx="12">
                  <c:v>6394678</c:v>
                </c:pt>
                <c:pt idx="13">
                  <c:v>6005202</c:v>
                </c:pt>
                <c:pt idx="14">
                  <c:v>5703064</c:v>
                </c:pt>
                <c:pt idx="15">
                  <c:v>6102795</c:v>
                </c:pt>
                <c:pt idx="16">
                  <c:v>6178865</c:v>
                </c:pt>
                <c:pt idx="17">
                  <c:v>6901567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F0-496E-BF73-295EC0DE4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847424"/>
        <c:axId val="467865600"/>
      </c:lineChart>
      <c:catAx>
        <c:axId val="4678355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84588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78458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835520"/>
        <c:crosses val="autoZero"/>
        <c:crossBetween val="between"/>
      </c:valAx>
      <c:catAx>
        <c:axId val="4678474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67865600"/>
        <c:crosses val="autoZero"/>
        <c:auto val="0"/>
        <c:lblAlgn val="ctr"/>
        <c:lblOffset val="100"/>
        <c:noMultiLvlLbl val="0"/>
      </c:catAx>
      <c:valAx>
        <c:axId val="4678656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67847424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6436278798483641E-2"/>
          <c:y val="0.93351175517953866"/>
          <c:w val="0.7672971381721948"/>
          <c:h val="5.851063829787231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00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52097946956839"/>
          <c:y val="0.10986122818198645"/>
          <c:w val="0.87819678453041972"/>
          <c:h val="0.7633181883596142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9050">
              <a:solidFill>
                <a:srgbClr val="000080"/>
              </a:solidFill>
              <a:prstDash val="sysDash"/>
            </a:ln>
          </c:spPr>
          <c:marker>
            <c:symbol val="diamond"/>
            <c:size val="6"/>
            <c:spPr>
              <a:noFill/>
              <a:ln w="12700"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0.87909387335932276</c:v>
                </c:pt>
                <c:pt idx="3">
                  <c:v>0.93383202622570205</c:v>
                </c:pt>
                <c:pt idx="4">
                  <c:v>0.95356844093311832</c:v>
                </c:pt>
                <c:pt idx="5">
                  <c:v>0.96242769045952814</c:v>
                </c:pt>
                <c:pt idx="6">
                  <c:v>0.96929641614863582</c:v>
                </c:pt>
                <c:pt idx="7">
                  <c:v>0.97605994987273759</c:v>
                </c:pt>
                <c:pt idx="8">
                  <c:v>0.98008004829088269</c:v>
                </c:pt>
                <c:pt idx="9">
                  <c:v>0.98307841292336984</c:v>
                </c:pt>
                <c:pt idx="10">
                  <c:v>0.98622556459580313</c:v>
                </c:pt>
                <c:pt idx="11">
                  <c:v>0.98818794845553182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6E-4355-9786-FE3B53766F07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9050">
              <a:solidFill>
                <a:srgbClr val="FF00FF"/>
              </a:solidFill>
              <a:prstDash val="lgDashDotDot"/>
            </a:ln>
          </c:spPr>
          <c:marker>
            <c:symbol val="square"/>
            <c:size val="5"/>
            <c:spPr>
              <a:noFill/>
              <a:ln w="12700"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0.86875338352933695</c:v>
                </c:pt>
                <c:pt idx="3">
                  <c:v>0.92255614800264008</c:v>
                </c:pt>
                <c:pt idx="4">
                  <c:v>0.9416186084663587</c:v>
                </c:pt>
                <c:pt idx="5">
                  <c:v>0.95090620999990549</c:v>
                </c:pt>
                <c:pt idx="6">
                  <c:v>0.95833573469404598</c:v>
                </c:pt>
                <c:pt idx="7">
                  <c:v>0.96625439954803349</c:v>
                </c:pt>
                <c:pt idx="8">
                  <c:v>0.97001095691100037</c:v>
                </c:pt>
                <c:pt idx="9">
                  <c:v>0.9738157463321464</c:v>
                </c:pt>
                <c:pt idx="10">
                  <c:v>0.97777488796092704</c:v>
                </c:pt>
                <c:pt idx="11">
                  <c:v>0.9804069105563129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6E-4355-9786-FE3B53766F07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5875">
              <a:solidFill>
                <a:srgbClr val="FF0000"/>
              </a:solidFill>
              <a:prstDash val="lgDash"/>
            </a:ln>
          </c:spPr>
          <c:marker>
            <c:symbol val="triangle"/>
            <c:size val="5"/>
            <c:spPr>
              <a:noFill/>
              <a:ln w="12700"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0.86488471486644092</c:v>
                </c:pt>
                <c:pt idx="3">
                  <c:v>0.91416991165877703</c:v>
                </c:pt>
                <c:pt idx="4">
                  <c:v>0.93170174839347986</c:v>
                </c:pt>
                <c:pt idx="5">
                  <c:v>0.94314793438162448</c:v>
                </c:pt>
                <c:pt idx="6">
                  <c:v>0.95469838900122361</c:v>
                </c:pt>
                <c:pt idx="7">
                  <c:v>0.96276399676956825</c:v>
                </c:pt>
                <c:pt idx="8">
                  <c:v>0.96913770815091638</c:v>
                </c:pt>
                <c:pt idx="9">
                  <c:v>0.97297240486699776</c:v>
                </c:pt>
                <c:pt idx="10">
                  <c:v>0.9760973922461742</c:v>
                </c:pt>
                <c:pt idx="11">
                  <c:v>0.98018527609956596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6E-4355-9786-FE3B53766F07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rgbClr val="339966"/>
              </a:solidFill>
              <a:prstDash val="dashDot"/>
            </a:ln>
          </c:spPr>
          <c:marker>
            <c:symbol val="x"/>
            <c:size val="5"/>
            <c:spPr>
              <a:noFill/>
              <a:ln w="12700"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0.89659371220203343</c:v>
                </c:pt>
                <c:pt idx="3">
                  <c:v>0.93601863084926606</c:v>
                </c:pt>
                <c:pt idx="4">
                  <c:v>0.95024108913962546</c:v>
                </c:pt>
                <c:pt idx="5">
                  <c:v>0.95733827020665985</c:v>
                </c:pt>
                <c:pt idx="6">
                  <c:v>0.96460102768475775</c:v>
                </c:pt>
                <c:pt idx="7">
                  <c:v>0.9701586495113439</c:v>
                </c:pt>
                <c:pt idx="8">
                  <c:v>0.97524796952374337</c:v>
                </c:pt>
                <c:pt idx="9">
                  <c:v>0.9790687381057005</c:v>
                </c:pt>
                <c:pt idx="10">
                  <c:v>0.98317176365525227</c:v>
                </c:pt>
                <c:pt idx="11">
                  <c:v>0.98550117594572217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36E-4355-9786-FE3B53766F07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22225">
              <a:solidFill>
                <a:srgbClr val="0070C0"/>
              </a:solidFill>
            </a:ln>
          </c:spPr>
          <c:marker>
            <c:symbol val="circle"/>
            <c:size val="6"/>
            <c:spPr>
              <a:noFill/>
              <a:ln w="19050">
                <a:solidFill>
                  <a:srgbClr val="0070C0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0.87409588137181282</c:v>
                </c:pt>
                <c:pt idx="3">
                  <c:v>0.92837614609871677</c:v>
                </c:pt>
                <c:pt idx="4">
                  <c:v>0.94777800665301637</c:v>
                </c:pt>
                <c:pt idx="5">
                  <c:v>0.95685483322655829</c:v>
                </c:pt>
                <c:pt idx="6">
                  <c:v>0.96398179238062165</c:v>
                </c:pt>
                <c:pt idx="7">
                  <c:v>0.97132728101712662</c:v>
                </c:pt>
                <c:pt idx="8">
                  <c:v>0.97521571083726688</c:v>
                </c:pt>
                <c:pt idx="9">
                  <c:v>0.97861987373546322</c:v>
                </c:pt>
                <c:pt idx="10">
                  <c:v>0.98217546750704832</c:v>
                </c:pt>
                <c:pt idx="11">
                  <c:v>0.98447441318381057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36E-4355-9786-FE3B53766F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911808"/>
        <c:axId val="467914112"/>
      </c:lineChart>
      <c:catAx>
        <c:axId val="4679118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60341678394999565"/>
              <c:y val="0.74537137471794612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14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7914112"/>
        <c:scaling>
          <c:orientation val="minMax"/>
          <c:max val="1.05"/>
          <c:min val="0.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0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4731352991547344E-2"/>
              <c:y val="0.2918876393714495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11808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3548951107100063E-2"/>
          <c:y val="0.92843425836805271"/>
          <c:w val="0.95717040060934599"/>
          <c:h val="6.231747118566703E-2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00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52097946956839"/>
          <c:y val="0.10986122818198645"/>
          <c:w val="0.87819678453041972"/>
          <c:h val="0.7633181883596142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diamond"/>
            <c:size val="6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0.87909387335932276</c:v>
                </c:pt>
                <c:pt idx="3">
                  <c:v>0.93383202622570205</c:v>
                </c:pt>
                <c:pt idx="4">
                  <c:v>0.95356844093311832</c:v>
                </c:pt>
                <c:pt idx="5">
                  <c:v>0.96242769045952814</c:v>
                </c:pt>
                <c:pt idx="6">
                  <c:v>0.96929641614863582</c:v>
                </c:pt>
                <c:pt idx="7">
                  <c:v>0.97605994987273759</c:v>
                </c:pt>
                <c:pt idx="8">
                  <c:v>0.98008004829088269</c:v>
                </c:pt>
                <c:pt idx="9">
                  <c:v>0.98307841292336984</c:v>
                </c:pt>
                <c:pt idx="10">
                  <c:v>0.98622556459580313</c:v>
                </c:pt>
                <c:pt idx="11">
                  <c:v>0.98818794845553182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48-4A37-B864-62B30747CDFA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9050">
              <a:solidFill>
                <a:schemeClr val="tx1"/>
              </a:solidFill>
              <a:prstDash val="lgDashDotDot"/>
            </a:ln>
          </c:spPr>
          <c:marker>
            <c:symbol val="square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0.86875338352933695</c:v>
                </c:pt>
                <c:pt idx="3">
                  <c:v>0.92255614800264008</c:v>
                </c:pt>
                <c:pt idx="4">
                  <c:v>0.9416186084663587</c:v>
                </c:pt>
                <c:pt idx="5">
                  <c:v>0.95090620999990549</c:v>
                </c:pt>
                <c:pt idx="6">
                  <c:v>0.95833573469404598</c:v>
                </c:pt>
                <c:pt idx="7">
                  <c:v>0.96625439954803349</c:v>
                </c:pt>
                <c:pt idx="8">
                  <c:v>0.97001095691100037</c:v>
                </c:pt>
                <c:pt idx="9">
                  <c:v>0.9738157463321464</c:v>
                </c:pt>
                <c:pt idx="10">
                  <c:v>0.97777488796092704</c:v>
                </c:pt>
                <c:pt idx="11">
                  <c:v>0.9804069105563129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48-4A37-B864-62B30747CDFA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5875">
              <a:solidFill>
                <a:schemeClr val="tx1"/>
              </a:solidFill>
              <a:prstDash val="lgDash"/>
            </a:ln>
          </c:spPr>
          <c:marker>
            <c:symbol val="triangle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0.86488471486644092</c:v>
                </c:pt>
                <c:pt idx="3">
                  <c:v>0.91416991165877703</c:v>
                </c:pt>
                <c:pt idx="4">
                  <c:v>0.93170174839347986</c:v>
                </c:pt>
                <c:pt idx="5">
                  <c:v>0.94314793438162448</c:v>
                </c:pt>
                <c:pt idx="6">
                  <c:v>0.95469838900122361</c:v>
                </c:pt>
                <c:pt idx="7">
                  <c:v>0.96276399676956825</c:v>
                </c:pt>
                <c:pt idx="8">
                  <c:v>0.96913770815091638</c:v>
                </c:pt>
                <c:pt idx="9">
                  <c:v>0.97297240486699776</c:v>
                </c:pt>
                <c:pt idx="10">
                  <c:v>0.9760973922461742</c:v>
                </c:pt>
                <c:pt idx="11">
                  <c:v>0.98018527609956596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48-4A37-B864-62B30747CDFA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Dot"/>
            </a:ln>
          </c:spPr>
          <c:marker>
            <c:symbol val="x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0.89659371220203343</c:v>
                </c:pt>
                <c:pt idx="3">
                  <c:v>0.93601863084926606</c:v>
                </c:pt>
                <c:pt idx="4">
                  <c:v>0.95024108913962546</c:v>
                </c:pt>
                <c:pt idx="5">
                  <c:v>0.95733827020665985</c:v>
                </c:pt>
                <c:pt idx="6">
                  <c:v>0.96460102768475775</c:v>
                </c:pt>
                <c:pt idx="7">
                  <c:v>0.9701586495113439</c:v>
                </c:pt>
                <c:pt idx="8">
                  <c:v>0.97524796952374337</c:v>
                </c:pt>
                <c:pt idx="9">
                  <c:v>0.9790687381057005</c:v>
                </c:pt>
                <c:pt idx="10">
                  <c:v>0.98317176365525227</c:v>
                </c:pt>
                <c:pt idx="11">
                  <c:v>0.98550117594572217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48-4A37-B864-62B30747CDFA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22225">
              <a:solidFill>
                <a:schemeClr val="tx1"/>
              </a:solidFill>
            </a:ln>
          </c:spPr>
          <c:marker>
            <c:symbol val="circle"/>
            <c:size val="6"/>
            <c:spPr>
              <a:noFill/>
              <a:ln w="19050">
                <a:solidFill>
                  <a:schemeClr val="tx1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0.87409588137181282</c:v>
                </c:pt>
                <c:pt idx="3">
                  <c:v>0.92837614609871677</c:v>
                </c:pt>
                <c:pt idx="4">
                  <c:v>0.94777800665301637</c:v>
                </c:pt>
                <c:pt idx="5">
                  <c:v>0.95685483322655829</c:v>
                </c:pt>
                <c:pt idx="6">
                  <c:v>0.96398179238062165</c:v>
                </c:pt>
                <c:pt idx="7">
                  <c:v>0.97132728101712662</c:v>
                </c:pt>
                <c:pt idx="8">
                  <c:v>0.97521571083726688</c:v>
                </c:pt>
                <c:pt idx="9">
                  <c:v>0.97861987373546322</c:v>
                </c:pt>
                <c:pt idx="10">
                  <c:v>0.98217546750704832</c:v>
                </c:pt>
                <c:pt idx="11">
                  <c:v>0.98447441318381057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F48-4A37-B864-62B30747C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504960"/>
        <c:axId val="468507264"/>
      </c:lineChart>
      <c:catAx>
        <c:axId val="46850496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60341678394999565"/>
              <c:y val="0.74537137471794612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507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507264"/>
        <c:scaling>
          <c:orientation val="minMax"/>
          <c:max val="1.05"/>
          <c:min val="0.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0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4731352991547344E-2"/>
              <c:y val="0.2918876393714495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504960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3548951107100063E-2"/>
          <c:y val="0.92843425836805271"/>
          <c:w val="0.95717040060934599"/>
          <c:h val="6.231747118566703E-2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0552016985138045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29530606278638E-2"/>
          <c:y val="9.8404383109083171E-2"/>
          <c:w val="0.86836698092278009"/>
          <c:h val="0.7127668830603846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35.869891317541402</c:v>
                </c:pt>
                <c:pt idx="1">
                  <c:v>36.591966235234068</c:v>
                </c:pt>
                <c:pt idx="2">
                  <c:v>38.790531392615186</c:v>
                </c:pt>
                <c:pt idx="3">
                  <c:v>40.350388620093234</c:v>
                </c:pt>
                <c:pt idx="4">
                  <c:v>47.798624963803547</c:v>
                </c:pt>
                <c:pt idx="5">
                  <c:v>46.237790728679677</c:v>
                </c:pt>
                <c:pt idx="6">
                  <c:v>47.622125569631088</c:v>
                </c:pt>
                <c:pt idx="7">
                  <c:v>47.227304643709218</c:v>
                </c:pt>
                <c:pt idx="8">
                  <c:v>48.96810775013158</c:v>
                </c:pt>
                <c:pt idx="9">
                  <c:v>32.792024176098245</c:v>
                </c:pt>
                <c:pt idx="10">
                  <c:v>31.17009535145916</c:v>
                </c:pt>
                <c:pt idx="11">
                  <c:v>39.046129236548509</c:v>
                </c:pt>
                <c:pt idx="12">
                  <c:v>37.458797906089245</c:v>
                </c:pt>
                <c:pt idx="13">
                  <c:v>39.220997237718201</c:v>
                </c:pt>
                <c:pt idx="14">
                  <c:v>39.387231494672243</c:v>
                </c:pt>
                <c:pt idx="15">
                  <c:v>37.986203504258292</c:v>
                </c:pt>
                <c:pt idx="16">
                  <c:v>44.71334857009554</c:v>
                </c:pt>
                <c:pt idx="17">
                  <c:v>40.787181949898923</c:v>
                </c:pt>
                <c:pt idx="18">
                  <c:v>41.482201046704006</c:v>
                </c:pt>
                <c:pt idx="19">
                  <c:v>39.292868284527216</c:v>
                </c:pt>
                <c:pt idx="20">
                  <c:v>39.955172982558864</c:v>
                </c:pt>
                <c:pt idx="21">
                  <c:v>34.457578879124007</c:v>
                </c:pt>
                <c:pt idx="22">
                  <c:v>35.59053999092955</c:v>
                </c:pt>
                <c:pt idx="23">
                  <c:v>43.272089036718107</c:v>
                </c:pt>
                <c:pt idx="24">
                  <c:v>35.983312262958279</c:v>
                </c:pt>
                <c:pt idx="25">
                  <c:v>40.251983787602725</c:v>
                </c:pt>
                <c:pt idx="26">
                  <c:v>40.966554665288186</c:v>
                </c:pt>
                <c:pt idx="27">
                  <c:v>38.321848276874519</c:v>
                </c:pt>
                <c:pt idx="28">
                  <c:v>43.908844442170953</c:v>
                </c:pt>
                <c:pt idx="29">
                  <c:v>39.63601951304247</c:v>
                </c:pt>
                <c:pt idx="30">
                  <c:v>45.354256209484092</c:v>
                </c:pt>
                <c:pt idx="31">
                  <c:v>42.107491445560107</c:v>
                </c:pt>
                <c:pt idx="32">
                  <c:v>39.732638501839261</c:v>
                </c:pt>
                <c:pt idx="33">
                  <c:v>37.056707228213348</c:v>
                </c:pt>
                <c:pt idx="34">
                  <c:v>37.540722153702205</c:v>
                </c:pt>
                <c:pt idx="35">
                  <c:v>41.849998787231975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39-4EF7-9593-11586348D8E6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41.059211258767021</c:v>
                </c:pt>
                <c:pt idx="2">
                  <c:v>41.010652442064291</c:v>
                </c:pt>
                <c:pt idx="3">
                  <c:v>40.962151053612324</c:v>
                </c:pt>
                <c:pt idx="4">
                  <c:v>40.913707025493366</c:v>
                </c:pt>
                <c:pt idx="5">
                  <c:v>40.865320289870041</c:v>
                </c:pt>
                <c:pt idx="6">
                  <c:v>40.816990778985208</c:v>
                </c:pt>
                <c:pt idx="7">
                  <c:v>40.768718425161786</c:v>
                </c:pt>
                <c:pt idx="8">
                  <c:v>40.720503160802821</c:v>
                </c:pt>
                <c:pt idx="9">
                  <c:v>40.672344918391232</c:v>
                </c:pt>
                <c:pt idx="10">
                  <c:v>40.62424363048985</c:v>
                </c:pt>
                <c:pt idx="11">
                  <c:v>40.576199229741192</c:v>
                </c:pt>
                <c:pt idx="12">
                  <c:v>40.52821164886749</c:v>
                </c:pt>
                <c:pt idx="13">
                  <c:v>40.480280820670544</c:v>
                </c:pt>
                <c:pt idx="14">
                  <c:v>40.432406678031569</c:v>
                </c:pt>
                <c:pt idx="15">
                  <c:v>40.384589153911236</c:v>
                </c:pt>
                <c:pt idx="16">
                  <c:v>40.336828181349418</c:v>
                </c:pt>
                <c:pt idx="17">
                  <c:v>40.289123693465243</c:v>
                </c:pt>
                <c:pt idx="18">
                  <c:v>40.241475623456928</c:v>
                </c:pt>
                <c:pt idx="19">
                  <c:v>40.193883904601648</c:v>
                </c:pt>
                <c:pt idx="20">
                  <c:v>40.146348470255546</c:v>
                </c:pt>
                <c:pt idx="21">
                  <c:v>40.098869253853536</c:v>
                </c:pt>
                <c:pt idx="22">
                  <c:v>40.051446188909274</c:v>
                </c:pt>
                <c:pt idx="23">
                  <c:v>40.004079209015075</c:v>
                </c:pt>
                <c:pt idx="24">
                  <c:v>39.956768247841715</c:v>
                </c:pt>
                <c:pt idx="25">
                  <c:v>39.909513239138512</c:v>
                </c:pt>
                <c:pt idx="26">
                  <c:v>39.862314116733046</c:v>
                </c:pt>
                <c:pt idx="27">
                  <c:v>39.815170814531228</c:v>
                </c:pt>
                <c:pt idx="28">
                  <c:v>39.768083266517067</c:v>
                </c:pt>
                <c:pt idx="29">
                  <c:v>39.7210514067527</c:v>
                </c:pt>
                <c:pt idx="30">
                  <c:v>39.674075169378256</c:v>
                </c:pt>
                <c:pt idx="31">
                  <c:v>39.627154488611673</c:v>
                </c:pt>
                <c:pt idx="32">
                  <c:v>39.580289298748788</c:v>
                </c:pt>
                <c:pt idx="33">
                  <c:v>39.53347953416305</c:v>
                </c:pt>
                <c:pt idx="34">
                  <c:v>39.486725129305583</c:v>
                </c:pt>
                <c:pt idx="35">
                  <c:v>39.440026018705034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39-4EF7-9593-11586348D8E6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37.798939413948808</c:v>
                </c:pt>
                <c:pt idx="11">
                  <c:v>37.93862963412726</c:v>
                </c:pt>
                <c:pt idx="12">
                  <c:v>38.078836095182204</c:v>
                </c:pt>
                <c:pt idx="13">
                  <c:v>38.219560704939695</c:v>
                </c:pt>
                <c:pt idx="14">
                  <c:v>38.360805378276368</c:v>
                </c:pt>
                <c:pt idx="15">
                  <c:v>38.502572037145548</c:v>
                </c:pt>
                <c:pt idx="16">
                  <c:v>38.644862610603298</c:v>
                </c:pt>
                <c:pt idx="17">
                  <c:v>38.787679034834738</c:v>
                </c:pt>
                <c:pt idx="18">
                  <c:v>38.931023253180392</c:v>
                </c:pt>
                <c:pt idx="19">
                  <c:v>39.074897216162597</c:v>
                </c:pt>
                <c:pt idx="20">
                  <c:v>39.219302881512078</c:v>
                </c:pt>
                <c:pt idx="21">
                  <c:v>39.364242214194569</c:v>
                </c:pt>
                <c:pt idx="22">
                  <c:v>39.509717186437555</c:v>
                </c:pt>
                <c:pt idx="23">
                  <c:v>39.655729777757116</c:v>
                </c:pt>
                <c:pt idx="24">
                  <c:v>39.80228197498483</c:v>
                </c:pt>
                <c:pt idx="25">
                  <c:v>39.949375772294879</c:v>
                </c:pt>
                <c:pt idx="26">
                  <c:v>40.097013171231112</c:v>
                </c:pt>
                <c:pt idx="27">
                  <c:v>40.24519618073429</c:v>
                </c:pt>
                <c:pt idx="28">
                  <c:v>40.393926817169479</c:v>
                </c:pt>
                <c:pt idx="29">
                  <c:v>40.543207104353414</c:v>
                </c:pt>
                <c:pt idx="30">
                  <c:v>40.693039073582099</c:v>
                </c:pt>
                <c:pt idx="31">
                  <c:v>40.843424763658398</c:v>
                </c:pt>
                <c:pt idx="32">
                  <c:v>40.994366220919815</c:v>
                </c:pt>
                <c:pt idx="33">
                  <c:v>41.145865499266314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39-4EF7-9593-11586348D8E6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39.577895374722281</c:v>
                </c:pt>
                <c:pt idx="17">
                  <c:v>39.627826292020565</c:v>
                </c:pt>
                <c:pt idx="18">
                  <c:v>39.677820201463291</c:v>
                </c:pt>
                <c:pt idx="19">
                  <c:v>39.727877182520444</c:v>
                </c:pt>
                <c:pt idx="20">
                  <c:v>39.777997314762338</c:v>
                </c:pt>
                <c:pt idx="21">
                  <c:v>39.828180677859585</c:v>
                </c:pt>
                <c:pt idx="22">
                  <c:v>39.878427351583355</c:v>
                </c:pt>
                <c:pt idx="23">
                  <c:v>39.928737415805429</c:v>
                </c:pt>
                <c:pt idx="24">
                  <c:v>39.979110950498402</c:v>
                </c:pt>
                <c:pt idx="25">
                  <c:v>40.029548035735708</c:v>
                </c:pt>
                <c:pt idx="26">
                  <c:v>40.080048751691812</c:v>
                </c:pt>
                <c:pt idx="27">
                  <c:v>40.130613178642363</c:v>
                </c:pt>
                <c:pt idx="28">
                  <c:v>40.181241396964246</c:v>
                </c:pt>
                <c:pt idx="29">
                  <c:v>40.231933487135763</c:v>
                </c:pt>
                <c:pt idx="30">
                  <c:v>40.282689529736714</c:v>
                </c:pt>
                <c:pt idx="31">
                  <c:v>40.333509605448626</c:v>
                </c:pt>
                <c:pt idx="32">
                  <c:v>40.384393795054763</c:v>
                </c:pt>
                <c:pt idx="33">
                  <c:v>40.435342179440305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B39-4EF7-9593-11586348D8E6}"/>
            </c:ext>
          </c:extLst>
        </c:ser>
        <c:ser>
          <c:idx val="4"/>
          <c:order val="4"/>
          <c:tx>
            <c:strRef>
              <c:f>Charts!$AP$5</c:f>
              <c:strCache>
                <c:ptCount val="1"/>
                <c:pt idx="0">
                  <c:v>Lst Sq-12 Mo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val>
            <c:numRef>
              <c:f>Charts!$AX$9:$AX$44</c:f>
              <c:numCache>
                <c:formatCode>"$"#,##0.00</c:formatCode>
                <c:ptCount val="36"/>
                <c:pt idx="22">
                  <c:v>39.01297329838463</c:v>
                </c:pt>
                <c:pt idx="23">
                  <c:v>39.213531703317308</c:v>
                </c:pt>
                <c:pt idx="24">
                  <c:v>39.415121141529113</c:v>
                </c:pt>
                <c:pt idx="25">
                  <c:v>39.61774691336948</c:v>
                </c:pt>
                <c:pt idx="26">
                  <c:v>39.82141434643593</c:v>
                </c:pt>
                <c:pt idx="27">
                  <c:v>40.026128795714122</c:v>
                </c:pt>
                <c:pt idx="28">
                  <c:v>40.231895643718758</c:v>
                </c:pt>
                <c:pt idx="29">
                  <c:v>40.438720300635033</c:v>
                </c:pt>
                <c:pt idx="30">
                  <c:v>40.64660820446084</c:v>
                </c:pt>
                <c:pt idx="31">
                  <c:v>40.855564821149862</c:v>
                </c:pt>
                <c:pt idx="32">
                  <c:v>41.065595644755213</c:v>
                </c:pt>
                <c:pt idx="33">
                  <c:v>41.27670619757388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71-44E8-A55C-29BF3C4B3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358848"/>
        <c:axId val="467360384"/>
      </c:lineChart>
      <c:catAx>
        <c:axId val="46735884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36038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7360384"/>
        <c:scaling>
          <c:orientation val="minMax"/>
          <c:max val="59"/>
          <c:min val="2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358848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2286444640172693E-2"/>
          <c:y val="0.93351063829787262"/>
          <c:w val="0.87891896187492968"/>
          <c:h val="6.648925406063373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4394904458598724"/>
          <c:y val="3.16622691292876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40362593639269"/>
          <c:y val="0.12664923968456221"/>
          <c:w val="0.8619975409649121"/>
          <c:h val="0.73878723149328041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0.24959915512441702</c:v>
                </c:pt>
                <c:pt idx="1">
                  <c:v>0.27418952986562312</c:v>
                </c:pt>
                <c:pt idx="2">
                  <c:v>0.30109826112542049</c:v>
                </c:pt>
                <c:pt idx="3">
                  <c:v>0.31269346719620922</c:v>
                </c:pt>
                <c:pt idx="4">
                  <c:v>0.37036911826113594</c:v>
                </c:pt>
                <c:pt idx="5">
                  <c:v>0.54371439639319596</c:v>
                </c:pt>
                <c:pt idx="6">
                  <c:v>0.55866066780702617</c:v>
                </c:pt>
                <c:pt idx="7">
                  <c:v>0.71747213029414691</c:v>
                </c:pt>
                <c:pt idx="8">
                  <c:v>0.87586825684018188</c:v>
                </c:pt>
                <c:pt idx="9">
                  <c:v>0.94977751679092437</c:v>
                </c:pt>
                <c:pt idx="10">
                  <c:v>1.2589881104624836</c:v>
                </c:pt>
                <c:pt idx="11">
                  <c:v>1.4276210156046916</c:v>
                </c:pt>
                <c:pt idx="12">
                  <c:v>1.9568181624749865</c:v>
                </c:pt>
                <c:pt idx="13">
                  <c:v>2.1989383379145369</c:v>
                </c:pt>
                <c:pt idx="14">
                  <c:v>2.8458061392264149</c:v>
                </c:pt>
                <c:pt idx="15">
                  <c:v>5.6387455673759401</c:v>
                </c:pt>
                <c:pt idx="16">
                  <c:v>13.74112873729422</c:v>
                </c:pt>
                <c:pt idx="17">
                  <c:v>34.833327835451641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5D-48A1-9962-18132D07A1C6}"/>
            </c:ext>
          </c:extLst>
        </c:ser>
        <c:ser>
          <c:idx val="0"/>
          <c:order val="1"/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0.24959915512441702</c:v>
                </c:pt>
                <c:pt idx="1">
                  <c:v>0.27418952986562312</c:v>
                </c:pt>
                <c:pt idx="2">
                  <c:v>0.30109826112542049</c:v>
                </c:pt>
                <c:pt idx="3">
                  <c:v>0.31269346719620922</c:v>
                </c:pt>
                <c:pt idx="4">
                  <c:v>0.37036911826113594</c:v>
                </c:pt>
                <c:pt idx="5">
                  <c:v>0.54371439639319596</c:v>
                </c:pt>
                <c:pt idx="6">
                  <c:v>0.55866066780702617</c:v>
                </c:pt>
                <c:pt idx="7">
                  <c:v>0.71747213029414691</c:v>
                </c:pt>
                <c:pt idx="8">
                  <c:v>0.87586825684018188</c:v>
                </c:pt>
                <c:pt idx="9">
                  <c:v>0.94977751679092437</c:v>
                </c:pt>
                <c:pt idx="10">
                  <c:v>1.2589881104624836</c:v>
                </c:pt>
                <c:pt idx="11">
                  <c:v>1.4276210156046916</c:v>
                </c:pt>
                <c:pt idx="12">
                  <c:v>1.9568181624749865</c:v>
                </c:pt>
                <c:pt idx="13">
                  <c:v>2.1989383379145369</c:v>
                </c:pt>
                <c:pt idx="14">
                  <c:v>2.8458061392264149</c:v>
                </c:pt>
                <c:pt idx="15">
                  <c:v>5.6387455673759401</c:v>
                </c:pt>
                <c:pt idx="16">
                  <c:v>13.74112873729422</c:v>
                </c:pt>
                <c:pt idx="17">
                  <c:v>34.833327835451641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5D-48A1-9962-18132D07A1C6}"/>
            </c:ext>
          </c:extLst>
        </c:ser>
        <c:ser>
          <c:idx val="4"/>
          <c:order val="2"/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0.24959915512441702</c:v>
                </c:pt>
                <c:pt idx="1">
                  <c:v>0.27418952986562312</c:v>
                </c:pt>
                <c:pt idx="2">
                  <c:v>0.30109826112542049</c:v>
                </c:pt>
                <c:pt idx="3">
                  <c:v>0.31269346719620922</c:v>
                </c:pt>
                <c:pt idx="4">
                  <c:v>0.37036911826113594</c:v>
                </c:pt>
                <c:pt idx="5">
                  <c:v>0.54371439639319596</c:v>
                </c:pt>
                <c:pt idx="6">
                  <c:v>0.55866066780702617</c:v>
                </c:pt>
                <c:pt idx="7">
                  <c:v>0.71747213029414691</c:v>
                </c:pt>
                <c:pt idx="8">
                  <c:v>0.87586825684018188</c:v>
                </c:pt>
                <c:pt idx="9">
                  <c:v>0.94977751679092437</c:v>
                </c:pt>
                <c:pt idx="10">
                  <c:v>1.2589881104624836</c:v>
                </c:pt>
                <c:pt idx="11">
                  <c:v>1.4276210156046916</c:v>
                </c:pt>
                <c:pt idx="12">
                  <c:v>1.9568181624749865</c:v>
                </c:pt>
                <c:pt idx="13">
                  <c:v>2.1989383379145369</c:v>
                </c:pt>
                <c:pt idx="14">
                  <c:v>2.8458061392264149</c:v>
                </c:pt>
                <c:pt idx="15">
                  <c:v>5.6387455673759401</c:v>
                </c:pt>
                <c:pt idx="16">
                  <c:v>13.74112873729422</c:v>
                </c:pt>
                <c:pt idx="17">
                  <c:v>34.833327835451641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5D-48A1-9962-18132D07A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433728"/>
        <c:axId val="467444096"/>
      </c:barChart>
      <c:lineChart>
        <c:grouping val="standard"/>
        <c:varyColors val="0"/>
        <c:ser>
          <c:idx val="2"/>
          <c:order val="3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41.482201046704006</c:v>
                </c:pt>
                <c:pt idx="1">
                  <c:v>39.292868284527216</c:v>
                </c:pt>
                <c:pt idx="2">
                  <c:v>39.955172982558864</c:v>
                </c:pt>
                <c:pt idx="3">
                  <c:v>34.457578879124007</c:v>
                </c:pt>
                <c:pt idx="4">
                  <c:v>35.59053999092955</c:v>
                </c:pt>
                <c:pt idx="5">
                  <c:v>43.272089036718107</c:v>
                </c:pt>
                <c:pt idx="6">
                  <c:v>35.983312262958279</c:v>
                </c:pt>
                <c:pt idx="7">
                  <c:v>40.251983787602725</c:v>
                </c:pt>
                <c:pt idx="8">
                  <c:v>40.966554665288186</c:v>
                </c:pt>
                <c:pt idx="9">
                  <c:v>38.321848276874519</c:v>
                </c:pt>
                <c:pt idx="10">
                  <c:v>43.908844442170953</c:v>
                </c:pt>
                <c:pt idx="11">
                  <c:v>39.63601951304247</c:v>
                </c:pt>
                <c:pt idx="12">
                  <c:v>45.354256209484092</c:v>
                </c:pt>
                <c:pt idx="13">
                  <c:v>42.107491445560107</c:v>
                </c:pt>
                <c:pt idx="14">
                  <c:v>39.732638501839261</c:v>
                </c:pt>
                <c:pt idx="15">
                  <c:v>37.056707228213348</c:v>
                </c:pt>
                <c:pt idx="16">
                  <c:v>37.540722153702205</c:v>
                </c:pt>
                <c:pt idx="17">
                  <c:v>41.849998787231975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05D-48A1-9962-18132D07A1C6}"/>
            </c:ext>
          </c:extLst>
        </c:ser>
        <c:ser>
          <c:idx val="3"/>
          <c:order val="4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40.241475623456928</c:v>
                </c:pt>
                <c:pt idx="1">
                  <c:v>40.193883904601648</c:v>
                </c:pt>
                <c:pt idx="2">
                  <c:v>40.146348470255546</c:v>
                </c:pt>
                <c:pt idx="3">
                  <c:v>40.098869253853536</c:v>
                </c:pt>
                <c:pt idx="4">
                  <c:v>40.051446188909274</c:v>
                </c:pt>
                <c:pt idx="5">
                  <c:v>40.004079209015075</c:v>
                </c:pt>
                <c:pt idx="6">
                  <c:v>39.956768247841715</c:v>
                </c:pt>
                <c:pt idx="7">
                  <c:v>39.909513239138512</c:v>
                </c:pt>
                <c:pt idx="8">
                  <c:v>39.862314116733046</c:v>
                </c:pt>
                <c:pt idx="9">
                  <c:v>39.815170814531228</c:v>
                </c:pt>
                <c:pt idx="10">
                  <c:v>39.768083266517067</c:v>
                </c:pt>
                <c:pt idx="11">
                  <c:v>39.7210514067527</c:v>
                </c:pt>
                <c:pt idx="12">
                  <c:v>39.674075169378256</c:v>
                </c:pt>
                <c:pt idx="13">
                  <c:v>39.627154488611673</c:v>
                </c:pt>
                <c:pt idx="14">
                  <c:v>39.580289298748788</c:v>
                </c:pt>
                <c:pt idx="15">
                  <c:v>39.53347953416305</c:v>
                </c:pt>
                <c:pt idx="16">
                  <c:v>39.486725129305583</c:v>
                </c:pt>
                <c:pt idx="17">
                  <c:v>39.440026018705034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05D-48A1-9962-18132D07A1C6}"/>
            </c:ext>
          </c:extLst>
        </c:ser>
        <c:ser>
          <c:idx val="5"/>
          <c:order val="5"/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38.931023253180392</c:v>
                </c:pt>
                <c:pt idx="1">
                  <c:v>39.074897216162597</c:v>
                </c:pt>
                <c:pt idx="2">
                  <c:v>39.219302881512078</c:v>
                </c:pt>
                <c:pt idx="3">
                  <c:v>39.364242214194569</c:v>
                </c:pt>
                <c:pt idx="4">
                  <c:v>39.509717186437555</c:v>
                </c:pt>
                <c:pt idx="5">
                  <c:v>39.655729777757116</c:v>
                </c:pt>
                <c:pt idx="6">
                  <c:v>39.80228197498483</c:v>
                </c:pt>
                <c:pt idx="7">
                  <c:v>39.949375772294879</c:v>
                </c:pt>
                <c:pt idx="8">
                  <c:v>40.097013171231112</c:v>
                </c:pt>
                <c:pt idx="9">
                  <c:v>40.24519618073429</c:v>
                </c:pt>
                <c:pt idx="10">
                  <c:v>40.393926817169479</c:v>
                </c:pt>
                <c:pt idx="11">
                  <c:v>40.543207104353414</c:v>
                </c:pt>
                <c:pt idx="12">
                  <c:v>40.693039073582099</c:v>
                </c:pt>
                <c:pt idx="13">
                  <c:v>40.843424763658398</c:v>
                </c:pt>
                <c:pt idx="14">
                  <c:v>40.994366220919815</c:v>
                </c:pt>
                <c:pt idx="15">
                  <c:v>41.145865499266314</c:v>
                </c:pt>
                <c:pt idx="16">
                  <c:v>41.297924660188258</c:v>
                </c:pt>
                <c:pt idx="17">
                  <c:v>41.450545772794555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05D-48A1-9962-18132D07A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445632"/>
        <c:axId val="467447168"/>
      </c:lineChart>
      <c:catAx>
        <c:axId val="46743372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4440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7444096"/>
        <c:scaling>
          <c:orientation val="minMax"/>
          <c:max val="59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433728"/>
        <c:crosses val="autoZero"/>
        <c:crossBetween val="between"/>
      </c:valAx>
      <c:catAx>
        <c:axId val="467445632"/>
        <c:scaling>
          <c:orientation val="minMax"/>
        </c:scaling>
        <c:delete val="1"/>
        <c:axPos val="b"/>
        <c:majorTickMark val="out"/>
        <c:minorTickMark val="none"/>
        <c:tickLblPos val="none"/>
        <c:crossAx val="467447168"/>
        <c:crosses val="autoZero"/>
        <c:auto val="0"/>
        <c:lblAlgn val="ctr"/>
        <c:lblOffset val="100"/>
        <c:noMultiLvlLbl val="0"/>
      </c:catAx>
      <c:valAx>
        <c:axId val="467447168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67445632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333333333333333"/>
          <c:y val="3.560830860534128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458356645419607"/>
          <c:y val="0.14540080414387654"/>
          <c:w val="0.85833507962052424"/>
          <c:h val="0.70326511392038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6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1.4015141411028174</c:v>
                </c:pt>
                <c:pt idx="1">
                  <c:v>1.7155183724395533</c:v>
                </c:pt>
                <c:pt idx="2">
                  <c:v>1.4219479117643059</c:v>
                </c:pt>
                <c:pt idx="3">
                  <c:v>1.4512651692824383</c:v>
                </c:pt>
                <c:pt idx="4">
                  <c:v>1.8399197636534819</c:v>
                </c:pt>
                <c:pt idx="5">
                  <c:v>1.1986605185699328</c:v>
                </c:pt>
                <c:pt idx="6">
                  <c:v>1.4139758492324335</c:v>
                </c:pt>
                <c:pt idx="7">
                  <c:v>1.4863687392743334</c:v>
                </c:pt>
                <c:pt idx="8">
                  <c:v>1.334686902689693</c:v>
                </c:pt>
                <c:pt idx="9">
                  <c:v>1.5290577015542586</c:v>
                </c:pt>
                <c:pt idx="10">
                  <c:v>1.601199541960997</c:v>
                </c:pt>
                <c:pt idx="11">
                  <c:v>1.7690423956555197</c:v>
                </c:pt>
                <c:pt idx="12">
                  <c:v>1.4148367403464688</c:v>
                </c:pt>
                <c:pt idx="13">
                  <c:v>1.5836270356633217</c:v>
                </c:pt>
                <c:pt idx="14">
                  <c:v>1.488565846689297</c:v>
                </c:pt>
                <c:pt idx="15">
                  <c:v>1.3900507002934246</c:v>
                </c:pt>
                <c:pt idx="16">
                  <c:v>1.6458325953554589</c:v>
                </c:pt>
                <c:pt idx="17">
                  <c:v>1.3738519367661068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7C-4284-B4D4-64694AF2A4F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67459072"/>
        <c:axId val="467543936"/>
      </c:barChart>
      <c:catAx>
        <c:axId val="46745907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543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75439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45907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2908704883227213"/>
          <c:y val="3.16622691292876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264285812628214"/>
          <c:y val="0.13280027462697314"/>
          <c:w val="0.87054597431401193"/>
          <c:h val="0.70625087810728859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0.87909387335932276</c:v>
                </c:pt>
                <c:pt idx="3">
                  <c:v>0.93383202622570205</c:v>
                </c:pt>
                <c:pt idx="4">
                  <c:v>0.95356844093311832</c:v>
                </c:pt>
                <c:pt idx="5">
                  <c:v>0.96242769045952814</c:v>
                </c:pt>
                <c:pt idx="6">
                  <c:v>0.96929641614863582</c:v>
                </c:pt>
                <c:pt idx="7">
                  <c:v>0.97605994987273759</c:v>
                </c:pt>
                <c:pt idx="8">
                  <c:v>0.98008004829088269</c:v>
                </c:pt>
                <c:pt idx="9">
                  <c:v>0.98307841292336984</c:v>
                </c:pt>
                <c:pt idx="10">
                  <c:v>0.98622556459580313</c:v>
                </c:pt>
                <c:pt idx="11">
                  <c:v>0.98818794845553182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91-439A-B74A-05AF9DE9181E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0.87409588137181282</c:v>
                </c:pt>
                <c:pt idx="3">
                  <c:v>0.92837614609871677</c:v>
                </c:pt>
                <c:pt idx="4">
                  <c:v>0.94777800665301637</c:v>
                </c:pt>
                <c:pt idx="5">
                  <c:v>0.95685483322655829</c:v>
                </c:pt>
                <c:pt idx="6">
                  <c:v>0.96398179238062165</c:v>
                </c:pt>
                <c:pt idx="7">
                  <c:v>0.97132728101712662</c:v>
                </c:pt>
                <c:pt idx="8">
                  <c:v>0.97521571083726688</c:v>
                </c:pt>
                <c:pt idx="9">
                  <c:v>0.97861987373546322</c:v>
                </c:pt>
                <c:pt idx="10">
                  <c:v>0.98217546750704832</c:v>
                </c:pt>
                <c:pt idx="11">
                  <c:v>0.98447441318381057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91-439A-B74A-05AF9DE9181E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0.87820248963569991</c:v>
                </c:pt>
                <c:pt idx="3">
                  <c:v>0.92758925354060517</c:v>
                </c:pt>
                <c:pt idx="4">
                  <c:v>0.94524790181229301</c:v>
                </c:pt>
                <c:pt idx="5">
                  <c:v>0.95442563316371398</c:v>
                </c:pt>
                <c:pt idx="6">
                  <c:v>0.96266732516683329</c:v>
                </c:pt>
                <c:pt idx="7">
                  <c:v>0.96975398823719716</c:v>
                </c:pt>
                <c:pt idx="8">
                  <c:v>0.97457072439158232</c:v>
                </c:pt>
                <c:pt idx="9">
                  <c:v>0.97812221495946883</c:v>
                </c:pt>
                <c:pt idx="10">
                  <c:v>0.98158971719507759</c:v>
                </c:pt>
                <c:pt idx="11">
                  <c:v>0.98418334317359979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91-439A-B74A-05AF9DE9181E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0.80586142120701187</c:v>
                </c:pt>
                <c:pt idx="3">
                  <c:v>0.87266317835254281</c:v>
                </c:pt>
                <c:pt idx="4">
                  <c:v>0.90617230927349479</c:v>
                </c:pt>
                <c:pt idx="5">
                  <c:v>0.92793683044965436</c:v>
                </c:pt>
                <c:pt idx="6">
                  <c:v>0.94297653417538729</c:v>
                </c:pt>
                <c:pt idx="7">
                  <c:v>0.95481421391443222</c:v>
                </c:pt>
                <c:pt idx="8">
                  <c:v>0.96180874690162388</c:v>
                </c:pt>
                <c:pt idx="9">
                  <c:v>0.9678020710325459</c:v>
                </c:pt>
                <c:pt idx="10">
                  <c:v>0.97264985576250418</c:v>
                </c:pt>
                <c:pt idx="11">
                  <c:v>0.9777568238372073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91-439A-B74A-05AF9DE9181E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0.88166185284618559</c:v>
                </c:pt>
                <c:pt idx="3">
                  <c:v>0.93111555708440763</c:v>
                </c:pt>
                <c:pt idx="4">
                  <c:v>0.94856143575069685</c:v>
                </c:pt>
                <c:pt idx="5">
                  <c:v>0.95780885209330213</c:v>
                </c:pt>
                <c:pt idx="6">
                  <c:v>0.96587441371815064</c:v>
                </c:pt>
                <c:pt idx="7">
                  <c:v>0.97273756151259516</c:v>
                </c:pt>
                <c:pt idx="8">
                  <c:v>0.97737831187969959</c:v>
                </c:pt>
                <c:pt idx="9">
                  <c:v>0.98089684997822646</c:v>
                </c:pt>
                <c:pt idx="10">
                  <c:v>0.98432951543940195</c:v>
                </c:pt>
                <c:pt idx="11">
                  <c:v>0.98677567309757686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D91-439A-B74A-05AF9DE91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392192"/>
        <c:axId val="468398848"/>
      </c:lineChart>
      <c:catAx>
        <c:axId val="4683921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2980873814235308"/>
              <c:y val="0.71152782709020679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398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398848"/>
        <c:scaling>
          <c:orientation val="minMax"/>
          <c:max val="1.05"/>
          <c:min val="0.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535625592975024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392192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2738853503184714E-2"/>
          <c:y val="0.92612248007257669"/>
          <c:w val="0.96178544560910872"/>
          <c:h val="6.596306068601587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974789915966444"/>
          <c:y val="3.174603174603174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25210084033634"/>
          <c:y val="0.12962996452847153"/>
          <c:w val="0.83823529411764708"/>
          <c:h val="0.73545163548806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107101</c:v>
                </c:pt>
                <c:pt idx="1">
                  <c:v>107146</c:v>
                </c:pt>
                <c:pt idx="2">
                  <c:v>107140</c:v>
                </c:pt>
                <c:pt idx="3">
                  <c:v>107241</c:v>
                </c:pt>
                <c:pt idx="4">
                  <c:v>107513</c:v>
                </c:pt>
                <c:pt idx="5">
                  <c:v>107756</c:v>
                </c:pt>
                <c:pt idx="6">
                  <c:v>107747</c:v>
                </c:pt>
                <c:pt idx="7">
                  <c:v>108297</c:v>
                </c:pt>
                <c:pt idx="8">
                  <c:v>110175</c:v>
                </c:pt>
                <c:pt idx="9">
                  <c:v>129231</c:v>
                </c:pt>
                <c:pt idx="10">
                  <c:v>132944</c:v>
                </c:pt>
                <c:pt idx="11">
                  <c:v>131999</c:v>
                </c:pt>
                <c:pt idx="12">
                  <c:v>132272</c:v>
                </c:pt>
                <c:pt idx="13">
                  <c:v>132389</c:v>
                </c:pt>
                <c:pt idx="14">
                  <c:v>131777</c:v>
                </c:pt>
                <c:pt idx="15">
                  <c:v>131723</c:v>
                </c:pt>
                <c:pt idx="16">
                  <c:v>130970</c:v>
                </c:pt>
                <c:pt idx="17">
                  <c:v>129309</c:v>
                </c:pt>
                <c:pt idx="18">
                  <c:v>128887</c:v>
                </c:pt>
                <c:pt idx="19">
                  <c:v>128447</c:v>
                </c:pt>
                <c:pt idx="20">
                  <c:v>128156</c:v>
                </c:pt>
                <c:pt idx="21">
                  <c:v>134089</c:v>
                </c:pt>
                <c:pt idx="22">
                  <c:v>135481</c:v>
                </c:pt>
                <c:pt idx="23">
                  <c:v>134844</c:v>
                </c:pt>
                <c:pt idx="24">
                  <c:v>134470</c:v>
                </c:pt>
                <c:pt idx="25">
                  <c:v>134465</c:v>
                </c:pt>
                <c:pt idx="26">
                  <c:v>135415</c:v>
                </c:pt>
                <c:pt idx="27">
                  <c:v>136235</c:v>
                </c:pt>
                <c:pt idx="28">
                  <c:v>136843</c:v>
                </c:pt>
                <c:pt idx="29">
                  <c:v>138164</c:v>
                </c:pt>
                <c:pt idx="30">
                  <c:v>140994</c:v>
                </c:pt>
                <c:pt idx="31">
                  <c:v>142616</c:v>
                </c:pt>
                <c:pt idx="32">
                  <c:v>143536</c:v>
                </c:pt>
                <c:pt idx="33">
                  <c:v>164688</c:v>
                </c:pt>
                <c:pt idx="34">
                  <c:v>164591</c:v>
                </c:pt>
                <c:pt idx="35">
                  <c:v>164912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25-4345-A9A3-C5763791A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8432000"/>
        <c:axId val="468433536"/>
      </c:barChart>
      <c:catAx>
        <c:axId val="46843200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43353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8433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432000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Quarterly Completion Patterns By Quarter</a:t>
            </a:r>
          </a:p>
        </c:rich>
      </c:tx>
      <c:layout>
        <c:manualLayout>
          <c:xMode val="edge"/>
          <c:yMode val="edge"/>
          <c:x val="0.21019108280254795"/>
          <c:y val="3.25000000000000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03418597852404"/>
          <c:y val="0.13000015869159998"/>
          <c:w val="0.88747530079638737"/>
          <c:h val="0.74500090942493824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0.87909387335932276</c:v>
                </c:pt>
                <c:pt idx="3">
                  <c:v>0.93383202622570205</c:v>
                </c:pt>
                <c:pt idx="4">
                  <c:v>0.95356844093311832</c:v>
                </c:pt>
                <c:pt idx="5">
                  <c:v>0.96242769045952814</c:v>
                </c:pt>
                <c:pt idx="6">
                  <c:v>0.96929641614863582</c:v>
                </c:pt>
                <c:pt idx="7">
                  <c:v>0.97605994987273759</c:v>
                </c:pt>
                <c:pt idx="8">
                  <c:v>0.98008004829088269</c:v>
                </c:pt>
                <c:pt idx="9">
                  <c:v>0.98307841292336984</c:v>
                </c:pt>
                <c:pt idx="10">
                  <c:v>0.98622556459580313</c:v>
                </c:pt>
                <c:pt idx="11">
                  <c:v>0.98818794845553182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FB-4A77-8034-AFA448151EBF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0.86875338352933695</c:v>
                </c:pt>
                <c:pt idx="3">
                  <c:v>0.92255614800264008</c:v>
                </c:pt>
                <c:pt idx="4">
                  <c:v>0.9416186084663587</c:v>
                </c:pt>
                <c:pt idx="5">
                  <c:v>0.95090620999990549</c:v>
                </c:pt>
                <c:pt idx="6">
                  <c:v>0.95833573469404598</c:v>
                </c:pt>
                <c:pt idx="7">
                  <c:v>0.96625439954803349</c:v>
                </c:pt>
                <c:pt idx="8">
                  <c:v>0.97001095691100037</c:v>
                </c:pt>
                <c:pt idx="9">
                  <c:v>0.9738157463321464</c:v>
                </c:pt>
                <c:pt idx="10">
                  <c:v>0.97777488796092704</c:v>
                </c:pt>
                <c:pt idx="11">
                  <c:v>0.9804069105563129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FB-4A77-8034-AFA448151EBF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2700">
              <a:solidFill>
                <a:srgbClr val="339966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0.86488471486644092</c:v>
                </c:pt>
                <c:pt idx="3">
                  <c:v>0.91416991165877703</c:v>
                </c:pt>
                <c:pt idx="4">
                  <c:v>0.93170174839347986</c:v>
                </c:pt>
                <c:pt idx="5">
                  <c:v>0.94314793438162448</c:v>
                </c:pt>
                <c:pt idx="6">
                  <c:v>0.95469838900122361</c:v>
                </c:pt>
                <c:pt idx="7">
                  <c:v>0.96276399676956825</c:v>
                </c:pt>
                <c:pt idx="8">
                  <c:v>0.96913770815091638</c:v>
                </c:pt>
                <c:pt idx="9">
                  <c:v>0.97297240486699776</c:v>
                </c:pt>
                <c:pt idx="10">
                  <c:v>0.9760973922461742</c:v>
                </c:pt>
                <c:pt idx="11">
                  <c:v>0.98018527609956596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FB-4A77-8034-AFA448151EBF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0.89659371220203343</c:v>
                </c:pt>
                <c:pt idx="3">
                  <c:v>0.93601863084926606</c:v>
                </c:pt>
                <c:pt idx="4">
                  <c:v>0.95024108913962546</c:v>
                </c:pt>
                <c:pt idx="5">
                  <c:v>0.95733827020665985</c:v>
                </c:pt>
                <c:pt idx="6">
                  <c:v>0.96460102768475775</c:v>
                </c:pt>
                <c:pt idx="7">
                  <c:v>0.9701586495113439</c:v>
                </c:pt>
                <c:pt idx="8">
                  <c:v>0.97524796952374337</c:v>
                </c:pt>
                <c:pt idx="9">
                  <c:v>0.9790687381057005</c:v>
                </c:pt>
                <c:pt idx="10">
                  <c:v>0.98317176365525227</c:v>
                </c:pt>
                <c:pt idx="11">
                  <c:v>0.98550117594572217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FB-4A77-8034-AFA448151E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079936"/>
        <c:axId val="469090688"/>
      </c:lineChart>
      <c:catAx>
        <c:axId val="4690799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61358944781583835"/>
              <c:y val="0.7550010498687667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090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9090688"/>
        <c:scaling>
          <c:orientation val="minMax"/>
          <c:max val="1.100000000000000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825005249343835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079936"/>
        <c:crosses val="autoZero"/>
        <c:crossBetween val="between"/>
        <c:majorUnit val="0.1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3779237786359525"/>
          <c:y val="0.95000104986876632"/>
          <c:w val="0.60085059431265353"/>
          <c:h val="4.250000000000000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Trend Study on Actual PMPMs
Rolling Average Trends vs. Least Square Trend</a:t>
            </a:r>
          </a:p>
        </c:rich>
      </c:tx>
      <c:layout>
        <c:manualLayout>
          <c:xMode val="edge"/>
          <c:yMode val="edge"/>
          <c:x val="0.25576519916142559"/>
          <c:y val="3.57142857142857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159354034316949"/>
          <c:y val="0.18452434583201358"/>
          <c:w val="0.82809393854399826"/>
          <c:h val="0.55357303749603992"/>
        </c:manualLayout>
      </c:layout>
      <c:lineChart>
        <c:grouping val="standard"/>
        <c:varyColors val="0"/>
        <c:ser>
          <c:idx val="0"/>
          <c:order val="0"/>
          <c:tx>
            <c:v>3 Mo Roll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Trends!$E$62:$E$83</c:f>
              <c:numCache>
                <c:formatCode>0.0%</c:formatCode>
                <c:ptCount val="22"/>
                <c:pt idx="0">
                  <c:v>4.3276712875373269E-2</c:v>
                </c:pt>
                <c:pt idx="1">
                  <c:v>7.4442625310535693E-3</c:v>
                </c:pt>
                <c:pt idx="2">
                  <c:v>-3.8228917618885694E-2</c:v>
                </c:pt>
                <c:pt idx="3">
                  <c:v>-8.1109676981162004E-2</c:v>
                </c:pt>
                <c:pt idx="4">
                  <c:v>-0.10359989284557736</c:v>
                </c:pt>
                <c:pt idx="5">
                  <c:v>-0.1383893561055658</c:v>
                </c:pt>
                <c:pt idx="6">
                  <c:v>-0.16053185151553429</c:v>
                </c:pt>
                <c:pt idx="7">
                  <c:v>-0.11847523162027418</c:v>
                </c:pt>
                <c:pt idx="8">
                  <c:v>-2.5918086730485346E-2</c:v>
                </c:pt>
                <c:pt idx="9">
                  <c:v>0.10010809101590157</c:v>
                </c:pt>
                <c:pt idx="10">
                  <c:v>6.6597792416548174E-2</c:v>
                </c:pt>
                <c:pt idx="11">
                  <c:v>3.2676003472606796E-2</c:v>
                </c:pt>
                <c:pt idx="12">
                  <c:v>9.777316695672722E-3</c:v>
                </c:pt>
                <c:pt idx="13">
                  <c:v>2.5266682435893362E-2</c:v>
                </c:pt>
                <c:pt idx="14">
                  <c:v>9.0956922841671783E-3</c:v>
                </c:pt>
                <c:pt idx="15">
                  <c:v>-1.3118994562174024E-2</c:v>
                </c:pt>
                <c:pt idx="16">
                  <c:v>1.5091726050895815E-2</c:v>
                </c:pt>
                <c:pt idx="17">
                  <c:v>4.5536470644615301E-2</c:v>
                </c:pt>
                <c:pt idx="18">
                  <c:v>5.3542043146839857E-2</c:v>
                </c:pt>
                <c:pt idx="19">
                  <c:v>4.5654885156313441E-2</c:v>
                </c:pt>
                <c:pt idx="20">
                  <c:v>3.9333150474620604E-2</c:v>
                </c:pt>
                <c:pt idx="21">
                  <c:v>2.7596315962892026E-2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73-406E-BF7D-0E07A316532B}"/>
            </c:ext>
          </c:extLst>
        </c:ser>
        <c:ser>
          <c:idx val="1"/>
          <c:order val="1"/>
          <c:tx>
            <c:v>6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Trends!$F$62:$F$83</c:f>
              <c:numCache>
                <c:formatCode>0.0%</c:formatCode>
                <c:ptCount val="22"/>
                <c:pt idx="3">
                  <c:v>-2.477386655819136E-2</c:v>
                </c:pt>
                <c:pt idx="4">
                  <c:v>-5.367025561163985E-2</c:v>
                </c:pt>
                <c:pt idx="5">
                  <c:v>-9.0952599397425393E-2</c:v>
                </c:pt>
                <c:pt idx="6">
                  <c:v>-0.12216691393077372</c:v>
                </c:pt>
                <c:pt idx="7">
                  <c:v>-0.11068934539176767</c:v>
                </c:pt>
                <c:pt idx="8">
                  <c:v>-8.8387255455566027E-2</c:v>
                </c:pt>
                <c:pt idx="9">
                  <c:v>-5.1758516305738356E-2</c:v>
                </c:pt>
                <c:pt idx="10">
                  <c:v>-3.4272007733281096E-2</c:v>
                </c:pt>
                <c:pt idx="11">
                  <c:v>3.7371628781914801E-3</c:v>
                </c:pt>
                <c:pt idx="12">
                  <c:v>5.2250456830420511E-2</c:v>
                </c:pt>
                <c:pt idx="13">
                  <c:v>4.5110348628492059E-2</c:v>
                </c:pt>
                <c:pt idx="14">
                  <c:v>2.0570492487188341E-2</c:v>
                </c:pt>
                <c:pt idx="15">
                  <c:v>-2.0254230760268221E-3</c:v>
                </c:pt>
                <c:pt idx="16">
                  <c:v>1.9962228869046861E-2</c:v>
                </c:pt>
                <c:pt idx="17">
                  <c:v>2.7276856263154903E-2</c:v>
                </c:pt>
                <c:pt idx="18">
                  <c:v>1.9835320719978844E-2</c:v>
                </c:pt>
                <c:pt idx="19">
                  <c:v>2.9530326568855347E-2</c:v>
                </c:pt>
                <c:pt idx="20">
                  <c:v>4.2589634816276867E-2</c:v>
                </c:pt>
                <c:pt idx="21">
                  <c:v>4.097990025838727E-2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73-406E-BF7D-0E07A316532B}"/>
            </c:ext>
          </c:extLst>
        </c:ser>
        <c:ser>
          <c:idx val="2"/>
          <c:order val="2"/>
          <c:tx>
            <c:v>12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Trends!$G$62:$G$83</c:f>
              <c:numCache>
                <c:formatCode>0.0%</c:formatCode>
                <c:ptCount val="22"/>
                <c:pt idx="9">
                  <c:v>-3.8298701164099502E-2</c:v>
                </c:pt>
                <c:pt idx="10">
                  <c:v>-4.4378076824705626E-2</c:v>
                </c:pt>
                <c:pt idx="11">
                  <c:v>-4.7360609664821807E-2</c:v>
                </c:pt>
                <c:pt idx="12">
                  <c:v>-4.532778323630593E-2</c:v>
                </c:pt>
                <c:pt idx="13">
                  <c:v>-4.0089177916272756E-2</c:v>
                </c:pt>
                <c:pt idx="14">
                  <c:v>-3.5703342593939258E-2</c:v>
                </c:pt>
                <c:pt idx="15">
                  <c:v>-2.7263757888178586E-2</c:v>
                </c:pt>
                <c:pt idx="16">
                  <c:v>-6.7644450424725333E-3</c:v>
                </c:pt>
                <c:pt idx="17">
                  <c:v>1.5880632265681038E-2</c:v>
                </c:pt>
                <c:pt idx="18">
                  <c:v>3.5163344972331201E-2</c:v>
                </c:pt>
                <c:pt idx="19">
                  <c:v>3.7045251586962369E-2</c:v>
                </c:pt>
                <c:pt idx="20">
                  <c:v>3.1433532351111682E-2</c:v>
                </c:pt>
                <c:pt idx="21">
                  <c:v>1.9227376322711542E-2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73-406E-BF7D-0E07A316532B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Trends!$H$62:$H$83</c:f>
              <c:numCache>
                <c:formatCode>0.0%</c:formatCode>
                <c:ptCount val="22"/>
                <c:pt idx="0">
                  <c:v>-2.0919267130664165E-2</c:v>
                </c:pt>
                <c:pt idx="1">
                  <c:v>-2.0919267130664165E-2</c:v>
                </c:pt>
                <c:pt idx="2">
                  <c:v>-2.0919267130664165E-2</c:v>
                </c:pt>
                <c:pt idx="3">
                  <c:v>-2.0919267130664165E-2</c:v>
                </c:pt>
                <c:pt idx="4">
                  <c:v>-2.0919267130664165E-2</c:v>
                </c:pt>
                <c:pt idx="5">
                  <c:v>-2.0919267130664165E-2</c:v>
                </c:pt>
                <c:pt idx="6">
                  <c:v>-2.0919267130664165E-2</c:v>
                </c:pt>
                <c:pt idx="7">
                  <c:v>-2.0919267130664165E-2</c:v>
                </c:pt>
                <c:pt idx="8">
                  <c:v>-2.0919267130664165E-2</c:v>
                </c:pt>
                <c:pt idx="9">
                  <c:v>-2.0919267130664165E-2</c:v>
                </c:pt>
                <c:pt idx="10">
                  <c:v>-2.0919267130664165E-2</c:v>
                </c:pt>
                <c:pt idx="11">
                  <c:v>-2.0919267130664165E-2</c:v>
                </c:pt>
                <c:pt idx="12">
                  <c:v>-2.0919267130664165E-2</c:v>
                </c:pt>
                <c:pt idx="13">
                  <c:v>-2.0919267130664165E-2</c:v>
                </c:pt>
                <c:pt idx="14">
                  <c:v>-2.0919267130664165E-2</c:v>
                </c:pt>
                <c:pt idx="15">
                  <c:v>-2.0919267130664165E-2</c:v>
                </c:pt>
                <c:pt idx="16">
                  <c:v>-2.0919267130664165E-2</c:v>
                </c:pt>
                <c:pt idx="17">
                  <c:v>-2.0919267130664165E-2</c:v>
                </c:pt>
                <c:pt idx="18">
                  <c:v>-2.0919267130664165E-2</c:v>
                </c:pt>
                <c:pt idx="19">
                  <c:v>-2.0919267130664165E-2</c:v>
                </c:pt>
                <c:pt idx="20">
                  <c:v>-2.0919267130664165E-2</c:v>
                </c:pt>
                <c:pt idx="21">
                  <c:v>-2.0919267130664165E-2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73-406E-BF7D-0E07A3165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147008"/>
        <c:axId val="469149184"/>
      </c:lineChart>
      <c:dateAx>
        <c:axId val="4691470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149184"/>
        <c:crossesAt val="-5.9999998658895534E-2"/>
        <c:auto val="1"/>
        <c:lblOffset val="100"/>
        <c:baseTimeUnit val="months"/>
        <c:majorUnit val="2"/>
        <c:majorTimeUnit val="months"/>
        <c:minorUnit val="1"/>
        <c:minorTimeUnit val="months"/>
      </c:dateAx>
      <c:valAx>
        <c:axId val="4691491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147008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0796645702306154E-2"/>
          <c:y val="0.92559523809523814"/>
          <c:w val="0.86373165618448844"/>
          <c:h val="6.54761904761904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0506329113924117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181457635848571"/>
          <c:y val="0.10638311687468427"/>
          <c:w val="0.84810301313417613"/>
          <c:h val="0.70212857137291618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35.869891317541402</c:v>
                </c:pt>
                <c:pt idx="1">
                  <c:v>36.591966235234068</c:v>
                </c:pt>
                <c:pt idx="2">
                  <c:v>38.790531392615186</c:v>
                </c:pt>
                <c:pt idx="3">
                  <c:v>40.350388620093234</c:v>
                </c:pt>
                <c:pt idx="4">
                  <c:v>47.798624963803547</c:v>
                </c:pt>
                <c:pt idx="5">
                  <c:v>46.237790728679677</c:v>
                </c:pt>
                <c:pt idx="6">
                  <c:v>47.622125569631088</c:v>
                </c:pt>
                <c:pt idx="7">
                  <c:v>47.227304643709218</c:v>
                </c:pt>
                <c:pt idx="8">
                  <c:v>48.96810775013158</c:v>
                </c:pt>
                <c:pt idx="9">
                  <c:v>32.792024176098245</c:v>
                </c:pt>
                <c:pt idx="10">
                  <c:v>31.17009535145916</c:v>
                </c:pt>
                <c:pt idx="11">
                  <c:v>39.046129236548509</c:v>
                </c:pt>
                <c:pt idx="12">
                  <c:v>37.458797906089245</c:v>
                </c:pt>
                <c:pt idx="13">
                  <c:v>39.220997237718201</c:v>
                </c:pt>
                <c:pt idx="14">
                  <c:v>39.387231494672243</c:v>
                </c:pt>
                <c:pt idx="15">
                  <c:v>37.986203504258292</c:v>
                </c:pt>
                <c:pt idx="16">
                  <c:v>44.71334857009554</c:v>
                </c:pt>
                <c:pt idx="17">
                  <c:v>40.787181949898923</c:v>
                </c:pt>
                <c:pt idx="18">
                  <c:v>41.482201046704006</c:v>
                </c:pt>
                <c:pt idx="19">
                  <c:v>39.292868284527216</c:v>
                </c:pt>
                <c:pt idx="20">
                  <c:v>39.955172982558864</c:v>
                </c:pt>
                <c:pt idx="21">
                  <c:v>34.457578879124007</c:v>
                </c:pt>
                <c:pt idx="22">
                  <c:v>35.59053999092955</c:v>
                </c:pt>
                <c:pt idx="23">
                  <c:v>43.272089036718107</c:v>
                </c:pt>
                <c:pt idx="24">
                  <c:v>35.983312262958279</c:v>
                </c:pt>
                <c:pt idx="25">
                  <c:v>40.251983787602725</c:v>
                </c:pt>
                <c:pt idx="26">
                  <c:v>40.966554665288186</c:v>
                </c:pt>
                <c:pt idx="27">
                  <c:v>38.321848276874519</c:v>
                </c:pt>
                <c:pt idx="28">
                  <c:v>43.908844442170953</c:v>
                </c:pt>
                <c:pt idx="29">
                  <c:v>39.63601951304247</c:v>
                </c:pt>
                <c:pt idx="30">
                  <c:v>45.354256209484092</c:v>
                </c:pt>
                <c:pt idx="31">
                  <c:v>42.107491445560107</c:v>
                </c:pt>
                <c:pt idx="32">
                  <c:v>39.732638501839261</c:v>
                </c:pt>
                <c:pt idx="33">
                  <c:v>37.056707228213348</c:v>
                </c:pt>
                <c:pt idx="34">
                  <c:v>37.540722153702205</c:v>
                </c:pt>
                <c:pt idx="35">
                  <c:v>41.849998787231975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E4-4ABA-97C4-43F43B6407C1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41.059211258767021</c:v>
                </c:pt>
                <c:pt idx="2">
                  <c:v>41.010652442064291</c:v>
                </c:pt>
                <c:pt idx="3">
                  <c:v>40.962151053612324</c:v>
                </c:pt>
                <c:pt idx="4">
                  <c:v>40.913707025493366</c:v>
                </c:pt>
                <c:pt idx="5">
                  <c:v>40.865320289870041</c:v>
                </c:pt>
                <c:pt idx="6">
                  <c:v>40.816990778985208</c:v>
                </c:pt>
                <c:pt idx="7">
                  <c:v>40.768718425161786</c:v>
                </c:pt>
                <c:pt idx="8">
                  <c:v>40.720503160802821</c:v>
                </c:pt>
                <c:pt idx="9">
                  <c:v>40.672344918391232</c:v>
                </c:pt>
                <c:pt idx="10">
                  <c:v>40.62424363048985</c:v>
                </c:pt>
                <c:pt idx="11">
                  <c:v>40.576199229741192</c:v>
                </c:pt>
                <c:pt idx="12">
                  <c:v>40.52821164886749</c:v>
                </c:pt>
                <c:pt idx="13">
                  <c:v>40.480280820670544</c:v>
                </c:pt>
                <c:pt idx="14">
                  <c:v>40.432406678031569</c:v>
                </c:pt>
                <c:pt idx="15">
                  <c:v>40.384589153911236</c:v>
                </c:pt>
                <c:pt idx="16">
                  <c:v>40.336828181349418</c:v>
                </c:pt>
                <c:pt idx="17">
                  <c:v>40.289123693465243</c:v>
                </c:pt>
                <c:pt idx="18">
                  <c:v>40.241475623456928</c:v>
                </c:pt>
                <c:pt idx="19">
                  <c:v>40.193883904601648</c:v>
                </c:pt>
                <c:pt idx="20">
                  <c:v>40.146348470255546</c:v>
                </c:pt>
                <c:pt idx="21">
                  <c:v>40.098869253853536</c:v>
                </c:pt>
                <c:pt idx="22">
                  <c:v>40.051446188909274</c:v>
                </c:pt>
                <c:pt idx="23">
                  <c:v>40.004079209015075</c:v>
                </c:pt>
                <c:pt idx="24">
                  <c:v>39.956768247841715</c:v>
                </c:pt>
                <c:pt idx="25">
                  <c:v>39.909513239138512</c:v>
                </c:pt>
                <c:pt idx="26">
                  <c:v>39.862314116733046</c:v>
                </c:pt>
                <c:pt idx="27">
                  <c:v>39.815170814531228</c:v>
                </c:pt>
                <c:pt idx="28">
                  <c:v>39.768083266517067</c:v>
                </c:pt>
                <c:pt idx="29">
                  <c:v>39.7210514067527</c:v>
                </c:pt>
                <c:pt idx="30">
                  <c:v>39.674075169378256</c:v>
                </c:pt>
                <c:pt idx="31">
                  <c:v>39.627154488611673</c:v>
                </c:pt>
                <c:pt idx="32">
                  <c:v>39.580289298748788</c:v>
                </c:pt>
                <c:pt idx="33">
                  <c:v>39.53347953416305</c:v>
                </c:pt>
                <c:pt idx="34">
                  <c:v>39.486725129305583</c:v>
                </c:pt>
                <c:pt idx="35">
                  <c:v>39.440026018705034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E4-4ABA-97C4-43F43B6407C1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37.798939413948808</c:v>
                </c:pt>
                <c:pt idx="11">
                  <c:v>37.93862963412726</c:v>
                </c:pt>
                <c:pt idx="12">
                  <c:v>38.078836095182204</c:v>
                </c:pt>
                <c:pt idx="13">
                  <c:v>38.219560704939695</c:v>
                </c:pt>
                <c:pt idx="14">
                  <c:v>38.360805378276368</c:v>
                </c:pt>
                <c:pt idx="15">
                  <c:v>38.502572037145548</c:v>
                </c:pt>
                <c:pt idx="16">
                  <c:v>38.644862610603298</c:v>
                </c:pt>
                <c:pt idx="17">
                  <c:v>38.787679034834738</c:v>
                </c:pt>
                <c:pt idx="18">
                  <c:v>38.931023253180392</c:v>
                </c:pt>
                <c:pt idx="19">
                  <c:v>39.074897216162597</c:v>
                </c:pt>
                <c:pt idx="20">
                  <c:v>39.219302881512078</c:v>
                </c:pt>
                <c:pt idx="21">
                  <c:v>39.364242214194569</c:v>
                </c:pt>
                <c:pt idx="22">
                  <c:v>39.509717186437555</c:v>
                </c:pt>
                <c:pt idx="23">
                  <c:v>39.655729777757116</c:v>
                </c:pt>
                <c:pt idx="24">
                  <c:v>39.80228197498483</c:v>
                </c:pt>
                <c:pt idx="25">
                  <c:v>39.949375772294879</c:v>
                </c:pt>
                <c:pt idx="26">
                  <c:v>40.097013171231112</c:v>
                </c:pt>
                <c:pt idx="27">
                  <c:v>40.24519618073429</c:v>
                </c:pt>
                <c:pt idx="28">
                  <c:v>40.393926817169479</c:v>
                </c:pt>
                <c:pt idx="29">
                  <c:v>40.543207104353414</c:v>
                </c:pt>
                <c:pt idx="30">
                  <c:v>40.693039073582099</c:v>
                </c:pt>
                <c:pt idx="31">
                  <c:v>40.843424763658398</c:v>
                </c:pt>
                <c:pt idx="32">
                  <c:v>40.994366220919815</c:v>
                </c:pt>
                <c:pt idx="33">
                  <c:v>41.145865499266314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BE4-4ABA-97C4-43F43B6407C1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39.577895374722281</c:v>
                </c:pt>
                <c:pt idx="17">
                  <c:v>39.627826292020565</c:v>
                </c:pt>
                <c:pt idx="18">
                  <c:v>39.677820201463291</c:v>
                </c:pt>
                <c:pt idx="19">
                  <c:v>39.727877182520444</c:v>
                </c:pt>
                <c:pt idx="20">
                  <c:v>39.777997314762338</c:v>
                </c:pt>
                <c:pt idx="21">
                  <c:v>39.828180677859585</c:v>
                </c:pt>
                <c:pt idx="22">
                  <c:v>39.878427351583355</c:v>
                </c:pt>
                <c:pt idx="23">
                  <c:v>39.928737415805429</c:v>
                </c:pt>
                <c:pt idx="24">
                  <c:v>39.979110950498402</c:v>
                </c:pt>
                <c:pt idx="25">
                  <c:v>40.029548035735708</c:v>
                </c:pt>
                <c:pt idx="26">
                  <c:v>40.080048751691812</c:v>
                </c:pt>
                <c:pt idx="27">
                  <c:v>40.130613178642363</c:v>
                </c:pt>
                <c:pt idx="28">
                  <c:v>40.181241396964246</c:v>
                </c:pt>
                <c:pt idx="29">
                  <c:v>40.231933487135763</c:v>
                </c:pt>
                <c:pt idx="30">
                  <c:v>40.282689529736714</c:v>
                </c:pt>
                <c:pt idx="31">
                  <c:v>40.333509605448626</c:v>
                </c:pt>
                <c:pt idx="32">
                  <c:v>40.384393795054763</c:v>
                </c:pt>
                <c:pt idx="33">
                  <c:v>40.435342179440305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BE4-4ABA-97C4-43F43B6407C1}"/>
            </c:ext>
          </c:extLst>
        </c:ser>
        <c:ser>
          <c:idx val="4"/>
          <c:order val="4"/>
          <c:tx>
            <c:strRef>
              <c:f>Charts!$AP$5</c:f>
              <c:strCache>
                <c:ptCount val="1"/>
                <c:pt idx="0">
                  <c:v>Lst Sq-12 Mo</c:v>
                </c:pt>
              </c:strCache>
            </c:strRef>
          </c:tx>
          <c:spPr>
            <a:ln w="12700">
              <a:solidFill>
                <a:schemeClr val="tx1"/>
              </a:solidFill>
              <a:prstDash val="sysDot"/>
            </a:ln>
          </c:spPr>
          <c:marker>
            <c:spPr>
              <a:ln>
                <a:solidFill>
                  <a:schemeClr val="tx1"/>
                </a:solidFill>
              </a:ln>
            </c:spPr>
          </c:marker>
          <c:val>
            <c:numRef>
              <c:f>Charts!$AX$9:$AX$44</c:f>
              <c:numCache>
                <c:formatCode>"$"#,##0.00</c:formatCode>
                <c:ptCount val="36"/>
                <c:pt idx="22">
                  <c:v>39.01297329838463</c:v>
                </c:pt>
                <c:pt idx="23">
                  <c:v>39.213531703317308</c:v>
                </c:pt>
                <c:pt idx="24">
                  <c:v>39.415121141529113</c:v>
                </c:pt>
                <c:pt idx="25">
                  <c:v>39.61774691336948</c:v>
                </c:pt>
                <c:pt idx="26">
                  <c:v>39.82141434643593</c:v>
                </c:pt>
                <c:pt idx="27">
                  <c:v>40.026128795714122</c:v>
                </c:pt>
                <c:pt idx="28">
                  <c:v>40.231895643718758</c:v>
                </c:pt>
                <c:pt idx="29">
                  <c:v>40.438720300635033</c:v>
                </c:pt>
                <c:pt idx="30">
                  <c:v>40.64660820446084</c:v>
                </c:pt>
                <c:pt idx="31">
                  <c:v>40.855564821149862</c:v>
                </c:pt>
                <c:pt idx="32">
                  <c:v>41.065595644755213</c:v>
                </c:pt>
                <c:pt idx="33">
                  <c:v>41.27670619757388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6C-4811-9AB2-4CA1FE9B5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187584"/>
        <c:axId val="469206144"/>
      </c:lineChart>
      <c:catAx>
        <c:axId val="4691875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20614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9206144"/>
        <c:scaling>
          <c:orientation val="minMax"/>
          <c:max val="59"/>
          <c:min val="2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187584"/>
        <c:crosses val="autoZero"/>
        <c:crossBetween val="midCat"/>
      </c:valAx>
      <c:spPr>
        <a:solidFill>
          <a:srgbClr val="FFFFFF"/>
        </a:solidFill>
        <a:ln w="12700">
          <a:solidFill>
            <a:schemeClr val="tx1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0478559754933235"/>
          <c:y val="0.93351063829787262"/>
          <c:w val="0.85689130825268711"/>
          <c:h val="6.64894439215506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  <c:userShapes r:id="rId1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4460887949260105"/>
          <c:y val="3.59281437125748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107822410147993"/>
          <c:y val="0.13173671953464097"/>
          <c:w val="0.80761099365750599"/>
          <c:h val="0.70359384296910565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0.24959915512441702</c:v>
                </c:pt>
                <c:pt idx="1">
                  <c:v>0.27418952986562312</c:v>
                </c:pt>
                <c:pt idx="2">
                  <c:v>0.30109826112542049</c:v>
                </c:pt>
                <c:pt idx="3">
                  <c:v>0.31269346719620922</c:v>
                </c:pt>
                <c:pt idx="4">
                  <c:v>0.37036911826113594</c:v>
                </c:pt>
                <c:pt idx="5">
                  <c:v>0.54371439639319596</c:v>
                </c:pt>
                <c:pt idx="6">
                  <c:v>0.55866066780702617</c:v>
                </c:pt>
                <c:pt idx="7">
                  <c:v>0.71747213029414691</c:v>
                </c:pt>
                <c:pt idx="8">
                  <c:v>0.87586825684018188</c:v>
                </c:pt>
                <c:pt idx="9">
                  <c:v>0.94977751679092437</c:v>
                </c:pt>
                <c:pt idx="10">
                  <c:v>1.2589881104624836</c:v>
                </c:pt>
                <c:pt idx="11">
                  <c:v>1.4276210156046916</c:v>
                </c:pt>
                <c:pt idx="12">
                  <c:v>1.9568181624749865</c:v>
                </c:pt>
                <c:pt idx="13">
                  <c:v>2.1989383379145369</c:v>
                </c:pt>
                <c:pt idx="14">
                  <c:v>2.8458061392264149</c:v>
                </c:pt>
                <c:pt idx="15">
                  <c:v>5.6387455673759401</c:v>
                </c:pt>
                <c:pt idx="16">
                  <c:v>13.74112873729422</c:v>
                </c:pt>
                <c:pt idx="17">
                  <c:v>34.833327835451641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5A-4591-A873-62E40D194DBF}"/>
            </c:ext>
          </c:extLst>
        </c:ser>
        <c:ser>
          <c:idx val="0"/>
          <c:order val="1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0.24959915512441702</c:v>
                </c:pt>
                <c:pt idx="1">
                  <c:v>0.27418952986562312</c:v>
                </c:pt>
                <c:pt idx="2">
                  <c:v>0.30109826112542049</c:v>
                </c:pt>
                <c:pt idx="3">
                  <c:v>0.31269346719620922</c:v>
                </c:pt>
                <c:pt idx="4">
                  <c:v>0.37036911826113594</c:v>
                </c:pt>
                <c:pt idx="5">
                  <c:v>0.54371439639319596</c:v>
                </c:pt>
                <c:pt idx="6">
                  <c:v>0.55866066780702617</c:v>
                </c:pt>
                <c:pt idx="7">
                  <c:v>0.71747213029414691</c:v>
                </c:pt>
                <c:pt idx="8">
                  <c:v>0.87586825684018188</c:v>
                </c:pt>
                <c:pt idx="9">
                  <c:v>0.94977751679092437</c:v>
                </c:pt>
                <c:pt idx="10">
                  <c:v>1.2589881104624836</c:v>
                </c:pt>
                <c:pt idx="11">
                  <c:v>1.4276210156046916</c:v>
                </c:pt>
                <c:pt idx="12">
                  <c:v>1.9568181624749865</c:v>
                </c:pt>
                <c:pt idx="13">
                  <c:v>2.1989383379145369</c:v>
                </c:pt>
                <c:pt idx="14">
                  <c:v>2.8458061392264149</c:v>
                </c:pt>
                <c:pt idx="15">
                  <c:v>5.6387455673759401</c:v>
                </c:pt>
                <c:pt idx="16">
                  <c:v>13.74112873729422</c:v>
                </c:pt>
                <c:pt idx="17">
                  <c:v>34.833327835451641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5A-4591-A873-62E40D194DBF}"/>
            </c:ext>
          </c:extLst>
        </c:ser>
        <c:ser>
          <c:idx val="4"/>
          <c:order val="2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0.24959915512441702</c:v>
                </c:pt>
                <c:pt idx="1">
                  <c:v>0.27418952986562312</c:v>
                </c:pt>
                <c:pt idx="2">
                  <c:v>0.30109826112542049</c:v>
                </c:pt>
                <c:pt idx="3">
                  <c:v>0.31269346719620922</c:v>
                </c:pt>
                <c:pt idx="4">
                  <c:v>0.37036911826113594</c:v>
                </c:pt>
                <c:pt idx="5">
                  <c:v>0.54371439639319596</c:v>
                </c:pt>
                <c:pt idx="6">
                  <c:v>0.55866066780702617</c:v>
                </c:pt>
                <c:pt idx="7">
                  <c:v>0.71747213029414691</c:v>
                </c:pt>
                <c:pt idx="8">
                  <c:v>0.87586825684018188</c:v>
                </c:pt>
                <c:pt idx="9">
                  <c:v>0.94977751679092437</c:v>
                </c:pt>
                <c:pt idx="10">
                  <c:v>1.2589881104624836</c:v>
                </c:pt>
                <c:pt idx="11">
                  <c:v>1.4276210156046916</c:v>
                </c:pt>
                <c:pt idx="12">
                  <c:v>1.9568181624749865</c:v>
                </c:pt>
                <c:pt idx="13">
                  <c:v>2.1989383379145369</c:v>
                </c:pt>
                <c:pt idx="14">
                  <c:v>2.8458061392264149</c:v>
                </c:pt>
                <c:pt idx="15">
                  <c:v>5.6387455673759401</c:v>
                </c:pt>
                <c:pt idx="16">
                  <c:v>13.74112873729422</c:v>
                </c:pt>
                <c:pt idx="17">
                  <c:v>34.833327835451641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5A-4591-A873-62E40D194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8795776"/>
        <c:axId val="468797696"/>
      </c:barChart>
      <c:lineChart>
        <c:grouping val="standard"/>
        <c:varyColors val="0"/>
        <c:ser>
          <c:idx val="2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41.482201046704006</c:v>
                </c:pt>
                <c:pt idx="1">
                  <c:v>39.292868284527216</c:v>
                </c:pt>
                <c:pt idx="2">
                  <c:v>39.955172982558864</c:v>
                </c:pt>
                <c:pt idx="3">
                  <c:v>34.457578879124007</c:v>
                </c:pt>
                <c:pt idx="4">
                  <c:v>35.59053999092955</c:v>
                </c:pt>
                <c:pt idx="5">
                  <c:v>43.272089036718107</c:v>
                </c:pt>
                <c:pt idx="6">
                  <c:v>35.983312262958279</c:v>
                </c:pt>
                <c:pt idx="7">
                  <c:v>40.251983787602725</c:v>
                </c:pt>
                <c:pt idx="8">
                  <c:v>40.966554665288186</c:v>
                </c:pt>
                <c:pt idx="9">
                  <c:v>38.321848276874519</c:v>
                </c:pt>
                <c:pt idx="10">
                  <c:v>43.908844442170953</c:v>
                </c:pt>
                <c:pt idx="11">
                  <c:v>39.63601951304247</c:v>
                </c:pt>
                <c:pt idx="12">
                  <c:v>45.354256209484092</c:v>
                </c:pt>
                <c:pt idx="13">
                  <c:v>42.107491445560107</c:v>
                </c:pt>
                <c:pt idx="14">
                  <c:v>39.732638501839261</c:v>
                </c:pt>
                <c:pt idx="15">
                  <c:v>37.056707228213348</c:v>
                </c:pt>
                <c:pt idx="16">
                  <c:v>37.540722153702205</c:v>
                </c:pt>
                <c:pt idx="17">
                  <c:v>41.849998787231975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5A-4591-A873-62E40D194DBF}"/>
            </c:ext>
          </c:extLst>
        </c:ser>
        <c:ser>
          <c:idx val="3"/>
          <c:order val="4"/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40.241475623456928</c:v>
                </c:pt>
                <c:pt idx="1">
                  <c:v>40.193883904601648</c:v>
                </c:pt>
                <c:pt idx="2">
                  <c:v>40.146348470255546</c:v>
                </c:pt>
                <c:pt idx="3">
                  <c:v>40.098869253853536</c:v>
                </c:pt>
                <c:pt idx="4">
                  <c:v>40.051446188909274</c:v>
                </c:pt>
                <c:pt idx="5">
                  <c:v>40.004079209015075</c:v>
                </c:pt>
                <c:pt idx="6">
                  <c:v>39.956768247841715</c:v>
                </c:pt>
                <c:pt idx="7">
                  <c:v>39.909513239138512</c:v>
                </c:pt>
                <c:pt idx="8">
                  <c:v>39.862314116733046</c:v>
                </c:pt>
                <c:pt idx="9">
                  <c:v>39.815170814531228</c:v>
                </c:pt>
                <c:pt idx="10">
                  <c:v>39.768083266517067</c:v>
                </c:pt>
                <c:pt idx="11">
                  <c:v>39.7210514067527</c:v>
                </c:pt>
                <c:pt idx="12">
                  <c:v>39.674075169378256</c:v>
                </c:pt>
                <c:pt idx="13">
                  <c:v>39.627154488611673</c:v>
                </c:pt>
                <c:pt idx="14">
                  <c:v>39.580289298748788</c:v>
                </c:pt>
                <c:pt idx="15">
                  <c:v>39.53347953416305</c:v>
                </c:pt>
                <c:pt idx="16">
                  <c:v>39.486725129305583</c:v>
                </c:pt>
                <c:pt idx="17">
                  <c:v>39.440026018705034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E5A-4591-A873-62E40D194DBF}"/>
            </c:ext>
          </c:extLst>
        </c:ser>
        <c:ser>
          <c:idx val="5"/>
          <c:order val="5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38.931023253180392</c:v>
                </c:pt>
                <c:pt idx="1">
                  <c:v>39.074897216162597</c:v>
                </c:pt>
                <c:pt idx="2">
                  <c:v>39.219302881512078</c:v>
                </c:pt>
                <c:pt idx="3">
                  <c:v>39.364242214194569</c:v>
                </c:pt>
                <c:pt idx="4">
                  <c:v>39.509717186437555</c:v>
                </c:pt>
                <c:pt idx="5">
                  <c:v>39.655729777757116</c:v>
                </c:pt>
                <c:pt idx="6">
                  <c:v>39.80228197498483</c:v>
                </c:pt>
                <c:pt idx="7">
                  <c:v>39.949375772294879</c:v>
                </c:pt>
                <c:pt idx="8">
                  <c:v>40.097013171231112</c:v>
                </c:pt>
                <c:pt idx="9">
                  <c:v>40.24519618073429</c:v>
                </c:pt>
                <c:pt idx="10">
                  <c:v>40.393926817169479</c:v>
                </c:pt>
                <c:pt idx="11">
                  <c:v>40.543207104353414</c:v>
                </c:pt>
                <c:pt idx="12">
                  <c:v>40.693039073582099</c:v>
                </c:pt>
                <c:pt idx="13">
                  <c:v>40.843424763658398</c:v>
                </c:pt>
                <c:pt idx="14">
                  <c:v>40.994366220919815</c:v>
                </c:pt>
                <c:pt idx="15">
                  <c:v>41.145865499266314</c:v>
                </c:pt>
                <c:pt idx="16">
                  <c:v>41.297924660188258</c:v>
                </c:pt>
                <c:pt idx="17">
                  <c:v>41.450545772794555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E5A-4591-A873-62E40D194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803584"/>
        <c:axId val="468805120"/>
      </c:lineChart>
      <c:catAx>
        <c:axId val="46879577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7976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8797696"/>
        <c:scaling>
          <c:orientation val="minMax"/>
          <c:max val="59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795776"/>
        <c:crosses val="autoZero"/>
        <c:crossBetween val="between"/>
      </c:valAx>
      <c:catAx>
        <c:axId val="468803584"/>
        <c:scaling>
          <c:orientation val="minMax"/>
        </c:scaling>
        <c:delete val="1"/>
        <c:axPos val="b"/>
        <c:majorTickMark val="out"/>
        <c:minorTickMark val="none"/>
        <c:tickLblPos val="none"/>
        <c:crossAx val="468805120"/>
        <c:crosses val="autoZero"/>
        <c:auto val="0"/>
        <c:lblAlgn val="ctr"/>
        <c:lblOffset val="100"/>
        <c:noMultiLvlLbl val="0"/>
      </c:catAx>
      <c:valAx>
        <c:axId val="468805120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68803584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242677824267859"/>
          <c:y val="3.291139240506337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43108842905059"/>
          <c:y val="0.12658227848101269"/>
          <c:w val="0.82845272911701617"/>
          <c:h val="0.7341772151898747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6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1.4015141411028174</c:v>
                </c:pt>
                <c:pt idx="1">
                  <c:v>1.7155183724395533</c:v>
                </c:pt>
                <c:pt idx="2">
                  <c:v>1.4219479117643059</c:v>
                </c:pt>
                <c:pt idx="3">
                  <c:v>1.4512651692824383</c:v>
                </c:pt>
                <c:pt idx="4">
                  <c:v>1.8399197636534819</c:v>
                </c:pt>
                <c:pt idx="5">
                  <c:v>1.1986605185699328</c:v>
                </c:pt>
                <c:pt idx="6">
                  <c:v>1.4139758492324335</c:v>
                </c:pt>
                <c:pt idx="7">
                  <c:v>1.4863687392743334</c:v>
                </c:pt>
                <c:pt idx="8">
                  <c:v>1.334686902689693</c:v>
                </c:pt>
                <c:pt idx="9">
                  <c:v>1.5290577015542586</c:v>
                </c:pt>
                <c:pt idx="10">
                  <c:v>1.601199541960997</c:v>
                </c:pt>
                <c:pt idx="11">
                  <c:v>1.7690423956555197</c:v>
                </c:pt>
                <c:pt idx="12">
                  <c:v>1.4148367403464688</c:v>
                </c:pt>
                <c:pt idx="13">
                  <c:v>1.5836270356633217</c:v>
                </c:pt>
                <c:pt idx="14">
                  <c:v>1.488565846689297</c:v>
                </c:pt>
                <c:pt idx="15">
                  <c:v>1.3900507002934246</c:v>
                </c:pt>
                <c:pt idx="16">
                  <c:v>1.6458325953554589</c:v>
                </c:pt>
                <c:pt idx="17">
                  <c:v>1.3738519367661068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D1-4361-85DE-3091BC898EB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68837120"/>
        <c:axId val="468839808"/>
      </c:barChart>
      <c:catAx>
        <c:axId val="4688371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839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8398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837120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2908704883227213"/>
          <c:y val="3.1578947368421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626204606549304"/>
          <c:y val="0.12049493098109219"/>
          <c:w val="0.84401600115078823"/>
          <c:h val="0.70845258856565085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0.87909387335932276</c:v>
                </c:pt>
                <c:pt idx="3">
                  <c:v>0.93383202622570205</c:v>
                </c:pt>
                <c:pt idx="4">
                  <c:v>0.95356844093311832</c:v>
                </c:pt>
                <c:pt idx="5">
                  <c:v>0.96242769045952814</c:v>
                </c:pt>
                <c:pt idx="6">
                  <c:v>0.96929641614863582</c:v>
                </c:pt>
                <c:pt idx="7">
                  <c:v>0.97605994987273759</c:v>
                </c:pt>
                <c:pt idx="8">
                  <c:v>0.98008004829088269</c:v>
                </c:pt>
                <c:pt idx="9">
                  <c:v>0.98307841292336984</c:v>
                </c:pt>
                <c:pt idx="10">
                  <c:v>0.98622556459580313</c:v>
                </c:pt>
                <c:pt idx="11">
                  <c:v>0.98818794845553182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88-4894-A23E-65DDEA8CB722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0.87409588137181282</c:v>
                </c:pt>
                <c:pt idx="3">
                  <c:v>0.92837614609871677</c:v>
                </c:pt>
                <c:pt idx="4">
                  <c:v>0.94777800665301637</c:v>
                </c:pt>
                <c:pt idx="5">
                  <c:v>0.95685483322655829</c:v>
                </c:pt>
                <c:pt idx="6">
                  <c:v>0.96398179238062165</c:v>
                </c:pt>
                <c:pt idx="7">
                  <c:v>0.97132728101712662</c:v>
                </c:pt>
                <c:pt idx="8">
                  <c:v>0.97521571083726688</c:v>
                </c:pt>
                <c:pt idx="9">
                  <c:v>0.97861987373546322</c:v>
                </c:pt>
                <c:pt idx="10">
                  <c:v>0.98217546750704832</c:v>
                </c:pt>
                <c:pt idx="11">
                  <c:v>0.98447441318381057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88-4894-A23E-65DDEA8CB722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0.87820248963569991</c:v>
                </c:pt>
                <c:pt idx="3">
                  <c:v>0.92758925354060517</c:v>
                </c:pt>
                <c:pt idx="4">
                  <c:v>0.94524790181229301</c:v>
                </c:pt>
                <c:pt idx="5">
                  <c:v>0.95442563316371398</c:v>
                </c:pt>
                <c:pt idx="6">
                  <c:v>0.96266732516683329</c:v>
                </c:pt>
                <c:pt idx="7">
                  <c:v>0.96975398823719716</c:v>
                </c:pt>
                <c:pt idx="8">
                  <c:v>0.97457072439158232</c:v>
                </c:pt>
                <c:pt idx="9">
                  <c:v>0.97812221495946883</c:v>
                </c:pt>
                <c:pt idx="10">
                  <c:v>0.98158971719507759</c:v>
                </c:pt>
                <c:pt idx="11">
                  <c:v>0.98418334317359979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88-4894-A23E-65DDEA8CB722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0.80586142120701187</c:v>
                </c:pt>
                <c:pt idx="3">
                  <c:v>0.87266317835254281</c:v>
                </c:pt>
                <c:pt idx="4">
                  <c:v>0.90617230927349479</c:v>
                </c:pt>
                <c:pt idx="5">
                  <c:v>0.92793683044965436</c:v>
                </c:pt>
                <c:pt idx="6">
                  <c:v>0.94297653417538729</c:v>
                </c:pt>
                <c:pt idx="7">
                  <c:v>0.95481421391443222</c:v>
                </c:pt>
                <c:pt idx="8">
                  <c:v>0.96180874690162388</c:v>
                </c:pt>
                <c:pt idx="9">
                  <c:v>0.9678020710325459</c:v>
                </c:pt>
                <c:pt idx="10">
                  <c:v>0.97264985576250418</c:v>
                </c:pt>
                <c:pt idx="11">
                  <c:v>0.9777568238372073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988-4894-A23E-65DDEA8CB722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0.88166185284618559</c:v>
                </c:pt>
                <c:pt idx="3">
                  <c:v>0.93111555708440763</c:v>
                </c:pt>
                <c:pt idx="4">
                  <c:v>0.94856143575069685</c:v>
                </c:pt>
                <c:pt idx="5">
                  <c:v>0.95780885209330213</c:v>
                </c:pt>
                <c:pt idx="6">
                  <c:v>0.96587441371815064</c:v>
                </c:pt>
                <c:pt idx="7">
                  <c:v>0.97273756151259516</c:v>
                </c:pt>
                <c:pt idx="8">
                  <c:v>0.97737831187969959</c:v>
                </c:pt>
                <c:pt idx="9">
                  <c:v>0.98089684997822646</c:v>
                </c:pt>
                <c:pt idx="10">
                  <c:v>0.98432951543940195</c:v>
                </c:pt>
                <c:pt idx="11">
                  <c:v>0.98677567309757686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988-4894-A23E-65DDEA8CB7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914176"/>
        <c:axId val="468916480"/>
      </c:lineChart>
      <c:catAx>
        <c:axId val="46891417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923580253105305"/>
              <c:y val="0.71578947368421175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16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916480"/>
        <c:scaling>
          <c:orientation val="minMax"/>
          <c:max val="1.05"/>
          <c:min val="0.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7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447368421052631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14176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6985138004246305E-2"/>
          <c:y val="0.8973684210526307"/>
          <c:w val="0.9681548723607013"/>
          <c:h val="9.473684210526343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919831223628691"/>
          <c:y val="3.166226912928760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8019572495491"/>
          <c:y val="0.10817955889723019"/>
          <c:w val="0.83755446819469481"/>
          <c:h val="0.754618386453850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107101</c:v>
                </c:pt>
                <c:pt idx="1">
                  <c:v>107146</c:v>
                </c:pt>
                <c:pt idx="2">
                  <c:v>107140</c:v>
                </c:pt>
                <c:pt idx="3">
                  <c:v>107241</c:v>
                </c:pt>
                <c:pt idx="4">
                  <c:v>107513</c:v>
                </c:pt>
                <c:pt idx="5">
                  <c:v>107756</c:v>
                </c:pt>
                <c:pt idx="6">
                  <c:v>107747</c:v>
                </c:pt>
                <c:pt idx="7">
                  <c:v>108297</c:v>
                </c:pt>
                <c:pt idx="8">
                  <c:v>110175</c:v>
                </c:pt>
                <c:pt idx="9">
                  <c:v>129231</c:v>
                </c:pt>
                <c:pt idx="10">
                  <c:v>132944</c:v>
                </c:pt>
                <c:pt idx="11">
                  <c:v>131999</c:v>
                </c:pt>
                <c:pt idx="12">
                  <c:v>132272</c:v>
                </c:pt>
                <c:pt idx="13">
                  <c:v>132389</c:v>
                </c:pt>
                <c:pt idx="14">
                  <c:v>131777</c:v>
                </c:pt>
                <c:pt idx="15">
                  <c:v>131723</c:v>
                </c:pt>
                <c:pt idx="16">
                  <c:v>130970</c:v>
                </c:pt>
                <c:pt idx="17">
                  <c:v>129309</c:v>
                </c:pt>
                <c:pt idx="18">
                  <c:v>128887</c:v>
                </c:pt>
                <c:pt idx="19">
                  <c:v>128447</c:v>
                </c:pt>
                <c:pt idx="20">
                  <c:v>128156</c:v>
                </c:pt>
                <c:pt idx="21">
                  <c:v>134089</c:v>
                </c:pt>
                <c:pt idx="22">
                  <c:v>135481</c:v>
                </c:pt>
                <c:pt idx="23">
                  <c:v>134844</c:v>
                </c:pt>
                <c:pt idx="24">
                  <c:v>134470</c:v>
                </c:pt>
                <c:pt idx="25">
                  <c:v>134465</c:v>
                </c:pt>
                <c:pt idx="26">
                  <c:v>135415</c:v>
                </c:pt>
                <c:pt idx="27">
                  <c:v>136235</c:v>
                </c:pt>
                <c:pt idx="28">
                  <c:v>136843</c:v>
                </c:pt>
                <c:pt idx="29">
                  <c:v>138164</c:v>
                </c:pt>
                <c:pt idx="30">
                  <c:v>140994</c:v>
                </c:pt>
                <c:pt idx="31">
                  <c:v>142616</c:v>
                </c:pt>
                <c:pt idx="32">
                  <c:v>143536</c:v>
                </c:pt>
                <c:pt idx="33">
                  <c:v>164688</c:v>
                </c:pt>
                <c:pt idx="34">
                  <c:v>164591</c:v>
                </c:pt>
                <c:pt idx="35">
                  <c:v>164912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3D-46E4-92B3-54657E8C0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8954112"/>
        <c:axId val="468955904"/>
      </c:barChart>
      <c:catAx>
        <c:axId val="46895411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5590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8955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5411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Quarterly Completion Patterns By Quarter</a:t>
            </a:r>
          </a:p>
        </c:rich>
      </c:tx>
      <c:layout>
        <c:manualLayout>
          <c:xMode val="edge"/>
          <c:yMode val="edge"/>
          <c:x val="0.21019108280254795"/>
          <c:y val="3.25814536340852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101935919950718"/>
          <c:y val="0.10275714373126117"/>
          <c:w val="0.84925866104917525"/>
          <c:h val="0.7468689959003856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0.87909387335932276</c:v>
                </c:pt>
                <c:pt idx="3">
                  <c:v>0.93383202622570205</c:v>
                </c:pt>
                <c:pt idx="4">
                  <c:v>0.95356844093311832</c:v>
                </c:pt>
                <c:pt idx="5">
                  <c:v>0.96242769045952814</c:v>
                </c:pt>
                <c:pt idx="6">
                  <c:v>0.96929641614863582</c:v>
                </c:pt>
                <c:pt idx="7">
                  <c:v>0.97605994987273759</c:v>
                </c:pt>
                <c:pt idx="8">
                  <c:v>0.98008004829088269</c:v>
                </c:pt>
                <c:pt idx="9">
                  <c:v>0.98307841292336984</c:v>
                </c:pt>
                <c:pt idx="10">
                  <c:v>0.98622556459580313</c:v>
                </c:pt>
                <c:pt idx="11">
                  <c:v>0.98818794845553182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48-4261-8071-7CAAE055C0BE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0.86875338352933695</c:v>
                </c:pt>
                <c:pt idx="3">
                  <c:v>0.92255614800264008</c:v>
                </c:pt>
                <c:pt idx="4">
                  <c:v>0.9416186084663587</c:v>
                </c:pt>
                <c:pt idx="5">
                  <c:v>0.95090620999990549</c:v>
                </c:pt>
                <c:pt idx="6">
                  <c:v>0.95833573469404598</c:v>
                </c:pt>
                <c:pt idx="7">
                  <c:v>0.96625439954803349</c:v>
                </c:pt>
                <c:pt idx="8">
                  <c:v>0.97001095691100037</c:v>
                </c:pt>
                <c:pt idx="9">
                  <c:v>0.9738157463321464</c:v>
                </c:pt>
                <c:pt idx="10">
                  <c:v>0.97777488796092704</c:v>
                </c:pt>
                <c:pt idx="11">
                  <c:v>0.9804069105563129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48-4261-8071-7CAAE055C0BE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0.86488471486644092</c:v>
                </c:pt>
                <c:pt idx="3">
                  <c:v>0.91416991165877703</c:v>
                </c:pt>
                <c:pt idx="4">
                  <c:v>0.93170174839347986</c:v>
                </c:pt>
                <c:pt idx="5">
                  <c:v>0.94314793438162448</c:v>
                </c:pt>
                <c:pt idx="6">
                  <c:v>0.95469838900122361</c:v>
                </c:pt>
                <c:pt idx="7">
                  <c:v>0.96276399676956825</c:v>
                </c:pt>
                <c:pt idx="8">
                  <c:v>0.96913770815091638</c:v>
                </c:pt>
                <c:pt idx="9">
                  <c:v>0.97297240486699776</c:v>
                </c:pt>
                <c:pt idx="10">
                  <c:v>0.9760973922461742</c:v>
                </c:pt>
                <c:pt idx="11">
                  <c:v>0.98018527609956596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48-4261-8071-7CAAE055C0BE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0.89659371220203343</c:v>
                </c:pt>
                <c:pt idx="3">
                  <c:v>0.93601863084926606</c:v>
                </c:pt>
                <c:pt idx="4">
                  <c:v>0.95024108913962546</c:v>
                </c:pt>
                <c:pt idx="5">
                  <c:v>0.95733827020665985</c:v>
                </c:pt>
                <c:pt idx="6">
                  <c:v>0.96460102768475775</c:v>
                </c:pt>
                <c:pt idx="7">
                  <c:v>0.9701586495113439</c:v>
                </c:pt>
                <c:pt idx="8">
                  <c:v>0.97524796952374337</c:v>
                </c:pt>
                <c:pt idx="9">
                  <c:v>0.9790687381057005</c:v>
                </c:pt>
                <c:pt idx="10">
                  <c:v>0.98317176365525227</c:v>
                </c:pt>
                <c:pt idx="11">
                  <c:v>0.98550117594572217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248-4261-8071-7CAAE055C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996096"/>
        <c:axId val="468998400"/>
      </c:lineChart>
      <c:catAx>
        <c:axId val="46899609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9660430981159207"/>
              <c:y val="0.73433768147402634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98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998400"/>
        <c:scaling>
          <c:orientation val="minMax"/>
          <c:max val="1.100000000000000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6591557634243144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96096"/>
        <c:crosses val="autoZero"/>
        <c:crossBetween val="between"/>
        <c:majorUnit val="0.1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165609553582872"/>
          <c:y val="0.93734572652102766"/>
          <c:w val="0.66029857732751662"/>
          <c:h val="5.51381077365329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Trend Study on Actual PMPMs
Rolling Average Trends vs. Least Square Trend</a:t>
            </a:r>
          </a:p>
        </c:rich>
      </c:tx>
      <c:layout>
        <c:manualLayout>
          <c:xMode val="edge"/>
          <c:yMode val="edge"/>
          <c:x val="0.25473684210526315"/>
          <c:y val="3.582089552238806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684224593158503"/>
          <c:y val="0.17014925373134351"/>
          <c:w val="0.81052714897938838"/>
          <c:h val="0.60298507462686635"/>
        </c:manualLayout>
      </c:layout>
      <c:lineChart>
        <c:grouping val="standard"/>
        <c:varyColors val="0"/>
        <c:ser>
          <c:idx val="0"/>
          <c:order val="0"/>
          <c:tx>
            <c:v>3 Mo Roll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Trends!$E$62:$E$83</c:f>
              <c:numCache>
                <c:formatCode>0.0%</c:formatCode>
                <c:ptCount val="22"/>
                <c:pt idx="0">
                  <c:v>4.3276712875373269E-2</c:v>
                </c:pt>
                <c:pt idx="1">
                  <c:v>7.4442625310535693E-3</c:v>
                </c:pt>
                <c:pt idx="2">
                  <c:v>-3.8228917618885694E-2</c:v>
                </c:pt>
                <c:pt idx="3">
                  <c:v>-8.1109676981162004E-2</c:v>
                </c:pt>
                <c:pt idx="4">
                  <c:v>-0.10359989284557736</c:v>
                </c:pt>
                <c:pt idx="5">
                  <c:v>-0.1383893561055658</c:v>
                </c:pt>
                <c:pt idx="6">
                  <c:v>-0.16053185151553429</c:v>
                </c:pt>
                <c:pt idx="7">
                  <c:v>-0.11847523162027418</c:v>
                </c:pt>
                <c:pt idx="8">
                  <c:v>-2.5918086730485346E-2</c:v>
                </c:pt>
                <c:pt idx="9">
                  <c:v>0.10010809101590157</c:v>
                </c:pt>
                <c:pt idx="10">
                  <c:v>6.6597792416548174E-2</c:v>
                </c:pt>
                <c:pt idx="11">
                  <c:v>3.2676003472606796E-2</c:v>
                </c:pt>
                <c:pt idx="12">
                  <c:v>9.777316695672722E-3</c:v>
                </c:pt>
                <c:pt idx="13">
                  <c:v>2.5266682435893362E-2</c:v>
                </c:pt>
                <c:pt idx="14">
                  <c:v>9.0956922841671783E-3</c:v>
                </c:pt>
                <c:pt idx="15">
                  <c:v>-1.3118994562174024E-2</c:v>
                </c:pt>
                <c:pt idx="16">
                  <c:v>1.5091726050895815E-2</c:v>
                </c:pt>
                <c:pt idx="17">
                  <c:v>4.5536470644615301E-2</c:v>
                </c:pt>
                <c:pt idx="18">
                  <c:v>5.3542043146839857E-2</c:v>
                </c:pt>
                <c:pt idx="19">
                  <c:v>4.5654885156313441E-2</c:v>
                </c:pt>
                <c:pt idx="20">
                  <c:v>3.9333150474620604E-2</c:v>
                </c:pt>
                <c:pt idx="21">
                  <c:v>2.7596315962892026E-2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FA-4A84-B99A-9DCCDB59190D}"/>
            </c:ext>
          </c:extLst>
        </c:ser>
        <c:ser>
          <c:idx val="1"/>
          <c:order val="1"/>
          <c:tx>
            <c:v>6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Trends!$F$62:$F$83</c:f>
              <c:numCache>
                <c:formatCode>0.0%</c:formatCode>
                <c:ptCount val="22"/>
                <c:pt idx="3">
                  <c:v>-2.477386655819136E-2</c:v>
                </c:pt>
                <c:pt idx="4">
                  <c:v>-5.367025561163985E-2</c:v>
                </c:pt>
                <c:pt idx="5">
                  <c:v>-9.0952599397425393E-2</c:v>
                </c:pt>
                <c:pt idx="6">
                  <c:v>-0.12216691393077372</c:v>
                </c:pt>
                <c:pt idx="7">
                  <c:v>-0.11068934539176767</c:v>
                </c:pt>
                <c:pt idx="8">
                  <c:v>-8.8387255455566027E-2</c:v>
                </c:pt>
                <c:pt idx="9">
                  <c:v>-5.1758516305738356E-2</c:v>
                </c:pt>
                <c:pt idx="10">
                  <c:v>-3.4272007733281096E-2</c:v>
                </c:pt>
                <c:pt idx="11">
                  <c:v>3.7371628781914801E-3</c:v>
                </c:pt>
                <c:pt idx="12">
                  <c:v>5.2250456830420511E-2</c:v>
                </c:pt>
                <c:pt idx="13">
                  <c:v>4.5110348628492059E-2</c:v>
                </c:pt>
                <c:pt idx="14">
                  <c:v>2.0570492487188341E-2</c:v>
                </c:pt>
                <c:pt idx="15">
                  <c:v>-2.0254230760268221E-3</c:v>
                </c:pt>
                <c:pt idx="16">
                  <c:v>1.9962228869046861E-2</c:v>
                </c:pt>
                <c:pt idx="17">
                  <c:v>2.7276856263154903E-2</c:v>
                </c:pt>
                <c:pt idx="18">
                  <c:v>1.9835320719978844E-2</c:v>
                </c:pt>
                <c:pt idx="19">
                  <c:v>2.9530326568855347E-2</c:v>
                </c:pt>
                <c:pt idx="20">
                  <c:v>4.2589634816276867E-2</c:v>
                </c:pt>
                <c:pt idx="21">
                  <c:v>4.097990025838727E-2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FA-4A84-B99A-9DCCDB59190D}"/>
            </c:ext>
          </c:extLst>
        </c:ser>
        <c:ser>
          <c:idx val="2"/>
          <c:order val="2"/>
          <c:tx>
            <c:v>12 Mo Roll Ave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Trends!$G$62:$G$83</c:f>
              <c:numCache>
                <c:formatCode>0.0%</c:formatCode>
                <c:ptCount val="22"/>
                <c:pt idx="9">
                  <c:v>-3.8298701164099502E-2</c:v>
                </c:pt>
                <c:pt idx="10">
                  <c:v>-4.4378076824705626E-2</c:v>
                </c:pt>
                <c:pt idx="11">
                  <c:v>-4.7360609664821807E-2</c:v>
                </c:pt>
                <c:pt idx="12">
                  <c:v>-4.532778323630593E-2</c:v>
                </c:pt>
                <c:pt idx="13">
                  <c:v>-4.0089177916272756E-2</c:v>
                </c:pt>
                <c:pt idx="14">
                  <c:v>-3.5703342593939258E-2</c:v>
                </c:pt>
                <c:pt idx="15">
                  <c:v>-2.7263757888178586E-2</c:v>
                </c:pt>
                <c:pt idx="16">
                  <c:v>-6.7644450424725333E-3</c:v>
                </c:pt>
                <c:pt idx="17">
                  <c:v>1.5880632265681038E-2</c:v>
                </c:pt>
                <c:pt idx="18">
                  <c:v>3.5163344972331201E-2</c:v>
                </c:pt>
                <c:pt idx="19">
                  <c:v>3.7045251586962369E-2</c:v>
                </c:pt>
                <c:pt idx="20">
                  <c:v>3.1433532351111682E-2</c:v>
                </c:pt>
                <c:pt idx="21">
                  <c:v>1.9227376322711542E-2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FA-4A84-B99A-9DCCDB59190D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Trends!$H$62:$H$83</c:f>
              <c:numCache>
                <c:formatCode>0.0%</c:formatCode>
                <c:ptCount val="22"/>
                <c:pt idx="0">
                  <c:v>-2.0919267130664165E-2</c:v>
                </c:pt>
                <c:pt idx="1">
                  <c:v>-2.0919267130664165E-2</c:v>
                </c:pt>
                <c:pt idx="2">
                  <c:v>-2.0919267130664165E-2</c:v>
                </c:pt>
                <c:pt idx="3">
                  <c:v>-2.0919267130664165E-2</c:v>
                </c:pt>
                <c:pt idx="4">
                  <c:v>-2.0919267130664165E-2</c:v>
                </c:pt>
                <c:pt idx="5">
                  <c:v>-2.0919267130664165E-2</c:v>
                </c:pt>
                <c:pt idx="6">
                  <c:v>-2.0919267130664165E-2</c:v>
                </c:pt>
                <c:pt idx="7">
                  <c:v>-2.0919267130664165E-2</c:v>
                </c:pt>
                <c:pt idx="8">
                  <c:v>-2.0919267130664165E-2</c:v>
                </c:pt>
                <c:pt idx="9">
                  <c:v>-2.0919267130664165E-2</c:v>
                </c:pt>
                <c:pt idx="10">
                  <c:v>-2.0919267130664165E-2</c:v>
                </c:pt>
                <c:pt idx="11">
                  <c:v>-2.0919267130664165E-2</c:v>
                </c:pt>
                <c:pt idx="12">
                  <c:v>-2.0919267130664165E-2</c:v>
                </c:pt>
                <c:pt idx="13">
                  <c:v>-2.0919267130664165E-2</c:v>
                </c:pt>
                <c:pt idx="14">
                  <c:v>-2.0919267130664165E-2</c:v>
                </c:pt>
                <c:pt idx="15">
                  <c:v>-2.0919267130664165E-2</c:v>
                </c:pt>
                <c:pt idx="16">
                  <c:v>-2.0919267130664165E-2</c:v>
                </c:pt>
                <c:pt idx="17">
                  <c:v>-2.0919267130664165E-2</c:v>
                </c:pt>
                <c:pt idx="18">
                  <c:v>-2.0919267130664165E-2</c:v>
                </c:pt>
                <c:pt idx="19">
                  <c:v>-2.0919267130664165E-2</c:v>
                </c:pt>
                <c:pt idx="20">
                  <c:v>-2.0919267130664165E-2</c:v>
                </c:pt>
                <c:pt idx="21">
                  <c:v>-2.0919267130664165E-2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FA-4A84-B99A-9DCCDB591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710336"/>
        <c:axId val="469712256"/>
      </c:lineChart>
      <c:dateAx>
        <c:axId val="4697103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712256"/>
        <c:crossesAt val="-5.9999998658895534E-2"/>
        <c:auto val="1"/>
        <c:lblOffset val="100"/>
        <c:baseTimeUnit val="months"/>
        <c:majorUnit val="2"/>
        <c:majorTimeUnit val="months"/>
        <c:minorUnit val="1"/>
        <c:minorTimeUnit val="months"/>
      </c:dateAx>
      <c:valAx>
        <c:axId val="4697122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710336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4.6315789473684206E-2"/>
          <c:y val="0.92537313432835822"/>
          <c:w val="0.86736842105263157"/>
          <c:h val="6.567164179104478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25887265135699405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448851774530287"/>
          <c:y val="0.11702142856215272"/>
          <c:w val="0.82672233820459395"/>
          <c:h val="0.72074561682598737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5095954.3900000257</c:v>
                </c:pt>
                <c:pt idx="1">
                  <c:v>4865514.1700000167</c:v>
                </c:pt>
                <c:pt idx="2">
                  <c:v>5809110.5600000238</c:v>
                </c:pt>
                <c:pt idx="3">
                  <c:v>5131677.3100000117</c:v>
                </c:pt>
                <c:pt idx="4">
                  <c:v>4586340.4299999904</c:v>
                </c:pt>
                <c:pt idx="5">
                  <c:v>5780065.1999999704</c:v>
                </c:pt>
                <c:pt idx="6">
                  <c:v>4199208.1499999892</c:v>
                </c:pt>
                <c:pt idx="7">
                  <c:v>5269479.2099999841</c:v>
                </c:pt>
                <c:pt idx="8">
                  <c:v>5161983.979999993</c:v>
                </c:pt>
                <c:pt idx="9">
                  <c:v>5024298.1099999929</c:v>
                </c:pt>
                <c:pt idx="10">
                  <c:v>5269664.7599999877</c:v>
                </c:pt>
                <c:pt idx="11">
                  <c:v>5754302.1099999854</c:v>
                </c:pt>
                <c:pt idx="12">
                  <c:v>6436494.1199999833</c:v>
                </c:pt>
                <c:pt idx="13">
                  <c:v>5920319.6200000057</c:v>
                </c:pt>
                <c:pt idx="14">
                  <c:v>5777917.9799999846</c:v>
                </c:pt>
                <c:pt idx="15">
                  <c:v>5923338.4999999972</c:v>
                </c:pt>
                <c:pt idx="16">
                  <c:v>5585363.9099999908</c:v>
                </c:pt>
                <c:pt idx="17">
                  <c:v>5452454.4600000046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96-444D-8639-306C8DFDFB26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5095954.3900000257</c:v>
                </c:pt>
                <c:pt idx="1">
                  <c:v>4865514.1700000167</c:v>
                </c:pt>
                <c:pt idx="2">
                  <c:v>5809110.5600000238</c:v>
                </c:pt>
                <c:pt idx="3">
                  <c:v>5131677.3100000117</c:v>
                </c:pt>
                <c:pt idx="4">
                  <c:v>4586340.4299999904</c:v>
                </c:pt>
                <c:pt idx="5">
                  <c:v>5780065.1999999704</c:v>
                </c:pt>
                <c:pt idx="6">
                  <c:v>4199208.1499999892</c:v>
                </c:pt>
                <c:pt idx="7">
                  <c:v>5269479.2099999841</c:v>
                </c:pt>
                <c:pt idx="8">
                  <c:v>5161983.979999993</c:v>
                </c:pt>
                <c:pt idx="9">
                  <c:v>5024298.1099999929</c:v>
                </c:pt>
                <c:pt idx="10">
                  <c:v>5269664.7599999877</c:v>
                </c:pt>
                <c:pt idx="11">
                  <c:v>5754302.1099999854</c:v>
                </c:pt>
                <c:pt idx="12">
                  <c:v>6436494.1199999833</c:v>
                </c:pt>
                <c:pt idx="13">
                  <c:v>5920319.6200000057</c:v>
                </c:pt>
                <c:pt idx="14">
                  <c:v>5777917.9799999846</c:v>
                </c:pt>
                <c:pt idx="15">
                  <c:v>5923338.4999999972</c:v>
                </c:pt>
                <c:pt idx="16">
                  <c:v>5585363.9099999908</c:v>
                </c:pt>
                <c:pt idx="17">
                  <c:v>5452454.4600000046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96-444D-8639-306C8DFDFB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9784064"/>
        <c:axId val="469785984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96-444D-8639-306C8DFDFB26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5346516.4463065388</c:v>
                </c:pt>
                <c:pt idx="1">
                  <c:v>5047051.0525426669</c:v>
                </c:pt>
                <c:pt idx="2">
                  <c:v>5120495.1487528142</c:v>
                </c:pt>
                <c:pt idx="3">
                  <c:v>4620382.2943228586</c:v>
                </c:pt>
                <c:pt idx="4">
                  <c:v>4821841.9485111265</c:v>
                </c:pt>
                <c:pt idx="5">
                  <c:v>5834981.5740672164</c:v>
                </c:pt>
                <c:pt idx="6">
                  <c:v>4838676</c:v>
                </c:pt>
                <c:pt idx="7">
                  <c:v>5412483</c:v>
                </c:pt>
                <c:pt idx="8">
                  <c:v>5547486</c:v>
                </c:pt>
                <c:pt idx="9">
                  <c:v>5220777</c:v>
                </c:pt>
                <c:pt idx="10">
                  <c:v>6008618</c:v>
                </c:pt>
                <c:pt idx="11">
                  <c:v>5476271</c:v>
                </c:pt>
                <c:pt idx="12">
                  <c:v>6394678</c:v>
                </c:pt>
                <c:pt idx="13">
                  <c:v>6005202</c:v>
                </c:pt>
                <c:pt idx="14">
                  <c:v>5703064</c:v>
                </c:pt>
                <c:pt idx="15">
                  <c:v>6102795</c:v>
                </c:pt>
                <c:pt idx="16">
                  <c:v>6178865</c:v>
                </c:pt>
                <c:pt idx="17">
                  <c:v>6901567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396-444D-8639-306C8DFDFB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787776"/>
        <c:axId val="469789312"/>
      </c:lineChart>
      <c:catAx>
        <c:axId val="4697840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78598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97859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784064"/>
        <c:crosses val="autoZero"/>
        <c:crossBetween val="between"/>
      </c:valAx>
      <c:catAx>
        <c:axId val="46978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69789312"/>
        <c:crosses val="autoZero"/>
        <c:auto val="0"/>
        <c:lblAlgn val="ctr"/>
        <c:lblOffset val="100"/>
        <c:noMultiLvlLbl val="0"/>
      </c:catAx>
      <c:valAx>
        <c:axId val="46978931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69787776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8455114822547026E-2"/>
          <c:y val="0.93351175517953866"/>
          <c:w val="0.76409185803757995"/>
          <c:h val="5.851063829787231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25786163522012578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190810876103263"/>
          <c:y val="0.11702142856215272"/>
          <c:w val="0.80084021398432248"/>
          <c:h val="0.7180860389041188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5095954.3900000257</c:v>
                </c:pt>
                <c:pt idx="1">
                  <c:v>4865514.1700000167</c:v>
                </c:pt>
                <c:pt idx="2">
                  <c:v>5809110.5600000238</c:v>
                </c:pt>
                <c:pt idx="3">
                  <c:v>5131677.3100000117</c:v>
                </c:pt>
                <c:pt idx="4">
                  <c:v>4586340.4299999904</c:v>
                </c:pt>
                <c:pt idx="5">
                  <c:v>5780065.1999999704</c:v>
                </c:pt>
                <c:pt idx="6">
                  <c:v>4199208.1499999892</c:v>
                </c:pt>
                <c:pt idx="7">
                  <c:v>5269479.2099999841</c:v>
                </c:pt>
                <c:pt idx="8">
                  <c:v>5161983.979999993</c:v>
                </c:pt>
                <c:pt idx="9">
                  <c:v>5024298.1099999929</c:v>
                </c:pt>
                <c:pt idx="10">
                  <c:v>5269664.7599999877</c:v>
                </c:pt>
                <c:pt idx="11">
                  <c:v>5754302.1099999854</c:v>
                </c:pt>
                <c:pt idx="12">
                  <c:v>6436494.1199999833</c:v>
                </c:pt>
                <c:pt idx="13">
                  <c:v>5920319.6200000057</c:v>
                </c:pt>
                <c:pt idx="14">
                  <c:v>5777917.9799999846</c:v>
                </c:pt>
                <c:pt idx="15">
                  <c:v>5923338.4999999972</c:v>
                </c:pt>
                <c:pt idx="16">
                  <c:v>5585363.9099999908</c:v>
                </c:pt>
                <c:pt idx="17">
                  <c:v>5452454.4600000046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CC-475C-9972-D408B390E601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5095954.3900000257</c:v>
                </c:pt>
                <c:pt idx="1">
                  <c:v>4865514.1700000167</c:v>
                </c:pt>
                <c:pt idx="2">
                  <c:v>5809110.5600000238</c:v>
                </c:pt>
                <c:pt idx="3">
                  <c:v>5131677.3100000117</c:v>
                </c:pt>
                <c:pt idx="4">
                  <c:v>4586340.4299999904</c:v>
                </c:pt>
                <c:pt idx="5">
                  <c:v>5780065.1999999704</c:v>
                </c:pt>
                <c:pt idx="6">
                  <c:v>4199208.1499999892</c:v>
                </c:pt>
                <c:pt idx="7">
                  <c:v>5269479.2099999841</c:v>
                </c:pt>
                <c:pt idx="8">
                  <c:v>5161983.979999993</c:v>
                </c:pt>
                <c:pt idx="9">
                  <c:v>5024298.1099999929</c:v>
                </c:pt>
                <c:pt idx="10">
                  <c:v>5269664.7599999877</c:v>
                </c:pt>
                <c:pt idx="11">
                  <c:v>5754302.1099999854</c:v>
                </c:pt>
                <c:pt idx="12">
                  <c:v>6436494.1199999833</c:v>
                </c:pt>
                <c:pt idx="13">
                  <c:v>5920319.6200000057</c:v>
                </c:pt>
                <c:pt idx="14">
                  <c:v>5777917.9799999846</c:v>
                </c:pt>
                <c:pt idx="15">
                  <c:v>5923338.4999999972</c:v>
                </c:pt>
                <c:pt idx="16">
                  <c:v>5585363.9099999908</c:v>
                </c:pt>
                <c:pt idx="17">
                  <c:v>5452454.4600000046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CC-475C-9972-D408B390E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9835136"/>
        <c:axId val="469837312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CC-475C-9972-D408B390E601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5346516.4463065388</c:v>
                </c:pt>
                <c:pt idx="1">
                  <c:v>5047051.0525426669</c:v>
                </c:pt>
                <c:pt idx="2">
                  <c:v>5120495.1487528142</c:v>
                </c:pt>
                <c:pt idx="3">
                  <c:v>4620382.2943228586</c:v>
                </c:pt>
                <c:pt idx="4">
                  <c:v>4821841.9485111265</c:v>
                </c:pt>
                <c:pt idx="5">
                  <c:v>5834981.5740672164</c:v>
                </c:pt>
                <c:pt idx="6">
                  <c:v>4838676</c:v>
                </c:pt>
                <c:pt idx="7">
                  <c:v>5412483</c:v>
                </c:pt>
                <c:pt idx="8">
                  <c:v>5547486</c:v>
                </c:pt>
                <c:pt idx="9">
                  <c:v>5220777</c:v>
                </c:pt>
                <c:pt idx="10">
                  <c:v>6008618</c:v>
                </c:pt>
                <c:pt idx="11">
                  <c:v>5476271</c:v>
                </c:pt>
                <c:pt idx="12">
                  <c:v>6394678</c:v>
                </c:pt>
                <c:pt idx="13">
                  <c:v>6005202</c:v>
                </c:pt>
                <c:pt idx="14">
                  <c:v>5703064</c:v>
                </c:pt>
                <c:pt idx="15">
                  <c:v>6102795</c:v>
                </c:pt>
                <c:pt idx="16">
                  <c:v>6178865</c:v>
                </c:pt>
                <c:pt idx="17">
                  <c:v>6901567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7CC-475C-9972-D408B390E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838848"/>
        <c:axId val="469848832"/>
      </c:lineChart>
      <c:catAx>
        <c:axId val="4698351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8373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98373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835136"/>
        <c:crosses val="autoZero"/>
        <c:crossBetween val="between"/>
      </c:valAx>
      <c:catAx>
        <c:axId val="469838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69848832"/>
        <c:crosses val="autoZero"/>
        <c:auto val="0"/>
        <c:lblAlgn val="ctr"/>
        <c:lblOffset val="100"/>
        <c:noMultiLvlLbl val="0"/>
      </c:catAx>
      <c:valAx>
        <c:axId val="46984883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69838848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6436278798483641E-2"/>
          <c:y val="0.93351175517953866"/>
          <c:w val="0.7672971381721948"/>
          <c:h val="5.851063829787231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00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52097946956839"/>
          <c:y val="0.10986122818198645"/>
          <c:w val="0.87819678453041972"/>
          <c:h val="0.7633181883596142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9050">
              <a:solidFill>
                <a:srgbClr val="000080"/>
              </a:solidFill>
              <a:prstDash val="sysDash"/>
            </a:ln>
          </c:spPr>
          <c:marker>
            <c:symbol val="diamond"/>
            <c:size val="6"/>
            <c:spPr>
              <a:noFill/>
              <a:ln w="12700"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0.87909387335932276</c:v>
                </c:pt>
                <c:pt idx="3">
                  <c:v>0.93383202622570205</c:v>
                </c:pt>
                <c:pt idx="4">
                  <c:v>0.95356844093311832</c:v>
                </c:pt>
                <c:pt idx="5">
                  <c:v>0.96242769045952814</c:v>
                </c:pt>
                <c:pt idx="6">
                  <c:v>0.96929641614863582</c:v>
                </c:pt>
                <c:pt idx="7">
                  <c:v>0.97605994987273759</c:v>
                </c:pt>
                <c:pt idx="8">
                  <c:v>0.98008004829088269</c:v>
                </c:pt>
                <c:pt idx="9">
                  <c:v>0.98307841292336984</c:v>
                </c:pt>
                <c:pt idx="10">
                  <c:v>0.98622556459580313</c:v>
                </c:pt>
                <c:pt idx="11">
                  <c:v>0.98818794845553182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DC-4195-AFB6-FED963980234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9050">
              <a:solidFill>
                <a:srgbClr val="FF00FF"/>
              </a:solidFill>
              <a:prstDash val="lgDashDotDot"/>
            </a:ln>
          </c:spPr>
          <c:marker>
            <c:symbol val="square"/>
            <c:size val="5"/>
            <c:spPr>
              <a:noFill/>
              <a:ln w="12700"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0.86875338352933695</c:v>
                </c:pt>
                <c:pt idx="3">
                  <c:v>0.92255614800264008</c:v>
                </c:pt>
                <c:pt idx="4">
                  <c:v>0.9416186084663587</c:v>
                </c:pt>
                <c:pt idx="5">
                  <c:v>0.95090620999990549</c:v>
                </c:pt>
                <c:pt idx="6">
                  <c:v>0.95833573469404598</c:v>
                </c:pt>
                <c:pt idx="7">
                  <c:v>0.96625439954803349</c:v>
                </c:pt>
                <c:pt idx="8">
                  <c:v>0.97001095691100037</c:v>
                </c:pt>
                <c:pt idx="9">
                  <c:v>0.9738157463321464</c:v>
                </c:pt>
                <c:pt idx="10">
                  <c:v>0.97777488796092704</c:v>
                </c:pt>
                <c:pt idx="11">
                  <c:v>0.9804069105563129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DC-4195-AFB6-FED963980234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5875">
              <a:solidFill>
                <a:srgbClr val="FF0000"/>
              </a:solidFill>
              <a:prstDash val="lgDash"/>
            </a:ln>
          </c:spPr>
          <c:marker>
            <c:symbol val="triangle"/>
            <c:size val="5"/>
            <c:spPr>
              <a:noFill/>
              <a:ln w="12700"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0.86488471486644092</c:v>
                </c:pt>
                <c:pt idx="3">
                  <c:v>0.91416991165877703</c:v>
                </c:pt>
                <c:pt idx="4">
                  <c:v>0.93170174839347986</c:v>
                </c:pt>
                <c:pt idx="5">
                  <c:v>0.94314793438162448</c:v>
                </c:pt>
                <c:pt idx="6">
                  <c:v>0.95469838900122361</c:v>
                </c:pt>
                <c:pt idx="7">
                  <c:v>0.96276399676956825</c:v>
                </c:pt>
                <c:pt idx="8">
                  <c:v>0.96913770815091638</c:v>
                </c:pt>
                <c:pt idx="9">
                  <c:v>0.97297240486699776</c:v>
                </c:pt>
                <c:pt idx="10">
                  <c:v>0.9760973922461742</c:v>
                </c:pt>
                <c:pt idx="11">
                  <c:v>0.98018527609956596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DC-4195-AFB6-FED963980234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rgbClr val="339966"/>
              </a:solidFill>
              <a:prstDash val="dashDot"/>
            </a:ln>
          </c:spPr>
          <c:marker>
            <c:symbol val="x"/>
            <c:size val="5"/>
            <c:spPr>
              <a:noFill/>
              <a:ln w="12700"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0.89659371220203343</c:v>
                </c:pt>
                <c:pt idx="3">
                  <c:v>0.93601863084926606</c:v>
                </c:pt>
                <c:pt idx="4">
                  <c:v>0.95024108913962546</c:v>
                </c:pt>
                <c:pt idx="5">
                  <c:v>0.95733827020665985</c:v>
                </c:pt>
                <c:pt idx="6">
                  <c:v>0.96460102768475775</c:v>
                </c:pt>
                <c:pt idx="7">
                  <c:v>0.9701586495113439</c:v>
                </c:pt>
                <c:pt idx="8">
                  <c:v>0.97524796952374337</c:v>
                </c:pt>
                <c:pt idx="9">
                  <c:v>0.9790687381057005</c:v>
                </c:pt>
                <c:pt idx="10">
                  <c:v>0.98317176365525227</c:v>
                </c:pt>
                <c:pt idx="11">
                  <c:v>0.98550117594572217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DC-4195-AFB6-FED963980234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22225">
              <a:solidFill>
                <a:srgbClr val="0070C0"/>
              </a:solidFill>
            </a:ln>
          </c:spPr>
          <c:marker>
            <c:symbol val="circle"/>
            <c:size val="6"/>
            <c:spPr>
              <a:noFill/>
              <a:ln w="19050">
                <a:solidFill>
                  <a:srgbClr val="0070C0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0.87409588137181282</c:v>
                </c:pt>
                <c:pt idx="3">
                  <c:v>0.92837614609871677</c:v>
                </c:pt>
                <c:pt idx="4">
                  <c:v>0.94777800665301637</c:v>
                </c:pt>
                <c:pt idx="5">
                  <c:v>0.95685483322655829</c:v>
                </c:pt>
                <c:pt idx="6">
                  <c:v>0.96398179238062165</c:v>
                </c:pt>
                <c:pt idx="7">
                  <c:v>0.97132728101712662</c:v>
                </c:pt>
                <c:pt idx="8">
                  <c:v>0.97521571083726688</c:v>
                </c:pt>
                <c:pt idx="9">
                  <c:v>0.97861987373546322</c:v>
                </c:pt>
                <c:pt idx="10">
                  <c:v>0.98217546750704832</c:v>
                </c:pt>
                <c:pt idx="11">
                  <c:v>0.98447441318381057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BDC-4195-AFB6-FED963980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517440"/>
        <c:axId val="469519744"/>
      </c:lineChart>
      <c:catAx>
        <c:axId val="4695174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5708419426295097"/>
              <c:y val="0.77492798958612663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519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9519744"/>
        <c:scaling>
          <c:orientation val="minMax"/>
          <c:max val="1.05"/>
          <c:min val="0.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0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4731352991547344E-2"/>
              <c:y val="0.2918876393714495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517440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3548951107100063E-2"/>
          <c:y val="0.92843425836805271"/>
          <c:w val="0.95717040060934599"/>
          <c:h val="6.231747118566703E-2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00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52097946956839"/>
          <c:y val="0.10986122818198645"/>
          <c:w val="0.87819678453041972"/>
          <c:h val="0.7633181883596142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diamond"/>
            <c:size val="6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0.87909387335932276</c:v>
                </c:pt>
                <c:pt idx="3">
                  <c:v>0.93383202622570205</c:v>
                </c:pt>
                <c:pt idx="4">
                  <c:v>0.95356844093311832</c:v>
                </c:pt>
                <c:pt idx="5">
                  <c:v>0.96242769045952814</c:v>
                </c:pt>
                <c:pt idx="6">
                  <c:v>0.96929641614863582</c:v>
                </c:pt>
                <c:pt idx="7">
                  <c:v>0.97605994987273759</c:v>
                </c:pt>
                <c:pt idx="8">
                  <c:v>0.98008004829088269</c:v>
                </c:pt>
                <c:pt idx="9">
                  <c:v>0.98307841292336984</c:v>
                </c:pt>
                <c:pt idx="10">
                  <c:v>0.98622556459580313</c:v>
                </c:pt>
                <c:pt idx="11">
                  <c:v>0.98818794845553182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48-4264-8FDB-1478BF0C506D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9050">
              <a:solidFill>
                <a:schemeClr val="tx1"/>
              </a:solidFill>
              <a:prstDash val="lgDashDotDot"/>
            </a:ln>
          </c:spPr>
          <c:marker>
            <c:symbol val="square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0.86875338352933695</c:v>
                </c:pt>
                <c:pt idx="3">
                  <c:v>0.92255614800264008</c:v>
                </c:pt>
                <c:pt idx="4">
                  <c:v>0.9416186084663587</c:v>
                </c:pt>
                <c:pt idx="5">
                  <c:v>0.95090620999990549</c:v>
                </c:pt>
                <c:pt idx="6">
                  <c:v>0.95833573469404598</c:v>
                </c:pt>
                <c:pt idx="7">
                  <c:v>0.96625439954803349</c:v>
                </c:pt>
                <c:pt idx="8">
                  <c:v>0.97001095691100037</c:v>
                </c:pt>
                <c:pt idx="9">
                  <c:v>0.9738157463321464</c:v>
                </c:pt>
                <c:pt idx="10">
                  <c:v>0.97777488796092704</c:v>
                </c:pt>
                <c:pt idx="11">
                  <c:v>0.9804069105563129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48-4264-8FDB-1478BF0C506D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5875">
              <a:solidFill>
                <a:schemeClr val="tx1"/>
              </a:solidFill>
              <a:prstDash val="lgDash"/>
            </a:ln>
          </c:spPr>
          <c:marker>
            <c:symbol val="triangle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0.86488471486644092</c:v>
                </c:pt>
                <c:pt idx="3">
                  <c:v>0.91416991165877703</c:v>
                </c:pt>
                <c:pt idx="4">
                  <c:v>0.93170174839347986</c:v>
                </c:pt>
                <c:pt idx="5">
                  <c:v>0.94314793438162448</c:v>
                </c:pt>
                <c:pt idx="6">
                  <c:v>0.95469838900122361</c:v>
                </c:pt>
                <c:pt idx="7">
                  <c:v>0.96276399676956825</c:v>
                </c:pt>
                <c:pt idx="8">
                  <c:v>0.96913770815091638</c:v>
                </c:pt>
                <c:pt idx="9">
                  <c:v>0.97297240486699776</c:v>
                </c:pt>
                <c:pt idx="10">
                  <c:v>0.9760973922461742</c:v>
                </c:pt>
                <c:pt idx="11">
                  <c:v>0.98018527609956596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48-4264-8FDB-1478BF0C506D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Dot"/>
            </a:ln>
          </c:spPr>
          <c:marker>
            <c:symbol val="x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0.89659371220203343</c:v>
                </c:pt>
                <c:pt idx="3">
                  <c:v>0.93601863084926606</c:v>
                </c:pt>
                <c:pt idx="4">
                  <c:v>0.95024108913962546</c:v>
                </c:pt>
                <c:pt idx="5">
                  <c:v>0.95733827020665985</c:v>
                </c:pt>
                <c:pt idx="6">
                  <c:v>0.96460102768475775</c:v>
                </c:pt>
                <c:pt idx="7">
                  <c:v>0.9701586495113439</c:v>
                </c:pt>
                <c:pt idx="8">
                  <c:v>0.97524796952374337</c:v>
                </c:pt>
                <c:pt idx="9">
                  <c:v>0.9790687381057005</c:v>
                </c:pt>
                <c:pt idx="10">
                  <c:v>0.98317176365525227</c:v>
                </c:pt>
                <c:pt idx="11">
                  <c:v>0.98550117594572217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48-4264-8FDB-1478BF0C506D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22225">
              <a:solidFill>
                <a:schemeClr val="tx1"/>
              </a:solidFill>
            </a:ln>
          </c:spPr>
          <c:marker>
            <c:symbol val="circle"/>
            <c:size val="6"/>
            <c:spPr>
              <a:noFill/>
              <a:ln w="19050">
                <a:solidFill>
                  <a:schemeClr val="tx1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0.87409588137181282</c:v>
                </c:pt>
                <c:pt idx="3">
                  <c:v>0.92837614609871677</c:v>
                </c:pt>
                <c:pt idx="4">
                  <c:v>0.94777800665301637</c:v>
                </c:pt>
                <c:pt idx="5">
                  <c:v>0.95685483322655829</c:v>
                </c:pt>
                <c:pt idx="6">
                  <c:v>0.96398179238062165</c:v>
                </c:pt>
                <c:pt idx="7">
                  <c:v>0.97132728101712662</c:v>
                </c:pt>
                <c:pt idx="8">
                  <c:v>0.97521571083726688</c:v>
                </c:pt>
                <c:pt idx="9">
                  <c:v>0.97861987373546322</c:v>
                </c:pt>
                <c:pt idx="10">
                  <c:v>0.98217546750704832</c:v>
                </c:pt>
                <c:pt idx="11">
                  <c:v>0.98447441318381057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248-4264-8FDB-1478BF0C5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578496"/>
        <c:axId val="469580800"/>
      </c:lineChart>
      <c:catAx>
        <c:axId val="46957849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6631174451048538"/>
              <c:y val="0.79524679115858665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580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9580800"/>
        <c:scaling>
          <c:orientation val="minMax"/>
          <c:max val="1.05"/>
          <c:min val="0.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0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4731352991547344E-2"/>
              <c:y val="0.2918876393714495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578496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3548951107100063E-2"/>
          <c:y val="0.92843425836805271"/>
          <c:w val="0.95717040060934599"/>
          <c:h val="6.231747118566703E-2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Projections Based On Sample IBNR Calculation For XYZ HMO</a:t>
            </a:r>
          </a:p>
        </c:rich>
      </c:tx>
      <c:layout>
        <c:manualLayout>
          <c:xMode val="edge"/>
          <c:yMode val="edge"/>
          <c:x val="0.13747954173486091"/>
          <c:y val="0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Historic PMPM</c:v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Lit>
              <c:ptCount val="54"/>
              <c:pt idx="0">
                <c:v>1/96</c:v>
              </c:pt>
              <c:pt idx="1">
                <c:v>2/96</c:v>
              </c:pt>
              <c:pt idx="2">
                <c:v>3/96</c:v>
              </c:pt>
              <c:pt idx="3">
                <c:v>4/96</c:v>
              </c:pt>
              <c:pt idx="4">
                <c:v>5/96</c:v>
              </c:pt>
              <c:pt idx="5">
                <c:v>6/96</c:v>
              </c:pt>
              <c:pt idx="6">
                <c:v>7/96</c:v>
              </c:pt>
              <c:pt idx="7">
                <c:v>8/96</c:v>
              </c:pt>
              <c:pt idx="8">
                <c:v>9/96</c:v>
              </c:pt>
              <c:pt idx="9">
                <c:v>10/96</c:v>
              </c:pt>
              <c:pt idx="10">
                <c:v>11/96</c:v>
              </c:pt>
              <c:pt idx="11">
                <c:v>12/96</c:v>
              </c:pt>
              <c:pt idx="12">
                <c:v>1/97</c:v>
              </c:pt>
              <c:pt idx="13">
                <c:v>2/97</c:v>
              </c:pt>
              <c:pt idx="14">
                <c:v>3/97</c:v>
              </c:pt>
              <c:pt idx="15">
                <c:v>4/97</c:v>
              </c:pt>
              <c:pt idx="16">
                <c:v>5/97</c:v>
              </c:pt>
              <c:pt idx="17">
                <c:v>6/97</c:v>
              </c:pt>
              <c:pt idx="18">
                <c:v>7/97</c:v>
              </c:pt>
              <c:pt idx="19">
                <c:v>8/97</c:v>
              </c:pt>
              <c:pt idx="20">
                <c:v>9/97</c:v>
              </c:pt>
              <c:pt idx="21">
                <c:v>10/97</c:v>
              </c:pt>
              <c:pt idx="22">
                <c:v>11/97</c:v>
              </c:pt>
              <c:pt idx="23">
                <c:v>12/97</c:v>
              </c:pt>
              <c:pt idx="24">
                <c:v>1/98</c:v>
              </c:pt>
              <c:pt idx="25">
                <c:v>2/98</c:v>
              </c:pt>
              <c:pt idx="26">
                <c:v>3/98</c:v>
              </c:pt>
              <c:pt idx="27">
                <c:v>4/98</c:v>
              </c:pt>
              <c:pt idx="28">
                <c:v>5/98</c:v>
              </c:pt>
              <c:pt idx="29">
                <c:v>6/98</c:v>
              </c:pt>
              <c:pt idx="30">
                <c:v>7/98</c:v>
              </c:pt>
              <c:pt idx="31">
                <c:v>8/98</c:v>
              </c:pt>
              <c:pt idx="32">
                <c:v>9/98</c:v>
              </c:pt>
              <c:pt idx="33">
                <c:v>10/98</c:v>
              </c:pt>
              <c:pt idx="34">
                <c:v>11/98</c:v>
              </c:pt>
              <c:pt idx="35">
                <c:v>12/98</c:v>
              </c:pt>
              <c:pt idx="36">
                <c:v>1/99</c:v>
              </c:pt>
              <c:pt idx="37">
                <c:v>2/99</c:v>
              </c:pt>
              <c:pt idx="38">
                <c:v>3/99</c:v>
              </c:pt>
              <c:pt idx="39">
                <c:v>4/99</c:v>
              </c:pt>
              <c:pt idx="40">
                <c:v>5/99</c:v>
              </c:pt>
              <c:pt idx="41">
                <c:v>6/99</c:v>
              </c:pt>
              <c:pt idx="42">
                <c:v>7/99</c:v>
              </c:pt>
              <c:pt idx="43">
                <c:v>8/99</c:v>
              </c:pt>
              <c:pt idx="44">
                <c:v>9/99</c:v>
              </c:pt>
              <c:pt idx="45">
                <c:v>10/99</c:v>
              </c:pt>
              <c:pt idx="46">
                <c:v>11/99</c:v>
              </c:pt>
              <c:pt idx="47">
                <c:v>12/99</c:v>
              </c:pt>
              <c:pt idx="48">
                <c:v>1/00</c:v>
              </c:pt>
              <c:pt idx="49">
                <c:v>2/00</c:v>
              </c:pt>
              <c:pt idx="50">
                <c:v>3/00</c:v>
              </c:pt>
              <c:pt idx="51">
                <c:v>4/00</c:v>
              </c:pt>
              <c:pt idx="52">
                <c:v>5/00</c:v>
              </c:pt>
              <c:pt idx="53">
                <c:v>6/00</c:v>
              </c:pt>
            </c:strLit>
          </c:cat>
          <c:val>
            <c:numLit>
              <c:formatCode>General</c:formatCode>
              <c:ptCount val="54"/>
              <c:pt idx="0">
                <c:v>21.106092602475137</c:v>
              </c:pt>
              <c:pt idx="1">
                <c:v>22.563293249797869</c:v>
              </c:pt>
              <c:pt idx="2">
                <c:v>22.159698624976475</c:v>
              </c:pt>
              <c:pt idx="3">
                <c:v>22.172258121070975</c:v>
              </c:pt>
              <c:pt idx="4">
                <c:v>23.652038749449591</c:v>
              </c:pt>
              <c:pt idx="5">
                <c:v>20.650728501927066</c:v>
              </c:pt>
              <c:pt idx="6">
                <c:v>19.10397811376615</c:v>
              </c:pt>
              <c:pt idx="7">
                <c:v>20.713270377067829</c:v>
              </c:pt>
              <c:pt idx="8">
                <c:v>24.096060580866862</c:v>
              </c:pt>
              <c:pt idx="9">
                <c:v>24.230190847818374</c:v>
              </c:pt>
              <c:pt idx="10">
                <c:v>20.890913293461612</c:v>
              </c:pt>
              <c:pt idx="11">
                <c:v>26.346535885305872</c:v>
              </c:pt>
              <c:pt idx="12">
                <c:v>23.394855007716721</c:v>
              </c:pt>
              <c:pt idx="13">
                <c:v>19.622990523076574</c:v>
              </c:pt>
              <c:pt idx="14">
                <c:v>24.680793814015452</c:v>
              </c:pt>
              <c:pt idx="15">
                <c:v>26.292851255220178</c:v>
              </c:pt>
              <c:pt idx="16">
                <c:v>20.957013498219332</c:v>
              </c:pt>
              <c:pt idx="17">
                <c:v>20.239872719001244</c:v>
              </c:pt>
              <c:pt idx="18">
                <c:v>21.646646698872246</c:v>
              </c:pt>
              <c:pt idx="19">
                <c:v>22.157446940891656</c:v>
              </c:pt>
              <c:pt idx="20">
                <c:v>24.481477650609357</c:v>
              </c:pt>
              <c:pt idx="21">
                <c:v>24.113479782562727</c:v>
              </c:pt>
              <c:pt idx="22">
                <c:v>22.404753139572886</c:v>
              </c:pt>
              <c:pt idx="23">
                <c:v>27.002001389239659</c:v>
              </c:pt>
              <c:pt idx="24">
                <c:v>23.596844578717686</c:v>
              </c:pt>
              <c:pt idx="25">
                <c:v>22.947934645035087</c:v>
              </c:pt>
              <c:pt idx="26">
                <c:v>30.013891655950616</c:v>
              </c:pt>
              <c:pt idx="27">
                <c:v>24.737495919625694</c:v>
              </c:pt>
              <c:pt idx="28">
                <c:v>29.96664077880321</c:v>
              </c:pt>
              <c:pt idx="29">
                <c:v>28.078727719839886</c:v>
              </c:pt>
              <c:pt idx="30">
                <c:v>25.10031582891709</c:v>
              </c:pt>
              <c:pt idx="31">
                <c:v>27.53215744200191</c:v>
              </c:pt>
              <c:pt idx="32">
                <c:v>27.383377970351894</c:v>
              </c:pt>
              <c:pt idx="33">
                <c:v>28.035228562234302</c:v>
              </c:pt>
              <c:pt idx="34">
                <c:v>27.419994988724632</c:v>
              </c:pt>
              <c:pt idx="35">
                <c:v>27.590007152005057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DD04-4EF9-AB2C-133B22FD887A}"/>
            </c:ext>
          </c:extLst>
        </c:ser>
        <c:ser>
          <c:idx val="1"/>
          <c:order val="1"/>
          <c:tx>
            <c:v>All Data Lst Sq</c:v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Lit>
              <c:ptCount val="54"/>
              <c:pt idx="0">
                <c:v>1/96</c:v>
              </c:pt>
              <c:pt idx="1">
                <c:v>2/96</c:v>
              </c:pt>
              <c:pt idx="2">
                <c:v>3/96</c:v>
              </c:pt>
              <c:pt idx="3">
                <c:v>4/96</c:v>
              </c:pt>
              <c:pt idx="4">
                <c:v>5/96</c:v>
              </c:pt>
              <c:pt idx="5">
                <c:v>6/96</c:v>
              </c:pt>
              <c:pt idx="6">
                <c:v>7/96</c:v>
              </c:pt>
              <c:pt idx="7">
                <c:v>8/96</c:v>
              </c:pt>
              <c:pt idx="8">
                <c:v>9/96</c:v>
              </c:pt>
              <c:pt idx="9">
                <c:v>10/96</c:v>
              </c:pt>
              <c:pt idx="10">
                <c:v>11/96</c:v>
              </c:pt>
              <c:pt idx="11">
                <c:v>12/96</c:v>
              </c:pt>
              <c:pt idx="12">
                <c:v>1/97</c:v>
              </c:pt>
              <c:pt idx="13">
                <c:v>2/97</c:v>
              </c:pt>
              <c:pt idx="14">
                <c:v>3/97</c:v>
              </c:pt>
              <c:pt idx="15">
                <c:v>4/97</c:v>
              </c:pt>
              <c:pt idx="16">
                <c:v>5/97</c:v>
              </c:pt>
              <c:pt idx="17">
                <c:v>6/97</c:v>
              </c:pt>
              <c:pt idx="18">
                <c:v>7/97</c:v>
              </c:pt>
              <c:pt idx="19">
                <c:v>8/97</c:v>
              </c:pt>
              <c:pt idx="20">
                <c:v>9/97</c:v>
              </c:pt>
              <c:pt idx="21">
                <c:v>10/97</c:v>
              </c:pt>
              <c:pt idx="22">
                <c:v>11/97</c:v>
              </c:pt>
              <c:pt idx="23">
                <c:v>12/97</c:v>
              </c:pt>
              <c:pt idx="24">
                <c:v>1/98</c:v>
              </c:pt>
              <c:pt idx="25">
                <c:v>2/98</c:v>
              </c:pt>
              <c:pt idx="26">
                <c:v>3/98</c:v>
              </c:pt>
              <c:pt idx="27">
                <c:v>4/98</c:v>
              </c:pt>
              <c:pt idx="28">
                <c:v>5/98</c:v>
              </c:pt>
              <c:pt idx="29">
                <c:v>6/98</c:v>
              </c:pt>
              <c:pt idx="30">
                <c:v>7/98</c:v>
              </c:pt>
              <c:pt idx="31">
                <c:v>8/98</c:v>
              </c:pt>
              <c:pt idx="32">
                <c:v>9/98</c:v>
              </c:pt>
              <c:pt idx="33">
                <c:v>10/98</c:v>
              </c:pt>
              <c:pt idx="34">
                <c:v>11/98</c:v>
              </c:pt>
              <c:pt idx="35">
                <c:v>12/98</c:v>
              </c:pt>
              <c:pt idx="36">
                <c:v>1/99</c:v>
              </c:pt>
              <c:pt idx="37">
                <c:v>2/99</c:v>
              </c:pt>
              <c:pt idx="38">
                <c:v>3/99</c:v>
              </c:pt>
              <c:pt idx="39">
                <c:v>4/99</c:v>
              </c:pt>
              <c:pt idx="40">
                <c:v>5/99</c:v>
              </c:pt>
              <c:pt idx="41">
                <c:v>6/99</c:v>
              </c:pt>
              <c:pt idx="42">
                <c:v>7/99</c:v>
              </c:pt>
              <c:pt idx="43">
                <c:v>8/99</c:v>
              </c:pt>
              <c:pt idx="44">
                <c:v>9/99</c:v>
              </c:pt>
              <c:pt idx="45">
                <c:v>10/99</c:v>
              </c:pt>
              <c:pt idx="46">
                <c:v>11/99</c:v>
              </c:pt>
              <c:pt idx="47">
                <c:v>12/99</c:v>
              </c:pt>
              <c:pt idx="48">
                <c:v>1/00</c:v>
              </c:pt>
              <c:pt idx="49">
                <c:v>2/00</c:v>
              </c:pt>
              <c:pt idx="50">
                <c:v>3/00</c:v>
              </c:pt>
              <c:pt idx="51">
                <c:v>4/00</c:v>
              </c:pt>
              <c:pt idx="52">
                <c:v>5/00</c:v>
              </c:pt>
              <c:pt idx="53">
                <c:v>6/00</c:v>
              </c:pt>
            </c:strLit>
          </c:cat>
          <c:val>
            <c:numLit>
              <c:formatCode>General</c:formatCode>
              <c:ptCount val="54"/>
              <c:pt idx="0">
                <c:v>20.823526401050401</c:v>
              </c:pt>
              <c:pt idx="1">
                <c:v>20.988767468842287</c:v>
              </c:pt>
              <c:pt idx="2">
                <c:v>21.155319775180374</c:v>
              </c:pt>
              <c:pt idx="3">
                <c:v>21.323193725144691</c:v>
              </c:pt>
              <c:pt idx="4">
                <c:v>21.492399806382576</c:v>
              </c:pt>
              <c:pt idx="5">
                <c:v>21.662948589764323</c:v>
              </c:pt>
              <c:pt idx="6">
                <c:v>21.83485073004324</c:v>
              </c:pt>
              <c:pt idx="7">
                <c:v>22.008116966521111</c:v>
              </c:pt>
              <c:pt idx="8">
                <c:v>22.182758123719836</c:v>
              </c:pt>
              <c:pt idx="9">
                <c:v>22.35878511205685</c:v>
              </c:pt>
              <c:pt idx="10">
                <c:v>22.536208928527188</c:v>
              </c:pt>
              <c:pt idx="11">
                <c:v>22.715040657390524</c:v>
              </c:pt>
              <c:pt idx="12">
                <c:v>22.895291470863409</c:v>
              </c:pt>
              <c:pt idx="13">
                <c:v>23.076972629817448</c:v>
              </c:pt>
              <c:pt idx="14">
                <c:v>23.26009548448258</c:v>
              </c:pt>
              <c:pt idx="15">
                <c:v>23.444671475156433</c:v>
              </c:pt>
              <c:pt idx="16">
                <c:v>23.630712132918873</c:v>
              </c:pt>
              <c:pt idx="17">
                <c:v>23.818229080352371</c:v>
              </c:pt>
              <c:pt idx="18">
                <c:v>24.007234032268247</c:v>
              </c:pt>
              <c:pt idx="19">
                <c:v>24.197738796438365</c:v>
              </c:pt>
              <c:pt idx="20">
                <c:v>24.389755274332831</c:v>
              </c:pt>
              <c:pt idx="21">
                <c:v>24.583295461863756</c:v>
              </c:pt>
              <c:pt idx="22">
                <c:v>24.778371450134262</c:v>
              </c:pt>
              <c:pt idx="23">
                <c:v>24.974995426194269</c:v>
              </c:pt>
              <c:pt idx="24">
                <c:v>25.173179673801496</c:v>
              </c:pt>
              <c:pt idx="25">
                <c:v>25.37293657418919</c:v>
              </c:pt>
              <c:pt idx="26">
                <c:v>25.574278606839581</c:v>
              </c:pt>
              <c:pt idx="27">
                <c:v>25.777218350263027</c:v>
              </c:pt>
              <c:pt idx="28">
                <c:v>25.981768482784663</c:v>
              </c:pt>
              <c:pt idx="29">
                <c:v>26.187941783335752</c:v>
              </c:pt>
              <c:pt idx="30">
                <c:v>26.395751132252368</c:v>
              </c:pt>
              <c:pt idx="31">
                <c:v>26.605209512080027</c:v>
              </c:pt>
              <c:pt idx="32">
                <c:v>26.8163300083847</c:v>
              </c:pt>
              <c:pt idx="33">
                <c:v>27.029125810570306</c:v>
              </c:pt>
              <c:pt idx="34">
                <c:v>27.243610212702823</c:v>
              </c:pt>
              <c:pt idx="35">
                <c:v>27.459796614340672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DD04-4EF9-AB2C-133B22FD887A}"/>
            </c:ext>
          </c:extLst>
        </c:ser>
        <c:ser>
          <c:idx val="2"/>
          <c:order val="2"/>
          <c:tx>
            <c:v>9/96-9/98 Lst Sq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Lit>
              <c:ptCount val="54"/>
              <c:pt idx="0">
                <c:v>1/96</c:v>
              </c:pt>
              <c:pt idx="1">
                <c:v>2/96</c:v>
              </c:pt>
              <c:pt idx="2">
                <c:v>3/96</c:v>
              </c:pt>
              <c:pt idx="3">
                <c:v>4/96</c:v>
              </c:pt>
              <c:pt idx="4">
                <c:v>5/96</c:v>
              </c:pt>
              <c:pt idx="5">
                <c:v>6/96</c:v>
              </c:pt>
              <c:pt idx="6">
                <c:v>7/96</c:v>
              </c:pt>
              <c:pt idx="7">
                <c:v>8/96</c:v>
              </c:pt>
              <c:pt idx="8">
                <c:v>9/96</c:v>
              </c:pt>
              <c:pt idx="9">
                <c:v>10/96</c:v>
              </c:pt>
              <c:pt idx="10">
                <c:v>11/96</c:v>
              </c:pt>
              <c:pt idx="11">
                <c:v>12/96</c:v>
              </c:pt>
              <c:pt idx="12">
                <c:v>1/97</c:v>
              </c:pt>
              <c:pt idx="13">
                <c:v>2/97</c:v>
              </c:pt>
              <c:pt idx="14">
                <c:v>3/97</c:v>
              </c:pt>
              <c:pt idx="15">
                <c:v>4/97</c:v>
              </c:pt>
              <c:pt idx="16">
                <c:v>5/97</c:v>
              </c:pt>
              <c:pt idx="17">
                <c:v>6/97</c:v>
              </c:pt>
              <c:pt idx="18">
                <c:v>7/97</c:v>
              </c:pt>
              <c:pt idx="19">
                <c:v>8/97</c:v>
              </c:pt>
              <c:pt idx="20">
                <c:v>9/97</c:v>
              </c:pt>
              <c:pt idx="21">
                <c:v>10/97</c:v>
              </c:pt>
              <c:pt idx="22">
                <c:v>11/97</c:v>
              </c:pt>
              <c:pt idx="23">
                <c:v>12/97</c:v>
              </c:pt>
              <c:pt idx="24">
                <c:v>1/98</c:v>
              </c:pt>
              <c:pt idx="25">
                <c:v>2/98</c:v>
              </c:pt>
              <c:pt idx="26">
                <c:v>3/98</c:v>
              </c:pt>
              <c:pt idx="27">
                <c:v>4/98</c:v>
              </c:pt>
              <c:pt idx="28">
                <c:v>5/98</c:v>
              </c:pt>
              <c:pt idx="29">
                <c:v>6/98</c:v>
              </c:pt>
              <c:pt idx="30">
                <c:v>7/98</c:v>
              </c:pt>
              <c:pt idx="31">
                <c:v>8/98</c:v>
              </c:pt>
              <c:pt idx="32">
                <c:v>9/98</c:v>
              </c:pt>
              <c:pt idx="33">
                <c:v>10/98</c:v>
              </c:pt>
              <c:pt idx="34">
                <c:v>11/98</c:v>
              </c:pt>
              <c:pt idx="35">
                <c:v>12/98</c:v>
              </c:pt>
              <c:pt idx="36">
                <c:v>1/99</c:v>
              </c:pt>
              <c:pt idx="37">
                <c:v>2/99</c:v>
              </c:pt>
              <c:pt idx="38">
                <c:v>3/99</c:v>
              </c:pt>
              <c:pt idx="39">
                <c:v>4/99</c:v>
              </c:pt>
              <c:pt idx="40">
                <c:v>5/99</c:v>
              </c:pt>
              <c:pt idx="41">
                <c:v>6/99</c:v>
              </c:pt>
              <c:pt idx="42">
                <c:v>7/99</c:v>
              </c:pt>
              <c:pt idx="43">
                <c:v>8/99</c:v>
              </c:pt>
              <c:pt idx="44">
                <c:v>9/99</c:v>
              </c:pt>
              <c:pt idx="45">
                <c:v>10/99</c:v>
              </c:pt>
              <c:pt idx="46">
                <c:v>11/99</c:v>
              </c:pt>
              <c:pt idx="47">
                <c:v>12/99</c:v>
              </c:pt>
              <c:pt idx="48">
                <c:v>1/00</c:v>
              </c:pt>
              <c:pt idx="49">
                <c:v>2/00</c:v>
              </c:pt>
              <c:pt idx="50">
                <c:v>3/00</c:v>
              </c:pt>
              <c:pt idx="51">
                <c:v>4/00</c:v>
              </c:pt>
              <c:pt idx="52">
                <c:v>5/00</c:v>
              </c:pt>
              <c:pt idx="53">
                <c:v>6/00</c:v>
              </c:pt>
            </c:strLit>
          </c:cat>
          <c:val>
            <c:numLit>
              <c:formatCode>General</c:formatCode>
              <c:ptCount val="54"/>
              <c:pt idx="0">
                <c:v>20.552846514061663</c:v>
              </c:pt>
              <c:pt idx="1">
                <c:v>20.726485636446448</c:v>
              </c:pt>
              <c:pt idx="2">
                <c:v>20.901591735427459</c:v>
              </c:pt>
              <c:pt idx="3">
                <c:v>21.078177204642188</c:v>
              </c:pt>
              <c:pt idx="4">
                <c:v>21.256254542434828</c:v>
              </c:pt>
              <c:pt idx="5">
                <c:v>21.435836352740772</c:v>
              </c:pt>
              <c:pt idx="6">
                <c:v>21.616935345978845</c:v>
              </c:pt>
              <c:pt idx="7">
                <c:v>21.799564339950827</c:v>
              </c:pt>
              <c:pt idx="8">
                <c:v>21.983736260748692</c:v>
              </c:pt>
              <c:pt idx="9">
                <c:v>22.169464143669611</c:v>
              </c:pt>
              <c:pt idx="10">
                <c:v>22.356761134138225</c:v>
              </c:pt>
              <c:pt idx="11">
                <c:v>22.545640488637424</c:v>
              </c:pt>
              <c:pt idx="12">
                <c:v>22.73611557564649</c:v>
              </c:pt>
              <c:pt idx="13">
                <c:v>22.928199876587062</c:v>
              </c:pt>
              <c:pt idx="14">
                <c:v>23.121906986777873</c:v>
              </c:pt>
              <c:pt idx="15">
                <c:v>23.317250616396269</c:v>
              </c:pt>
              <c:pt idx="16">
                <c:v>23.51424459144911</c:v>
              </c:pt>
              <c:pt idx="17">
                <c:v>23.712902854751274</c:v>
              </c:pt>
              <c:pt idx="18">
                <c:v>23.913239466912387</c:v>
              </c:pt>
              <c:pt idx="19">
                <c:v>24.115268607331956</c:v>
              </c:pt>
              <c:pt idx="20">
                <c:v>24.319004575203117</c:v>
              </c:pt>
              <c:pt idx="21">
                <c:v>24.524461790524633</c:v>
              </c:pt>
              <c:pt idx="22">
                <c:v>24.731654795121415</c:v>
              </c:pt>
              <c:pt idx="23">
                <c:v>24.940598253673922</c:v>
              </c:pt>
              <c:pt idx="24">
                <c:v>25.15130695475613</c:v>
              </c:pt>
              <c:pt idx="25">
                <c:v>25.363795811881829</c:v>
              </c:pt>
              <c:pt idx="26">
                <c:v>25.578079864560763</c:v>
              </c:pt>
              <c:pt idx="27">
                <c:v>25.794174279362689</c:v>
              </c:pt>
              <c:pt idx="28">
                <c:v>26.012094350990914</c:v>
              </c:pt>
              <c:pt idx="29">
                <c:v>26.231855503364891</c:v>
              </c:pt>
              <c:pt idx="30">
                <c:v>26.45347329071182</c:v>
              </c:pt>
              <c:pt idx="31">
                <c:v>26.676963398667731</c:v>
              </c:pt>
              <c:pt idx="32">
                <c:v>26.9023416453872</c:v>
              </c:pt>
              <c:pt idx="33">
                <c:v>27.129623982663666</c:v>
              </c:pt>
              <c:pt idx="34">
                <c:v>27.358826497057784</c:v>
              </c:pt>
              <c:pt idx="35">
                <c:v>27.589965411036228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DD04-4EF9-AB2C-133B22FD887A}"/>
            </c:ext>
          </c:extLst>
        </c:ser>
        <c:ser>
          <c:idx val="3"/>
          <c:order val="3"/>
          <c:tx>
            <c:v>Projected</c:v>
          </c:tx>
          <c:spPr>
            <a:ln w="3175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strLit>
              <c:ptCount val="54"/>
              <c:pt idx="0">
                <c:v>1/96</c:v>
              </c:pt>
              <c:pt idx="1">
                <c:v>2/96</c:v>
              </c:pt>
              <c:pt idx="2">
                <c:v>3/96</c:v>
              </c:pt>
              <c:pt idx="3">
                <c:v>4/96</c:v>
              </c:pt>
              <c:pt idx="4">
                <c:v>5/96</c:v>
              </c:pt>
              <c:pt idx="5">
                <c:v>6/96</c:v>
              </c:pt>
              <c:pt idx="6">
                <c:v>7/96</c:v>
              </c:pt>
              <c:pt idx="7">
                <c:v>8/96</c:v>
              </c:pt>
              <c:pt idx="8">
                <c:v>9/96</c:v>
              </c:pt>
              <c:pt idx="9">
                <c:v>10/96</c:v>
              </c:pt>
              <c:pt idx="10">
                <c:v>11/96</c:v>
              </c:pt>
              <c:pt idx="11">
                <c:v>12/96</c:v>
              </c:pt>
              <c:pt idx="12">
                <c:v>1/97</c:v>
              </c:pt>
              <c:pt idx="13">
                <c:v>2/97</c:v>
              </c:pt>
              <c:pt idx="14">
                <c:v>3/97</c:v>
              </c:pt>
              <c:pt idx="15">
                <c:v>4/97</c:v>
              </c:pt>
              <c:pt idx="16">
                <c:v>5/97</c:v>
              </c:pt>
              <c:pt idx="17">
                <c:v>6/97</c:v>
              </c:pt>
              <c:pt idx="18">
                <c:v>7/97</c:v>
              </c:pt>
              <c:pt idx="19">
                <c:v>8/97</c:v>
              </c:pt>
              <c:pt idx="20">
                <c:v>9/97</c:v>
              </c:pt>
              <c:pt idx="21">
                <c:v>10/97</c:v>
              </c:pt>
              <c:pt idx="22">
                <c:v>11/97</c:v>
              </c:pt>
              <c:pt idx="23">
                <c:v>12/97</c:v>
              </c:pt>
              <c:pt idx="24">
                <c:v>1/98</c:v>
              </c:pt>
              <c:pt idx="25">
                <c:v>2/98</c:v>
              </c:pt>
              <c:pt idx="26">
                <c:v>3/98</c:v>
              </c:pt>
              <c:pt idx="27">
                <c:v>4/98</c:v>
              </c:pt>
              <c:pt idx="28">
                <c:v>5/98</c:v>
              </c:pt>
              <c:pt idx="29">
                <c:v>6/98</c:v>
              </c:pt>
              <c:pt idx="30">
                <c:v>7/98</c:v>
              </c:pt>
              <c:pt idx="31">
                <c:v>8/98</c:v>
              </c:pt>
              <c:pt idx="32">
                <c:v>9/98</c:v>
              </c:pt>
              <c:pt idx="33">
                <c:v>10/98</c:v>
              </c:pt>
              <c:pt idx="34">
                <c:v>11/98</c:v>
              </c:pt>
              <c:pt idx="35">
                <c:v>12/98</c:v>
              </c:pt>
              <c:pt idx="36">
                <c:v>1/99</c:v>
              </c:pt>
              <c:pt idx="37">
                <c:v>2/99</c:v>
              </c:pt>
              <c:pt idx="38">
                <c:v>3/99</c:v>
              </c:pt>
              <c:pt idx="39">
                <c:v>4/99</c:v>
              </c:pt>
              <c:pt idx="40">
                <c:v>5/99</c:v>
              </c:pt>
              <c:pt idx="41">
                <c:v>6/99</c:v>
              </c:pt>
              <c:pt idx="42">
                <c:v>7/99</c:v>
              </c:pt>
              <c:pt idx="43">
                <c:v>8/99</c:v>
              </c:pt>
              <c:pt idx="44">
                <c:v>9/99</c:v>
              </c:pt>
              <c:pt idx="45">
                <c:v>10/99</c:v>
              </c:pt>
              <c:pt idx="46">
                <c:v>11/99</c:v>
              </c:pt>
              <c:pt idx="47">
                <c:v>12/99</c:v>
              </c:pt>
              <c:pt idx="48">
                <c:v>1/00</c:v>
              </c:pt>
              <c:pt idx="49">
                <c:v>2/00</c:v>
              </c:pt>
              <c:pt idx="50">
                <c:v>3/00</c:v>
              </c:pt>
              <c:pt idx="51">
                <c:v>4/00</c:v>
              </c:pt>
              <c:pt idx="52">
                <c:v>5/00</c:v>
              </c:pt>
              <c:pt idx="53">
                <c:v>6/00</c:v>
              </c:pt>
            </c:strLit>
          </c:cat>
          <c:val>
            <c:numLit>
              <c:formatCode>General</c:formatCode>
              <c:ptCount val="54"/>
              <c:pt idx="36">
                <c:v>0</c:v>
              </c:pt>
              <c:pt idx="37">
                <c:v>#N/A</c:v>
              </c:pt>
              <c:pt idx="38">
                <c:v>0</c:v>
              </c:pt>
              <c:pt idx="39">
                <c:v>#N/A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#N/A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#N/A</c:v>
              </c:pt>
              <c:pt idx="48">
                <c:v>0</c:v>
              </c:pt>
              <c:pt idx="49">
                <c:v>#N/A</c:v>
              </c:pt>
              <c:pt idx="50">
                <c:v>0</c:v>
              </c:pt>
              <c:pt idx="51">
                <c:v>#N/A</c:v>
              </c:pt>
              <c:pt idx="52">
                <c:v>0</c:v>
              </c:pt>
              <c:pt idx="5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DD04-4EF9-AB2C-133B22FD8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545536"/>
        <c:axId val="468547456"/>
      </c:lineChart>
      <c:catAx>
        <c:axId val="4685455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none"/>
        <c:minorTickMark val="in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547456"/>
        <c:crosses val="autoZero"/>
        <c:auto val="0"/>
        <c:lblAlgn val="ctr"/>
        <c:lblOffset val="100"/>
        <c:tickLblSkip val="6"/>
        <c:tickMarkSkip val="1"/>
        <c:noMultiLvlLbl val="0"/>
      </c:catAx>
      <c:valAx>
        <c:axId val="4685474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PMPM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[$$-409]#,##0" sourceLinked="0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545536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Observed Seasonality Patterns</a:t>
            </a:r>
          </a:p>
        </c:rich>
      </c:tx>
      <c:layout>
        <c:manualLayout>
          <c:xMode val="edge"/>
          <c:yMode val="edge"/>
          <c:x val="0.27911275415896486"/>
          <c:y val="3.17460317460317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088789648067142E-2"/>
          <c:y val="0.116402417127607"/>
          <c:w val="0.89648879434134698"/>
          <c:h val="0.72486959756737213"/>
        </c:manualLayout>
      </c:layout>
      <c:lineChart>
        <c:grouping val="standard"/>
        <c:varyColors val="0"/>
        <c:ser>
          <c:idx val="0"/>
          <c:order val="0"/>
          <c:tx>
            <c:strRef>
              <c:f>Seasonality!$T$33</c:f>
              <c:strCache>
                <c:ptCount val="1"/>
                <c:pt idx="0">
                  <c:v>Year 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Seasonality!$S$9:$S$20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Seasonality!$T$9:$T$20</c:f>
              <c:numCache>
                <c:formatCode>0.000</c:formatCode>
                <c:ptCount val="12"/>
                <c:pt idx="0">
                  <c:v>0.82</c:v>
                </c:pt>
                <c:pt idx="1">
                  <c:v>0.78</c:v>
                </c:pt>
                <c:pt idx="2">
                  <c:v>0.97</c:v>
                </c:pt>
                <c:pt idx="3">
                  <c:v>0.89</c:v>
                </c:pt>
                <c:pt idx="4">
                  <c:v>0.91</c:v>
                </c:pt>
                <c:pt idx="5">
                  <c:v>0.96</c:v>
                </c:pt>
                <c:pt idx="6">
                  <c:v>1</c:v>
                </c:pt>
                <c:pt idx="7">
                  <c:v>1.19</c:v>
                </c:pt>
                <c:pt idx="8">
                  <c:v>1.1499999999999999</c:v>
                </c:pt>
                <c:pt idx="9">
                  <c:v>1.18</c:v>
                </c:pt>
                <c:pt idx="10">
                  <c:v>1.17</c:v>
                </c:pt>
                <c:pt idx="11">
                  <c:v>1.22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1-4C2E-87A4-8E660805FF7B}"/>
            </c:ext>
          </c:extLst>
        </c:ser>
        <c:ser>
          <c:idx val="1"/>
          <c:order val="1"/>
          <c:tx>
            <c:strRef>
              <c:f>Seasonality!$T$34</c:f>
              <c:strCache>
                <c:ptCount val="1"/>
                <c:pt idx="0">
                  <c:v>Year 2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FF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Seasonality!$S$9:$S$20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Seasonality!$U$9:$U$20</c:f>
              <c:numCache>
                <c:formatCode>0.000</c:formatCode>
                <c:ptCount val="12"/>
                <c:pt idx="0">
                  <c:v>0.86</c:v>
                </c:pt>
                <c:pt idx="1">
                  <c:v>0.89</c:v>
                </c:pt>
                <c:pt idx="2">
                  <c:v>1.08</c:v>
                </c:pt>
                <c:pt idx="3">
                  <c:v>0.93</c:v>
                </c:pt>
                <c:pt idx="4">
                  <c:v>0.98</c:v>
                </c:pt>
                <c:pt idx="5">
                  <c:v>0.98</c:v>
                </c:pt>
                <c:pt idx="6">
                  <c:v>0.95</c:v>
                </c:pt>
                <c:pt idx="7">
                  <c:v>1.1200000000000001</c:v>
                </c:pt>
                <c:pt idx="8">
                  <c:v>1.02</c:v>
                </c:pt>
                <c:pt idx="9">
                  <c:v>1.04</c:v>
                </c:pt>
                <c:pt idx="10">
                  <c:v>0.98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1-4C2E-87A4-8E660805FF7B}"/>
            </c:ext>
          </c:extLst>
        </c:ser>
        <c:ser>
          <c:idx val="2"/>
          <c:order val="2"/>
          <c:tx>
            <c:strRef>
              <c:f>Seasonality!$T$35</c:f>
              <c:strCache>
                <c:ptCount val="1"/>
                <c:pt idx="0">
                  <c:v>Year 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Seasonality!$S$9:$S$20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Seasonality!$V$9:$V$20</c:f>
              <c:numCache>
                <c:formatCode>0.000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0.9</c:v>
                </c:pt>
                <c:pt idx="4">
                  <c:v>1.01</c:v>
                </c:pt>
                <c:pt idx="5">
                  <c:v>1.03</c:v>
                </c:pt>
                <c:pt idx="6">
                  <c:v>0.96</c:v>
                </c:pt>
                <c:pt idx="7">
                  <c:v>1.1000000000000001</c:v>
                </c:pt>
                <c:pt idx="8">
                  <c:v>1</c:v>
                </c:pt>
                <c:pt idx="9">
                  <c:v>1.1399999999999999</c:v>
                </c:pt>
                <c:pt idx="10">
                  <c:v>1.06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1-4C2E-87A4-8E660805FF7B}"/>
            </c:ext>
          </c:extLst>
        </c:ser>
        <c:ser>
          <c:idx val="3"/>
          <c:order val="3"/>
          <c:tx>
            <c:strRef>
              <c:f>Seasonality!$T$36</c:f>
              <c:strCache>
                <c:ptCount val="1"/>
                <c:pt idx="0">
                  <c:v>Standard Fx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Seasonality!$S$9:$S$20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Seasonality!$W$9:$W$20</c:f>
              <c:numCache>
                <c:formatCode>0.000</c:formatCode>
                <c:ptCount val="12"/>
                <c:pt idx="0">
                  <c:v>1.02</c:v>
                </c:pt>
                <c:pt idx="1">
                  <c:v>0.97</c:v>
                </c:pt>
                <c:pt idx="2">
                  <c:v>1.03</c:v>
                </c:pt>
                <c:pt idx="3">
                  <c:v>1.01</c:v>
                </c:pt>
                <c:pt idx="4">
                  <c:v>1.02</c:v>
                </c:pt>
                <c:pt idx="5">
                  <c:v>1.02</c:v>
                </c:pt>
                <c:pt idx="6">
                  <c:v>0.98</c:v>
                </c:pt>
                <c:pt idx="7">
                  <c:v>1.02</c:v>
                </c:pt>
                <c:pt idx="8">
                  <c:v>0.99</c:v>
                </c:pt>
                <c:pt idx="9">
                  <c:v>1.01</c:v>
                </c:pt>
                <c:pt idx="10">
                  <c:v>0.98</c:v>
                </c:pt>
                <c:pt idx="11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41-4C2E-87A4-8E660805FF7B}"/>
            </c:ext>
          </c:extLst>
        </c:ser>
        <c:ser>
          <c:idx val="4"/>
          <c:order val="4"/>
          <c:tx>
            <c:strRef>
              <c:f>Seasonality!$T$37</c:f>
              <c:strCache>
                <c:ptCount val="1"/>
                <c:pt idx="0">
                  <c:v>Balanced Fx</c:v>
                </c:pt>
              </c:strCache>
            </c:strRef>
          </c:tx>
          <c:cat>
            <c:strRef>
              <c:f>Seasonality!$S$9:$S$20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Seasonality!$X$9:$X$20</c:f>
              <c:numCache>
                <c:formatCode>0.000</c:formatCode>
                <c:ptCount val="12"/>
                <c:pt idx="0">
                  <c:v>0.91999236490763958</c:v>
                </c:pt>
                <c:pt idx="1">
                  <c:v>0.91718811096511932</c:v>
                </c:pt>
                <c:pt idx="2">
                  <c:v>1.0146321516476946</c:v>
                </c:pt>
                <c:pt idx="3">
                  <c:v>0.9544422248588863</c:v>
                </c:pt>
                <c:pt idx="4">
                  <c:v>0.98283210101702634</c:v>
                </c:pt>
                <c:pt idx="5">
                  <c:v>0.99584207481385023</c:v>
                </c:pt>
                <c:pt idx="6">
                  <c:v>0.98562975643359474</c:v>
                </c:pt>
                <c:pt idx="7">
                  <c:v>1.0681330297880249</c:v>
                </c:pt>
                <c:pt idx="8">
                  <c:v>1.0276688033336514</c:v>
                </c:pt>
                <c:pt idx="9">
                  <c:v>1.0605356729996958</c:v>
                </c:pt>
                <c:pt idx="10">
                  <c:v>1.0364137683968733</c:v>
                </c:pt>
                <c:pt idx="11">
                  <c:v>1.0366899408379435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F4-49F6-AB14-6727F8227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635008"/>
        <c:axId val="468714624"/>
      </c:lineChart>
      <c:catAx>
        <c:axId val="4686350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714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714624"/>
        <c:scaling>
          <c:orientation val="minMax"/>
          <c:max val="1.4939999580383301"/>
          <c:min val="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635008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2969178852643423"/>
          <c:y val="0.91950569918137004"/>
          <c:w val="0.77400724909386331"/>
          <c:h val="5.085766545470767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Fee Schedule/Benefit Adjusted
Rolling Average Trends vs. Least Square Trend</a:t>
            </a:r>
          </a:p>
        </c:rich>
      </c:tx>
      <c:layout>
        <c:manualLayout>
          <c:xMode val="edge"/>
          <c:yMode val="edge"/>
          <c:x val="0.22886597938144329"/>
          <c:y val="3.7174721189591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546391752577315"/>
          <c:y val="0.18959107806691466"/>
          <c:w val="0.83505154639175261"/>
          <c:h val="0.60594795539033464"/>
        </c:manualLayout>
      </c:layout>
      <c:lineChart>
        <c:grouping val="standard"/>
        <c:varyColors val="0"/>
        <c:ser>
          <c:idx val="0"/>
          <c:order val="0"/>
          <c:tx>
            <c:v>3 Mo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Trends!$K$71:$K$83</c:f>
              <c:numCache>
                <c:formatCode>[$-409]mmm\-yy;@</c:formatCode>
                <c:ptCount val="13"/>
                <c:pt idx="0">
                  <c:v>44986</c:v>
                </c:pt>
                <c:pt idx="1">
                  <c:v>45017</c:v>
                </c:pt>
                <c:pt idx="2">
                  <c:v>45047</c:v>
                </c:pt>
                <c:pt idx="3">
                  <c:v>45078</c:v>
                </c:pt>
                <c:pt idx="4">
                  <c:v>45108</c:v>
                </c:pt>
                <c:pt idx="5">
                  <c:v>45139</c:v>
                </c:pt>
                <c:pt idx="6">
                  <c:v>45170</c:v>
                </c:pt>
                <c:pt idx="7">
                  <c:v>45200</c:v>
                </c:pt>
                <c:pt idx="8">
                  <c:v>45231</c:v>
                </c:pt>
                <c:pt idx="9">
                  <c:v>45261</c:v>
                </c:pt>
                <c:pt idx="10">
                  <c:v>45292</c:v>
                </c:pt>
                <c:pt idx="11">
                  <c:v>45323</c:v>
                </c:pt>
                <c:pt idx="12">
                  <c:v>45352</c:v>
                </c:pt>
              </c:numCache>
            </c:numRef>
          </c:cat>
          <c:val>
            <c:numRef>
              <c:f>Trends!$L$71:$L$83</c:f>
              <c:numCache>
                <c:formatCode>0.0%</c:formatCode>
                <c:ptCount val="13"/>
                <c:pt idx="0">
                  <c:v>0.10010809101590157</c:v>
                </c:pt>
                <c:pt idx="1">
                  <c:v>6.6597792416548174E-2</c:v>
                </c:pt>
                <c:pt idx="2">
                  <c:v>3.2676003472606796E-2</c:v>
                </c:pt>
                <c:pt idx="3">
                  <c:v>9.777316695672722E-3</c:v>
                </c:pt>
                <c:pt idx="4">
                  <c:v>2.5266682435893362E-2</c:v>
                </c:pt>
                <c:pt idx="5">
                  <c:v>9.0956922841671783E-3</c:v>
                </c:pt>
                <c:pt idx="6">
                  <c:v>-1.3118994562174024E-2</c:v>
                </c:pt>
                <c:pt idx="7">
                  <c:v>1.5091726050895815E-2</c:v>
                </c:pt>
                <c:pt idx="8">
                  <c:v>4.5536470644615301E-2</c:v>
                </c:pt>
                <c:pt idx="9">
                  <c:v>5.3542043146839857E-2</c:v>
                </c:pt>
                <c:pt idx="10">
                  <c:v>4.5654885156313441E-2</c:v>
                </c:pt>
                <c:pt idx="11">
                  <c:v>3.9333150474620604E-2</c:v>
                </c:pt>
                <c:pt idx="12">
                  <c:v>2.7596315962892026E-2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21-4457-BA94-3E8212BBFFA8}"/>
            </c:ext>
          </c:extLst>
        </c:ser>
        <c:ser>
          <c:idx val="1"/>
          <c:order val="1"/>
          <c:tx>
            <c:v>6 Mo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Trends!$K$71:$K$83</c:f>
              <c:numCache>
                <c:formatCode>[$-409]mmm\-yy;@</c:formatCode>
                <c:ptCount val="13"/>
                <c:pt idx="0">
                  <c:v>44986</c:v>
                </c:pt>
                <c:pt idx="1">
                  <c:v>45017</c:v>
                </c:pt>
                <c:pt idx="2">
                  <c:v>45047</c:v>
                </c:pt>
                <c:pt idx="3">
                  <c:v>45078</c:v>
                </c:pt>
                <c:pt idx="4">
                  <c:v>45108</c:v>
                </c:pt>
                <c:pt idx="5">
                  <c:v>45139</c:v>
                </c:pt>
                <c:pt idx="6">
                  <c:v>45170</c:v>
                </c:pt>
                <c:pt idx="7">
                  <c:v>45200</c:v>
                </c:pt>
                <c:pt idx="8">
                  <c:v>45231</c:v>
                </c:pt>
                <c:pt idx="9">
                  <c:v>45261</c:v>
                </c:pt>
                <c:pt idx="10">
                  <c:v>45292</c:v>
                </c:pt>
                <c:pt idx="11">
                  <c:v>45323</c:v>
                </c:pt>
                <c:pt idx="12">
                  <c:v>45352</c:v>
                </c:pt>
              </c:numCache>
            </c:numRef>
          </c:cat>
          <c:val>
            <c:numRef>
              <c:f>Trends!$M$71:$M$83</c:f>
              <c:numCache>
                <c:formatCode>0.0%</c:formatCode>
                <c:ptCount val="13"/>
                <c:pt idx="0">
                  <c:v>-5.1758516305738356E-2</c:v>
                </c:pt>
                <c:pt idx="1">
                  <c:v>-3.4272007733281096E-2</c:v>
                </c:pt>
                <c:pt idx="2">
                  <c:v>3.7371628781914801E-3</c:v>
                </c:pt>
                <c:pt idx="3">
                  <c:v>5.2250456830420511E-2</c:v>
                </c:pt>
                <c:pt idx="4">
                  <c:v>4.5110348628492059E-2</c:v>
                </c:pt>
                <c:pt idx="5">
                  <c:v>2.0570492487188341E-2</c:v>
                </c:pt>
                <c:pt idx="6">
                  <c:v>-2.0254230760268221E-3</c:v>
                </c:pt>
                <c:pt idx="7">
                  <c:v>1.9962228869046861E-2</c:v>
                </c:pt>
                <c:pt idx="8">
                  <c:v>2.7276856263154903E-2</c:v>
                </c:pt>
                <c:pt idx="9">
                  <c:v>1.9835320719978844E-2</c:v>
                </c:pt>
                <c:pt idx="10">
                  <c:v>2.9530326568855347E-2</c:v>
                </c:pt>
                <c:pt idx="11">
                  <c:v>4.2589634816276867E-2</c:v>
                </c:pt>
                <c:pt idx="12">
                  <c:v>4.097990025838727E-2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21-4457-BA94-3E8212BBFFA8}"/>
            </c:ext>
          </c:extLst>
        </c:ser>
        <c:ser>
          <c:idx val="2"/>
          <c:order val="2"/>
          <c:tx>
            <c:v>12 Mo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Trends!$K$71:$K$83</c:f>
              <c:numCache>
                <c:formatCode>[$-409]mmm\-yy;@</c:formatCode>
                <c:ptCount val="13"/>
                <c:pt idx="0">
                  <c:v>44986</c:v>
                </c:pt>
                <c:pt idx="1">
                  <c:v>45017</c:v>
                </c:pt>
                <c:pt idx="2">
                  <c:v>45047</c:v>
                </c:pt>
                <c:pt idx="3">
                  <c:v>45078</c:v>
                </c:pt>
                <c:pt idx="4">
                  <c:v>45108</c:v>
                </c:pt>
                <c:pt idx="5">
                  <c:v>45139</c:v>
                </c:pt>
                <c:pt idx="6">
                  <c:v>45170</c:v>
                </c:pt>
                <c:pt idx="7">
                  <c:v>45200</c:v>
                </c:pt>
                <c:pt idx="8">
                  <c:v>45231</c:v>
                </c:pt>
                <c:pt idx="9">
                  <c:v>45261</c:v>
                </c:pt>
                <c:pt idx="10">
                  <c:v>45292</c:v>
                </c:pt>
                <c:pt idx="11">
                  <c:v>45323</c:v>
                </c:pt>
                <c:pt idx="12">
                  <c:v>45352</c:v>
                </c:pt>
              </c:numCache>
            </c:numRef>
          </c:cat>
          <c:val>
            <c:numRef>
              <c:f>Trends!$N$71:$N$83</c:f>
              <c:numCache>
                <c:formatCode>0.0%</c:formatCode>
                <c:ptCount val="13"/>
                <c:pt idx="0">
                  <c:v>-3.8298701164099502E-2</c:v>
                </c:pt>
                <c:pt idx="1">
                  <c:v>-4.4378076824705626E-2</c:v>
                </c:pt>
                <c:pt idx="2">
                  <c:v>-4.7360609664821807E-2</c:v>
                </c:pt>
                <c:pt idx="3">
                  <c:v>-4.532778323630593E-2</c:v>
                </c:pt>
                <c:pt idx="4">
                  <c:v>-4.0089177916272756E-2</c:v>
                </c:pt>
                <c:pt idx="5">
                  <c:v>-3.5703342593939258E-2</c:v>
                </c:pt>
                <c:pt idx="6">
                  <c:v>-2.7263757888178586E-2</c:v>
                </c:pt>
                <c:pt idx="7">
                  <c:v>-6.7644450424725333E-3</c:v>
                </c:pt>
                <c:pt idx="8">
                  <c:v>1.5880632265681038E-2</c:v>
                </c:pt>
                <c:pt idx="9">
                  <c:v>3.5163344972331201E-2</c:v>
                </c:pt>
                <c:pt idx="10">
                  <c:v>3.7045251586962369E-2</c:v>
                </c:pt>
                <c:pt idx="11">
                  <c:v>3.1433532351111682E-2</c:v>
                </c:pt>
                <c:pt idx="12">
                  <c:v>1.9227376322711542E-2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21-4457-BA94-3E8212BBFFA8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Trends!$K$71:$K$83</c:f>
              <c:numCache>
                <c:formatCode>[$-409]mmm\-yy;@</c:formatCode>
                <c:ptCount val="13"/>
                <c:pt idx="0">
                  <c:v>44986</c:v>
                </c:pt>
                <c:pt idx="1">
                  <c:v>45017</c:v>
                </c:pt>
                <c:pt idx="2">
                  <c:v>45047</c:v>
                </c:pt>
                <c:pt idx="3">
                  <c:v>45078</c:v>
                </c:pt>
                <c:pt idx="4">
                  <c:v>45108</c:v>
                </c:pt>
                <c:pt idx="5">
                  <c:v>45139</c:v>
                </c:pt>
                <c:pt idx="6">
                  <c:v>45170</c:v>
                </c:pt>
                <c:pt idx="7">
                  <c:v>45200</c:v>
                </c:pt>
                <c:pt idx="8">
                  <c:v>45231</c:v>
                </c:pt>
                <c:pt idx="9">
                  <c:v>45261</c:v>
                </c:pt>
                <c:pt idx="10">
                  <c:v>45292</c:v>
                </c:pt>
                <c:pt idx="11">
                  <c:v>45323</c:v>
                </c:pt>
                <c:pt idx="12">
                  <c:v>45352</c:v>
                </c:pt>
              </c:numCache>
            </c:numRef>
          </c:cat>
          <c:val>
            <c:numRef>
              <c:f>Trends!$O$71:$O$83</c:f>
              <c:numCache>
                <c:formatCode>0.0%</c:formatCode>
                <c:ptCount val="13"/>
                <c:pt idx="0">
                  <c:v>3.333535781468E-2</c:v>
                </c:pt>
                <c:pt idx="1">
                  <c:v>3.333535781468E-2</c:v>
                </c:pt>
                <c:pt idx="2">
                  <c:v>3.333535781468E-2</c:v>
                </c:pt>
                <c:pt idx="3">
                  <c:v>3.333535781468E-2</c:v>
                </c:pt>
                <c:pt idx="4">
                  <c:v>3.333535781468E-2</c:v>
                </c:pt>
                <c:pt idx="5">
                  <c:v>3.333535781468E-2</c:v>
                </c:pt>
                <c:pt idx="6">
                  <c:v>3.333535781468E-2</c:v>
                </c:pt>
                <c:pt idx="7">
                  <c:v>3.333535781468E-2</c:v>
                </c:pt>
                <c:pt idx="8">
                  <c:v>3.333535781468E-2</c:v>
                </c:pt>
                <c:pt idx="9">
                  <c:v>3.333535781468E-2</c:v>
                </c:pt>
                <c:pt idx="10">
                  <c:v>3.333535781468E-2</c:v>
                </c:pt>
                <c:pt idx="11">
                  <c:v>3.333535781468E-2</c:v>
                </c:pt>
                <c:pt idx="12">
                  <c:v>3.333535781468E-2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821-4457-BA94-3E8212BBF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931520"/>
        <c:axId val="469933440"/>
      </c:lineChart>
      <c:dateAx>
        <c:axId val="4699315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933440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4699334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931520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2783505154639199"/>
          <c:y val="0.89219330855018653"/>
          <c:w val="0.72577319587628852"/>
          <c:h val="8.178438661710042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Trend Study on Actual PMPMs
Rolling Average Trends vs. Least Square Trend</a:t>
            </a:r>
          </a:p>
        </c:rich>
      </c:tx>
      <c:layout>
        <c:manualLayout>
          <c:xMode val="edge"/>
          <c:yMode val="edge"/>
          <c:x val="0.26086956521739163"/>
          <c:y val="3.260869565217397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44945484009645"/>
          <c:y val="0.14130434782608711"/>
          <c:w val="0.85507397650938577"/>
          <c:h val="0.62228260869565222"/>
        </c:manualLayout>
      </c:layout>
      <c:lineChart>
        <c:grouping val="standard"/>
        <c:varyColors val="0"/>
        <c:ser>
          <c:idx val="0"/>
          <c:order val="0"/>
          <c:tx>
            <c:v>3 Mo Roll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Trends!$E$62:$E$83</c:f>
              <c:numCache>
                <c:formatCode>0.0%</c:formatCode>
                <c:ptCount val="22"/>
                <c:pt idx="0">
                  <c:v>4.3276712875373269E-2</c:v>
                </c:pt>
                <c:pt idx="1">
                  <c:v>7.4442625310535693E-3</c:v>
                </c:pt>
                <c:pt idx="2">
                  <c:v>-3.8228917618885694E-2</c:v>
                </c:pt>
                <c:pt idx="3">
                  <c:v>-8.1109676981162004E-2</c:v>
                </c:pt>
                <c:pt idx="4">
                  <c:v>-0.10359989284557736</c:v>
                </c:pt>
                <c:pt idx="5">
                  <c:v>-0.1383893561055658</c:v>
                </c:pt>
                <c:pt idx="6">
                  <c:v>-0.16053185151553429</c:v>
                </c:pt>
                <c:pt idx="7">
                  <c:v>-0.11847523162027418</c:v>
                </c:pt>
                <c:pt idx="8">
                  <c:v>-2.5918086730485346E-2</c:v>
                </c:pt>
                <c:pt idx="9">
                  <c:v>0.10010809101590157</c:v>
                </c:pt>
                <c:pt idx="10">
                  <c:v>6.6597792416548174E-2</c:v>
                </c:pt>
                <c:pt idx="11">
                  <c:v>3.2676003472606796E-2</c:v>
                </c:pt>
                <c:pt idx="12">
                  <c:v>9.777316695672722E-3</c:v>
                </c:pt>
                <c:pt idx="13">
                  <c:v>2.5266682435893362E-2</c:v>
                </c:pt>
                <c:pt idx="14">
                  <c:v>9.0956922841671783E-3</c:v>
                </c:pt>
                <c:pt idx="15">
                  <c:v>-1.3118994562174024E-2</c:v>
                </c:pt>
                <c:pt idx="16">
                  <c:v>1.5091726050895815E-2</c:v>
                </c:pt>
                <c:pt idx="17">
                  <c:v>4.5536470644615301E-2</c:v>
                </c:pt>
                <c:pt idx="18">
                  <c:v>5.3542043146839857E-2</c:v>
                </c:pt>
                <c:pt idx="19">
                  <c:v>4.5654885156313441E-2</c:v>
                </c:pt>
                <c:pt idx="20">
                  <c:v>3.9333150474620604E-2</c:v>
                </c:pt>
                <c:pt idx="21">
                  <c:v>2.7596315962892026E-2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28-46CA-97E6-AEA8331263AC}"/>
            </c:ext>
          </c:extLst>
        </c:ser>
        <c:ser>
          <c:idx val="1"/>
          <c:order val="1"/>
          <c:tx>
            <c:v>6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Trends!$F$62:$F$83</c:f>
              <c:numCache>
                <c:formatCode>0.0%</c:formatCode>
                <c:ptCount val="22"/>
                <c:pt idx="3">
                  <c:v>-2.477386655819136E-2</c:v>
                </c:pt>
                <c:pt idx="4">
                  <c:v>-5.367025561163985E-2</c:v>
                </c:pt>
                <c:pt idx="5">
                  <c:v>-9.0952599397425393E-2</c:v>
                </c:pt>
                <c:pt idx="6">
                  <c:v>-0.12216691393077372</c:v>
                </c:pt>
                <c:pt idx="7">
                  <c:v>-0.11068934539176767</c:v>
                </c:pt>
                <c:pt idx="8">
                  <c:v>-8.8387255455566027E-2</c:v>
                </c:pt>
                <c:pt idx="9">
                  <c:v>-5.1758516305738356E-2</c:v>
                </c:pt>
                <c:pt idx="10">
                  <c:v>-3.4272007733281096E-2</c:v>
                </c:pt>
                <c:pt idx="11">
                  <c:v>3.7371628781914801E-3</c:v>
                </c:pt>
                <c:pt idx="12">
                  <c:v>5.2250456830420511E-2</c:v>
                </c:pt>
                <c:pt idx="13">
                  <c:v>4.5110348628492059E-2</c:v>
                </c:pt>
                <c:pt idx="14">
                  <c:v>2.0570492487188341E-2</c:v>
                </c:pt>
                <c:pt idx="15">
                  <c:v>-2.0254230760268221E-3</c:v>
                </c:pt>
                <c:pt idx="16">
                  <c:v>1.9962228869046861E-2</c:v>
                </c:pt>
                <c:pt idx="17">
                  <c:v>2.7276856263154903E-2</c:v>
                </c:pt>
                <c:pt idx="18">
                  <c:v>1.9835320719978844E-2</c:v>
                </c:pt>
                <c:pt idx="19">
                  <c:v>2.9530326568855347E-2</c:v>
                </c:pt>
                <c:pt idx="20">
                  <c:v>4.2589634816276867E-2</c:v>
                </c:pt>
                <c:pt idx="21">
                  <c:v>4.097990025838727E-2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28-46CA-97E6-AEA8331263AC}"/>
            </c:ext>
          </c:extLst>
        </c:ser>
        <c:ser>
          <c:idx val="2"/>
          <c:order val="2"/>
          <c:tx>
            <c:v>12 Mo Roll Ave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Trends!$G$62:$G$83</c:f>
              <c:numCache>
                <c:formatCode>0.0%</c:formatCode>
                <c:ptCount val="22"/>
                <c:pt idx="9">
                  <c:v>-3.8298701164099502E-2</c:v>
                </c:pt>
                <c:pt idx="10">
                  <c:v>-4.4378076824705626E-2</c:v>
                </c:pt>
                <c:pt idx="11">
                  <c:v>-4.7360609664821807E-2</c:v>
                </c:pt>
                <c:pt idx="12">
                  <c:v>-4.532778323630593E-2</c:v>
                </c:pt>
                <c:pt idx="13">
                  <c:v>-4.0089177916272756E-2</c:v>
                </c:pt>
                <c:pt idx="14">
                  <c:v>-3.5703342593939258E-2</c:v>
                </c:pt>
                <c:pt idx="15">
                  <c:v>-2.7263757888178586E-2</c:v>
                </c:pt>
                <c:pt idx="16">
                  <c:v>-6.7644450424725333E-3</c:v>
                </c:pt>
                <c:pt idx="17">
                  <c:v>1.5880632265681038E-2</c:v>
                </c:pt>
                <c:pt idx="18">
                  <c:v>3.5163344972331201E-2</c:v>
                </c:pt>
                <c:pt idx="19">
                  <c:v>3.7045251586962369E-2</c:v>
                </c:pt>
                <c:pt idx="20">
                  <c:v>3.1433532351111682E-2</c:v>
                </c:pt>
                <c:pt idx="21">
                  <c:v>1.9227376322711542E-2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28-46CA-97E6-AEA8331263AC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Trends!$H$62:$H$83</c:f>
              <c:numCache>
                <c:formatCode>0.0%</c:formatCode>
                <c:ptCount val="22"/>
                <c:pt idx="0">
                  <c:v>-2.0919267130664165E-2</c:v>
                </c:pt>
                <c:pt idx="1">
                  <c:v>-2.0919267130664165E-2</c:v>
                </c:pt>
                <c:pt idx="2">
                  <c:v>-2.0919267130664165E-2</c:v>
                </c:pt>
                <c:pt idx="3">
                  <c:v>-2.0919267130664165E-2</c:v>
                </c:pt>
                <c:pt idx="4">
                  <c:v>-2.0919267130664165E-2</c:v>
                </c:pt>
                <c:pt idx="5">
                  <c:v>-2.0919267130664165E-2</c:v>
                </c:pt>
                <c:pt idx="6">
                  <c:v>-2.0919267130664165E-2</c:v>
                </c:pt>
                <c:pt idx="7">
                  <c:v>-2.0919267130664165E-2</c:v>
                </c:pt>
                <c:pt idx="8">
                  <c:v>-2.0919267130664165E-2</c:v>
                </c:pt>
                <c:pt idx="9">
                  <c:v>-2.0919267130664165E-2</c:v>
                </c:pt>
                <c:pt idx="10">
                  <c:v>-2.0919267130664165E-2</c:v>
                </c:pt>
                <c:pt idx="11">
                  <c:v>-2.0919267130664165E-2</c:v>
                </c:pt>
                <c:pt idx="12">
                  <c:v>-2.0919267130664165E-2</c:v>
                </c:pt>
                <c:pt idx="13">
                  <c:v>-2.0919267130664165E-2</c:v>
                </c:pt>
                <c:pt idx="14">
                  <c:v>-2.0919267130664165E-2</c:v>
                </c:pt>
                <c:pt idx="15">
                  <c:v>-2.0919267130664165E-2</c:v>
                </c:pt>
                <c:pt idx="16">
                  <c:v>-2.0919267130664165E-2</c:v>
                </c:pt>
                <c:pt idx="17">
                  <c:v>-2.0919267130664165E-2</c:v>
                </c:pt>
                <c:pt idx="18">
                  <c:v>-2.0919267130664165E-2</c:v>
                </c:pt>
                <c:pt idx="19">
                  <c:v>-2.0919267130664165E-2</c:v>
                </c:pt>
                <c:pt idx="20">
                  <c:v>-2.0919267130664165E-2</c:v>
                </c:pt>
                <c:pt idx="21">
                  <c:v>-2.0919267130664165E-2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28-46CA-97E6-AEA833126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018304"/>
        <c:axId val="470499712"/>
      </c:lineChart>
      <c:dateAx>
        <c:axId val="4700183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499712"/>
        <c:crossesAt val="-0.20999999344348907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4704997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01830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1231884057971006"/>
          <c:y val="0.93206521739130499"/>
          <c:w val="0.74637681159420355"/>
          <c:h val="5.978260869565229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1847826086956602"/>
          <c:y val="3.428571428571434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855098744442724"/>
          <c:y val="0.11428571428571441"/>
          <c:w val="0.80616084649719566"/>
          <c:h val="0.6857142857142855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35.869891317541402</c:v>
                </c:pt>
                <c:pt idx="1">
                  <c:v>36.591966235234068</c:v>
                </c:pt>
                <c:pt idx="2">
                  <c:v>38.790531392615186</c:v>
                </c:pt>
                <c:pt idx="3">
                  <c:v>40.350388620093234</c:v>
                </c:pt>
                <c:pt idx="4">
                  <c:v>47.798624963803547</c:v>
                </c:pt>
                <c:pt idx="5">
                  <c:v>46.237790728679677</c:v>
                </c:pt>
                <c:pt idx="6">
                  <c:v>47.622125569631088</c:v>
                </c:pt>
                <c:pt idx="7">
                  <c:v>47.227304643709218</c:v>
                </c:pt>
                <c:pt idx="8">
                  <c:v>48.96810775013158</c:v>
                </c:pt>
                <c:pt idx="9">
                  <c:v>32.792024176098245</c:v>
                </c:pt>
                <c:pt idx="10">
                  <c:v>31.17009535145916</c:v>
                </c:pt>
                <c:pt idx="11">
                  <c:v>39.046129236548509</c:v>
                </c:pt>
                <c:pt idx="12">
                  <c:v>37.458797906089245</c:v>
                </c:pt>
                <c:pt idx="13">
                  <c:v>39.220997237718201</c:v>
                </c:pt>
                <c:pt idx="14">
                  <c:v>39.387231494672243</c:v>
                </c:pt>
                <c:pt idx="15">
                  <c:v>37.986203504258292</c:v>
                </c:pt>
                <c:pt idx="16">
                  <c:v>44.71334857009554</c:v>
                </c:pt>
                <c:pt idx="17">
                  <c:v>40.787181949898923</c:v>
                </c:pt>
                <c:pt idx="18">
                  <c:v>41.482201046704006</c:v>
                </c:pt>
                <c:pt idx="19">
                  <c:v>39.292868284527216</c:v>
                </c:pt>
                <c:pt idx="20">
                  <c:v>39.955172982558864</c:v>
                </c:pt>
                <c:pt idx="21">
                  <c:v>34.457578879124007</c:v>
                </c:pt>
                <c:pt idx="22">
                  <c:v>35.59053999092955</c:v>
                </c:pt>
                <c:pt idx="23">
                  <c:v>43.272089036718107</c:v>
                </c:pt>
                <c:pt idx="24">
                  <c:v>35.983312262958279</c:v>
                </c:pt>
                <c:pt idx="25">
                  <c:v>40.251983787602725</c:v>
                </c:pt>
                <c:pt idx="26">
                  <c:v>40.966554665288186</c:v>
                </c:pt>
                <c:pt idx="27">
                  <c:v>38.321848276874519</c:v>
                </c:pt>
                <c:pt idx="28">
                  <c:v>43.908844442170953</c:v>
                </c:pt>
                <c:pt idx="29">
                  <c:v>39.63601951304247</c:v>
                </c:pt>
                <c:pt idx="30">
                  <c:v>45.354256209484092</c:v>
                </c:pt>
                <c:pt idx="31">
                  <c:v>42.107491445560107</c:v>
                </c:pt>
                <c:pt idx="32">
                  <c:v>39.732638501839261</c:v>
                </c:pt>
                <c:pt idx="33">
                  <c:v>37.056707228213348</c:v>
                </c:pt>
                <c:pt idx="34">
                  <c:v>37.540722153702205</c:v>
                </c:pt>
                <c:pt idx="35">
                  <c:v>41.849998787231975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92-4529-B59B-570B07D86223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41.059211258767021</c:v>
                </c:pt>
                <c:pt idx="2">
                  <c:v>41.010652442064291</c:v>
                </c:pt>
                <c:pt idx="3">
                  <c:v>40.962151053612324</c:v>
                </c:pt>
                <c:pt idx="4">
                  <c:v>40.913707025493366</c:v>
                </c:pt>
                <c:pt idx="5">
                  <c:v>40.865320289870041</c:v>
                </c:pt>
                <c:pt idx="6">
                  <c:v>40.816990778985208</c:v>
                </c:pt>
                <c:pt idx="7">
                  <c:v>40.768718425161786</c:v>
                </c:pt>
                <c:pt idx="8">
                  <c:v>40.720503160802821</c:v>
                </c:pt>
                <c:pt idx="9">
                  <c:v>40.672344918391232</c:v>
                </c:pt>
                <c:pt idx="10">
                  <c:v>40.62424363048985</c:v>
                </c:pt>
                <c:pt idx="11">
                  <c:v>40.576199229741192</c:v>
                </c:pt>
                <c:pt idx="12">
                  <c:v>40.52821164886749</c:v>
                </c:pt>
                <c:pt idx="13">
                  <c:v>40.480280820670544</c:v>
                </c:pt>
                <c:pt idx="14">
                  <c:v>40.432406678031569</c:v>
                </c:pt>
                <c:pt idx="15">
                  <c:v>40.384589153911236</c:v>
                </c:pt>
                <c:pt idx="16">
                  <c:v>40.336828181349418</c:v>
                </c:pt>
                <c:pt idx="17">
                  <c:v>40.289123693465243</c:v>
                </c:pt>
                <c:pt idx="18">
                  <c:v>40.241475623456928</c:v>
                </c:pt>
                <c:pt idx="19">
                  <c:v>40.193883904601648</c:v>
                </c:pt>
                <c:pt idx="20">
                  <c:v>40.146348470255546</c:v>
                </c:pt>
                <c:pt idx="21">
                  <c:v>40.098869253853536</c:v>
                </c:pt>
                <c:pt idx="22">
                  <c:v>40.051446188909274</c:v>
                </c:pt>
                <c:pt idx="23">
                  <c:v>40.004079209015075</c:v>
                </c:pt>
                <c:pt idx="24">
                  <c:v>39.956768247841715</c:v>
                </c:pt>
                <c:pt idx="25">
                  <c:v>39.909513239138512</c:v>
                </c:pt>
                <c:pt idx="26">
                  <c:v>39.862314116733046</c:v>
                </c:pt>
                <c:pt idx="27">
                  <c:v>39.815170814531228</c:v>
                </c:pt>
                <c:pt idx="28">
                  <c:v>39.768083266517067</c:v>
                </c:pt>
                <c:pt idx="29">
                  <c:v>39.7210514067527</c:v>
                </c:pt>
                <c:pt idx="30">
                  <c:v>39.674075169378256</c:v>
                </c:pt>
                <c:pt idx="31">
                  <c:v>39.627154488611673</c:v>
                </c:pt>
                <c:pt idx="32">
                  <c:v>39.580289298748788</c:v>
                </c:pt>
                <c:pt idx="33">
                  <c:v>39.53347953416305</c:v>
                </c:pt>
                <c:pt idx="34">
                  <c:v>39.486725129305583</c:v>
                </c:pt>
                <c:pt idx="35">
                  <c:v>39.440026018705034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92-4529-B59B-570B07D862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509824"/>
        <c:axId val="470536576"/>
      </c:lineChart>
      <c:catAx>
        <c:axId val="4705098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536576"/>
        <c:crosses val="autoZero"/>
        <c:auto val="1"/>
        <c:lblAlgn val="ctr"/>
        <c:lblOffset val="100"/>
        <c:tickLblSkip val="2"/>
        <c:tickMarkSkip val="2"/>
        <c:noMultiLvlLbl val="0"/>
      </c:catAx>
      <c:valAx>
        <c:axId val="470536576"/>
        <c:scaling>
          <c:orientation val="minMax"/>
          <c:max val="59"/>
          <c:min val="2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PMPMs</a:t>
                </a:r>
              </a:p>
            </c:rich>
          </c:tx>
          <c:layout>
            <c:manualLayout>
              <c:xMode val="edge"/>
              <c:yMode val="edge"/>
              <c:x val="3.2608695652173975E-2"/>
              <c:y val="0.40285714285714286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50982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39855072463768176"/>
          <c:y val="0.9285714285714286"/>
          <c:w val="0.52717391304347916"/>
          <c:h val="5.14285714285713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1491395793499092"/>
          <c:y val="3.31632653061224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778288362557123E-2"/>
          <c:y val="8.4183673469387682E-2"/>
          <c:w val="0.88145397781539159"/>
          <c:h val="0.74234693877551061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35.869891317541402</c:v>
                </c:pt>
                <c:pt idx="1">
                  <c:v>36.591966235234068</c:v>
                </c:pt>
                <c:pt idx="2">
                  <c:v>38.790531392615186</c:v>
                </c:pt>
                <c:pt idx="3">
                  <c:v>40.350388620093234</c:v>
                </c:pt>
                <c:pt idx="4">
                  <c:v>47.798624963803547</c:v>
                </c:pt>
                <c:pt idx="5">
                  <c:v>46.237790728679677</c:v>
                </c:pt>
                <c:pt idx="6">
                  <c:v>47.622125569631088</c:v>
                </c:pt>
                <c:pt idx="7">
                  <c:v>47.227304643709218</c:v>
                </c:pt>
                <c:pt idx="8">
                  <c:v>48.96810775013158</c:v>
                </c:pt>
                <c:pt idx="9">
                  <c:v>32.792024176098245</c:v>
                </c:pt>
                <c:pt idx="10">
                  <c:v>31.17009535145916</c:v>
                </c:pt>
                <c:pt idx="11">
                  <c:v>39.046129236548509</c:v>
                </c:pt>
                <c:pt idx="12">
                  <c:v>37.458797906089245</c:v>
                </c:pt>
                <c:pt idx="13">
                  <c:v>39.220997237718201</c:v>
                </c:pt>
                <c:pt idx="14">
                  <c:v>39.387231494672243</c:v>
                </c:pt>
                <c:pt idx="15">
                  <c:v>37.986203504258292</c:v>
                </c:pt>
                <c:pt idx="16">
                  <c:v>44.71334857009554</c:v>
                </c:pt>
                <c:pt idx="17">
                  <c:v>40.787181949898923</c:v>
                </c:pt>
                <c:pt idx="18">
                  <c:v>41.482201046704006</c:v>
                </c:pt>
                <c:pt idx="19">
                  <c:v>39.292868284527216</c:v>
                </c:pt>
                <c:pt idx="20">
                  <c:v>39.955172982558864</c:v>
                </c:pt>
                <c:pt idx="21">
                  <c:v>34.457578879124007</c:v>
                </c:pt>
                <c:pt idx="22">
                  <c:v>35.59053999092955</c:v>
                </c:pt>
                <c:pt idx="23">
                  <c:v>43.272089036718107</c:v>
                </c:pt>
                <c:pt idx="24">
                  <c:v>35.983312262958279</c:v>
                </c:pt>
                <c:pt idx="25">
                  <c:v>40.251983787602725</c:v>
                </c:pt>
                <c:pt idx="26">
                  <c:v>40.966554665288186</c:v>
                </c:pt>
                <c:pt idx="27">
                  <c:v>38.321848276874519</c:v>
                </c:pt>
                <c:pt idx="28">
                  <c:v>43.908844442170953</c:v>
                </c:pt>
                <c:pt idx="29">
                  <c:v>39.63601951304247</c:v>
                </c:pt>
                <c:pt idx="30">
                  <c:v>45.354256209484092</c:v>
                </c:pt>
                <c:pt idx="31">
                  <c:v>42.107491445560107</c:v>
                </c:pt>
                <c:pt idx="32">
                  <c:v>39.732638501839261</c:v>
                </c:pt>
                <c:pt idx="33">
                  <c:v>37.056707228213348</c:v>
                </c:pt>
                <c:pt idx="34">
                  <c:v>37.540722153702205</c:v>
                </c:pt>
                <c:pt idx="35">
                  <c:v>41.849998787231975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02-4F24-83A8-F5C49111BFF4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41.059211258767021</c:v>
                </c:pt>
                <c:pt idx="2">
                  <c:v>41.010652442064291</c:v>
                </c:pt>
                <c:pt idx="3">
                  <c:v>40.962151053612324</c:v>
                </c:pt>
                <c:pt idx="4">
                  <c:v>40.913707025493366</c:v>
                </c:pt>
                <c:pt idx="5">
                  <c:v>40.865320289870041</c:v>
                </c:pt>
                <c:pt idx="6">
                  <c:v>40.816990778985208</c:v>
                </c:pt>
                <c:pt idx="7">
                  <c:v>40.768718425161786</c:v>
                </c:pt>
                <c:pt idx="8">
                  <c:v>40.720503160802821</c:v>
                </c:pt>
                <c:pt idx="9">
                  <c:v>40.672344918391232</c:v>
                </c:pt>
                <c:pt idx="10">
                  <c:v>40.62424363048985</c:v>
                </c:pt>
                <c:pt idx="11">
                  <c:v>40.576199229741192</c:v>
                </c:pt>
                <c:pt idx="12">
                  <c:v>40.52821164886749</c:v>
                </c:pt>
                <c:pt idx="13">
                  <c:v>40.480280820670544</c:v>
                </c:pt>
                <c:pt idx="14">
                  <c:v>40.432406678031569</c:v>
                </c:pt>
                <c:pt idx="15">
                  <c:v>40.384589153911236</c:v>
                </c:pt>
                <c:pt idx="16">
                  <c:v>40.336828181349418</c:v>
                </c:pt>
                <c:pt idx="17">
                  <c:v>40.289123693465243</c:v>
                </c:pt>
                <c:pt idx="18">
                  <c:v>40.241475623456928</c:v>
                </c:pt>
                <c:pt idx="19">
                  <c:v>40.193883904601648</c:v>
                </c:pt>
                <c:pt idx="20">
                  <c:v>40.146348470255546</c:v>
                </c:pt>
                <c:pt idx="21">
                  <c:v>40.098869253853536</c:v>
                </c:pt>
                <c:pt idx="22">
                  <c:v>40.051446188909274</c:v>
                </c:pt>
                <c:pt idx="23">
                  <c:v>40.004079209015075</c:v>
                </c:pt>
                <c:pt idx="24">
                  <c:v>39.956768247841715</c:v>
                </c:pt>
                <c:pt idx="25">
                  <c:v>39.909513239138512</c:v>
                </c:pt>
                <c:pt idx="26">
                  <c:v>39.862314116733046</c:v>
                </c:pt>
                <c:pt idx="27">
                  <c:v>39.815170814531228</c:v>
                </c:pt>
                <c:pt idx="28">
                  <c:v>39.768083266517067</c:v>
                </c:pt>
                <c:pt idx="29">
                  <c:v>39.7210514067527</c:v>
                </c:pt>
                <c:pt idx="30">
                  <c:v>39.674075169378256</c:v>
                </c:pt>
                <c:pt idx="31">
                  <c:v>39.627154488611673</c:v>
                </c:pt>
                <c:pt idx="32">
                  <c:v>39.580289298748788</c:v>
                </c:pt>
                <c:pt idx="33">
                  <c:v>39.53347953416305</c:v>
                </c:pt>
                <c:pt idx="34">
                  <c:v>39.486725129305583</c:v>
                </c:pt>
                <c:pt idx="35">
                  <c:v>39.440026018705034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02-4F24-83A8-F5C49111BFF4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37.798939413948808</c:v>
                </c:pt>
                <c:pt idx="11">
                  <c:v>37.93862963412726</c:v>
                </c:pt>
                <c:pt idx="12">
                  <c:v>38.078836095182204</c:v>
                </c:pt>
                <c:pt idx="13">
                  <c:v>38.219560704939695</c:v>
                </c:pt>
                <c:pt idx="14">
                  <c:v>38.360805378276368</c:v>
                </c:pt>
                <c:pt idx="15">
                  <c:v>38.502572037145548</c:v>
                </c:pt>
                <c:pt idx="16">
                  <c:v>38.644862610603298</c:v>
                </c:pt>
                <c:pt idx="17">
                  <c:v>38.787679034834738</c:v>
                </c:pt>
                <c:pt idx="18">
                  <c:v>38.931023253180392</c:v>
                </c:pt>
                <c:pt idx="19">
                  <c:v>39.074897216162597</c:v>
                </c:pt>
                <c:pt idx="20">
                  <c:v>39.219302881512078</c:v>
                </c:pt>
                <c:pt idx="21">
                  <c:v>39.364242214194569</c:v>
                </c:pt>
                <c:pt idx="22">
                  <c:v>39.509717186437555</c:v>
                </c:pt>
                <c:pt idx="23">
                  <c:v>39.655729777757116</c:v>
                </c:pt>
                <c:pt idx="24">
                  <c:v>39.80228197498483</c:v>
                </c:pt>
                <c:pt idx="25">
                  <c:v>39.949375772294879</c:v>
                </c:pt>
                <c:pt idx="26">
                  <c:v>40.097013171231112</c:v>
                </c:pt>
                <c:pt idx="27">
                  <c:v>40.24519618073429</c:v>
                </c:pt>
                <c:pt idx="28">
                  <c:v>40.393926817169479</c:v>
                </c:pt>
                <c:pt idx="29">
                  <c:v>40.543207104353414</c:v>
                </c:pt>
                <c:pt idx="30">
                  <c:v>40.693039073582099</c:v>
                </c:pt>
                <c:pt idx="31">
                  <c:v>40.843424763658398</c:v>
                </c:pt>
                <c:pt idx="32">
                  <c:v>40.994366220919815</c:v>
                </c:pt>
                <c:pt idx="33">
                  <c:v>41.145865499266314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02-4F24-83A8-F5C49111BFF4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39.577895374722281</c:v>
                </c:pt>
                <c:pt idx="17">
                  <c:v>39.627826292020565</c:v>
                </c:pt>
                <c:pt idx="18">
                  <c:v>39.677820201463291</c:v>
                </c:pt>
                <c:pt idx="19">
                  <c:v>39.727877182520444</c:v>
                </c:pt>
                <c:pt idx="20">
                  <c:v>39.777997314762338</c:v>
                </c:pt>
                <c:pt idx="21">
                  <c:v>39.828180677859585</c:v>
                </c:pt>
                <c:pt idx="22">
                  <c:v>39.878427351583355</c:v>
                </c:pt>
                <c:pt idx="23">
                  <c:v>39.928737415805429</c:v>
                </c:pt>
                <c:pt idx="24">
                  <c:v>39.979110950498402</c:v>
                </c:pt>
                <c:pt idx="25">
                  <c:v>40.029548035735708</c:v>
                </c:pt>
                <c:pt idx="26">
                  <c:v>40.080048751691812</c:v>
                </c:pt>
                <c:pt idx="27">
                  <c:v>40.130613178642363</c:v>
                </c:pt>
                <c:pt idx="28">
                  <c:v>40.181241396964246</c:v>
                </c:pt>
                <c:pt idx="29">
                  <c:v>40.231933487135763</c:v>
                </c:pt>
                <c:pt idx="30">
                  <c:v>40.282689529736714</c:v>
                </c:pt>
                <c:pt idx="31">
                  <c:v>40.333509605448626</c:v>
                </c:pt>
                <c:pt idx="32">
                  <c:v>40.384393795054763</c:v>
                </c:pt>
                <c:pt idx="33">
                  <c:v>40.435342179440305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02-4F24-83A8-F5C49111BF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190528"/>
        <c:axId val="471413888"/>
      </c:lineChart>
      <c:catAx>
        <c:axId val="47119052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41388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71413888"/>
        <c:scaling>
          <c:orientation val="minMax"/>
          <c:max val="59"/>
          <c:min val="2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190528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7399617590822197"/>
          <c:y val="0.93622448979591766"/>
          <c:w val="0.80114722753346146"/>
          <c:h val="5.612244897959184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  <c:userShapes r:id="rId1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5946462715105226"/>
          <c:y val="3.36787564766839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7514431385217079E-2"/>
          <c:y val="9.5854922279793031E-2"/>
          <c:w val="0.87380578711851364"/>
          <c:h val="0.7694300518134722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0.24959915512441702</c:v>
                </c:pt>
                <c:pt idx="1">
                  <c:v>0.27418952986562312</c:v>
                </c:pt>
                <c:pt idx="2">
                  <c:v>0.30109826112542049</c:v>
                </c:pt>
                <c:pt idx="3">
                  <c:v>0.31269346719620922</c:v>
                </c:pt>
                <c:pt idx="4">
                  <c:v>0.37036911826113594</c:v>
                </c:pt>
                <c:pt idx="5">
                  <c:v>0.54371439639319596</c:v>
                </c:pt>
                <c:pt idx="6">
                  <c:v>0.55866066780702617</c:v>
                </c:pt>
                <c:pt idx="7">
                  <c:v>0.71747213029414691</c:v>
                </c:pt>
                <c:pt idx="8">
                  <c:v>0.87586825684018188</c:v>
                </c:pt>
                <c:pt idx="9">
                  <c:v>0.94977751679092437</c:v>
                </c:pt>
                <c:pt idx="10">
                  <c:v>1.2589881104624836</c:v>
                </c:pt>
                <c:pt idx="11">
                  <c:v>1.4276210156046916</c:v>
                </c:pt>
                <c:pt idx="12">
                  <c:v>1.9568181624749865</c:v>
                </c:pt>
                <c:pt idx="13">
                  <c:v>2.1989383379145369</c:v>
                </c:pt>
                <c:pt idx="14">
                  <c:v>2.8458061392264149</c:v>
                </c:pt>
                <c:pt idx="15">
                  <c:v>5.6387455673759401</c:v>
                </c:pt>
                <c:pt idx="16">
                  <c:v>13.74112873729422</c:v>
                </c:pt>
                <c:pt idx="17">
                  <c:v>34.833327835451641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BE-4BD2-896B-2BC8B1796A9F}"/>
            </c:ext>
          </c:extLst>
        </c:ser>
        <c:ser>
          <c:idx val="0"/>
          <c:order val="1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0.24959915512441702</c:v>
                </c:pt>
                <c:pt idx="1">
                  <c:v>0.27418952986562312</c:v>
                </c:pt>
                <c:pt idx="2">
                  <c:v>0.30109826112542049</c:v>
                </c:pt>
                <c:pt idx="3">
                  <c:v>0.31269346719620922</c:v>
                </c:pt>
                <c:pt idx="4">
                  <c:v>0.37036911826113594</c:v>
                </c:pt>
                <c:pt idx="5">
                  <c:v>0.54371439639319596</c:v>
                </c:pt>
                <c:pt idx="6">
                  <c:v>0.55866066780702617</c:v>
                </c:pt>
                <c:pt idx="7">
                  <c:v>0.71747213029414691</c:v>
                </c:pt>
                <c:pt idx="8">
                  <c:v>0.87586825684018188</c:v>
                </c:pt>
                <c:pt idx="9">
                  <c:v>0.94977751679092437</c:v>
                </c:pt>
                <c:pt idx="10">
                  <c:v>1.2589881104624836</c:v>
                </c:pt>
                <c:pt idx="11">
                  <c:v>1.4276210156046916</c:v>
                </c:pt>
                <c:pt idx="12">
                  <c:v>1.9568181624749865</c:v>
                </c:pt>
                <c:pt idx="13">
                  <c:v>2.1989383379145369</c:v>
                </c:pt>
                <c:pt idx="14">
                  <c:v>2.8458061392264149</c:v>
                </c:pt>
                <c:pt idx="15">
                  <c:v>5.6387455673759401</c:v>
                </c:pt>
                <c:pt idx="16">
                  <c:v>13.74112873729422</c:v>
                </c:pt>
                <c:pt idx="17">
                  <c:v>34.833327835451641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BE-4BD2-896B-2BC8B1796A9F}"/>
            </c:ext>
          </c:extLst>
        </c:ser>
        <c:ser>
          <c:idx val="4"/>
          <c:order val="2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0.24959915512441702</c:v>
                </c:pt>
                <c:pt idx="1">
                  <c:v>0.27418952986562312</c:v>
                </c:pt>
                <c:pt idx="2">
                  <c:v>0.30109826112542049</c:v>
                </c:pt>
                <c:pt idx="3">
                  <c:v>0.31269346719620922</c:v>
                </c:pt>
                <c:pt idx="4">
                  <c:v>0.37036911826113594</c:v>
                </c:pt>
                <c:pt idx="5">
                  <c:v>0.54371439639319596</c:v>
                </c:pt>
                <c:pt idx="6">
                  <c:v>0.55866066780702617</c:v>
                </c:pt>
                <c:pt idx="7">
                  <c:v>0.71747213029414691</c:v>
                </c:pt>
                <c:pt idx="8">
                  <c:v>0.87586825684018188</c:v>
                </c:pt>
                <c:pt idx="9">
                  <c:v>0.94977751679092437</c:v>
                </c:pt>
                <c:pt idx="10">
                  <c:v>1.2589881104624836</c:v>
                </c:pt>
                <c:pt idx="11">
                  <c:v>1.4276210156046916</c:v>
                </c:pt>
                <c:pt idx="12">
                  <c:v>1.9568181624749865</c:v>
                </c:pt>
                <c:pt idx="13">
                  <c:v>2.1989383379145369</c:v>
                </c:pt>
                <c:pt idx="14">
                  <c:v>2.8458061392264149</c:v>
                </c:pt>
                <c:pt idx="15">
                  <c:v>5.6387455673759401</c:v>
                </c:pt>
                <c:pt idx="16">
                  <c:v>13.74112873729422</c:v>
                </c:pt>
                <c:pt idx="17">
                  <c:v>34.833327835451641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BE-4BD2-896B-2BC8B1796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1028480"/>
        <c:axId val="471030400"/>
      </c:barChart>
      <c:lineChart>
        <c:grouping val="standard"/>
        <c:varyColors val="0"/>
        <c:ser>
          <c:idx val="2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41.482201046704006</c:v>
                </c:pt>
                <c:pt idx="1">
                  <c:v>39.292868284527216</c:v>
                </c:pt>
                <c:pt idx="2">
                  <c:v>39.955172982558864</c:v>
                </c:pt>
                <c:pt idx="3">
                  <c:v>34.457578879124007</c:v>
                </c:pt>
                <c:pt idx="4">
                  <c:v>35.59053999092955</c:v>
                </c:pt>
                <c:pt idx="5">
                  <c:v>43.272089036718107</c:v>
                </c:pt>
                <c:pt idx="6">
                  <c:v>35.983312262958279</c:v>
                </c:pt>
                <c:pt idx="7">
                  <c:v>40.251983787602725</c:v>
                </c:pt>
                <c:pt idx="8">
                  <c:v>40.966554665288186</c:v>
                </c:pt>
                <c:pt idx="9">
                  <c:v>38.321848276874519</c:v>
                </c:pt>
                <c:pt idx="10">
                  <c:v>43.908844442170953</c:v>
                </c:pt>
                <c:pt idx="11">
                  <c:v>39.63601951304247</c:v>
                </c:pt>
                <c:pt idx="12">
                  <c:v>45.354256209484092</c:v>
                </c:pt>
                <c:pt idx="13">
                  <c:v>42.107491445560107</c:v>
                </c:pt>
                <c:pt idx="14">
                  <c:v>39.732638501839261</c:v>
                </c:pt>
                <c:pt idx="15">
                  <c:v>37.056707228213348</c:v>
                </c:pt>
                <c:pt idx="16">
                  <c:v>37.540722153702205</c:v>
                </c:pt>
                <c:pt idx="17">
                  <c:v>41.849998787231975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BE-4BD2-896B-2BC8B1796A9F}"/>
            </c:ext>
          </c:extLst>
        </c:ser>
        <c:ser>
          <c:idx val="3"/>
          <c:order val="4"/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40.241475623456928</c:v>
                </c:pt>
                <c:pt idx="1">
                  <c:v>40.193883904601648</c:v>
                </c:pt>
                <c:pt idx="2">
                  <c:v>40.146348470255546</c:v>
                </c:pt>
                <c:pt idx="3">
                  <c:v>40.098869253853536</c:v>
                </c:pt>
                <c:pt idx="4">
                  <c:v>40.051446188909274</c:v>
                </c:pt>
                <c:pt idx="5">
                  <c:v>40.004079209015075</c:v>
                </c:pt>
                <c:pt idx="6">
                  <c:v>39.956768247841715</c:v>
                </c:pt>
                <c:pt idx="7">
                  <c:v>39.909513239138512</c:v>
                </c:pt>
                <c:pt idx="8">
                  <c:v>39.862314116733046</c:v>
                </c:pt>
                <c:pt idx="9">
                  <c:v>39.815170814531228</c:v>
                </c:pt>
                <c:pt idx="10">
                  <c:v>39.768083266517067</c:v>
                </c:pt>
                <c:pt idx="11">
                  <c:v>39.7210514067527</c:v>
                </c:pt>
                <c:pt idx="12">
                  <c:v>39.674075169378256</c:v>
                </c:pt>
                <c:pt idx="13">
                  <c:v>39.627154488611673</c:v>
                </c:pt>
                <c:pt idx="14">
                  <c:v>39.580289298748788</c:v>
                </c:pt>
                <c:pt idx="15">
                  <c:v>39.53347953416305</c:v>
                </c:pt>
                <c:pt idx="16">
                  <c:v>39.486725129305583</c:v>
                </c:pt>
                <c:pt idx="17">
                  <c:v>39.440026018705034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BE-4BD2-896B-2BC8B1796A9F}"/>
            </c:ext>
          </c:extLst>
        </c:ser>
        <c:ser>
          <c:idx val="5"/>
          <c:order val="5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38.931023253180392</c:v>
                </c:pt>
                <c:pt idx="1">
                  <c:v>39.074897216162597</c:v>
                </c:pt>
                <c:pt idx="2">
                  <c:v>39.219302881512078</c:v>
                </c:pt>
                <c:pt idx="3">
                  <c:v>39.364242214194569</c:v>
                </c:pt>
                <c:pt idx="4">
                  <c:v>39.509717186437555</c:v>
                </c:pt>
                <c:pt idx="5">
                  <c:v>39.655729777757116</c:v>
                </c:pt>
                <c:pt idx="6">
                  <c:v>39.80228197498483</c:v>
                </c:pt>
                <c:pt idx="7">
                  <c:v>39.949375772294879</c:v>
                </c:pt>
                <c:pt idx="8">
                  <c:v>40.097013171231112</c:v>
                </c:pt>
                <c:pt idx="9">
                  <c:v>40.24519618073429</c:v>
                </c:pt>
                <c:pt idx="10">
                  <c:v>40.393926817169479</c:v>
                </c:pt>
                <c:pt idx="11">
                  <c:v>40.543207104353414</c:v>
                </c:pt>
                <c:pt idx="12">
                  <c:v>40.693039073582099</c:v>
                </c:pt>
                <c:pt idx="13">
                  <c:v>40.843424763658398</c:v>
                </c:pt>
                <c:pt idx="14">
                  <c:v>40.994366220919815</c:v>
                </c:pt>
                <c:pt idx="15">
                  <c:v>41.145865499266314</c:v>
                </c:pt>
                <c:pt idx="16">
                  <c:v>41.297924660188258</c:v>
                </c:pt>
                <c:pt idx="17">
                  <c:v>41.450545772794555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BE-4BD2-896B-2BC8B1796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036288"/>
        <c:axId val="471037824"/>
      </c:lineChart>
      <c:catAx>
        <c:axId val="4710284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03040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71030400"/>
        <c:scaling>
          <c:orientation val="minMax"/>
          <c:max val="59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028480"/>
        <c:crosses val="autoZero"/>
        <c:crossBetween val="between"/>
      </c:valAx>
      <c:catAx>
        <c:axId val="471036288"/>
        <c:scaling>
          <c:orientation val="minMax"/>
        </c:scaling>
        <c:delete val="1"/>
        <c:axPos val="b"/>
        <c:majorTickMark val="out"/>
        <c:minorTickMark val="none"/>
        <c:tickLblPos val="none"/>
        <c:crossAx val="471037824"/>
        <c:crosses val="autoZero"/>
        <c:auto val="0"/>
        <c:lblAlgn val="ctr"/>
        <c:lblOffset val="100"/>
        <c:noMultiLvlLbl val="0"/>
      </c:catAx>
      <c:valAx>
        <c:axId val="471037824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71036288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5991820040899797"/>
          <c:y val="3.17460317460317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38467452844319"/>
          <c:y val="0.12169343608795301"/>
          <c:w val="0.88139235324073617"/>
          <c:h val="0.6878324648449502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0.87909387335932276</c:v>
                </c:pt>
                <c:pt idx="3">
                  <c:v>0.93383202622570205</c:v>
                </c:pt>
                <c:pt idx="4">
                  <c:v>0.95356844093311832</c:v>
                </c:pt>
                <c:pt idx="5">
                  <c:v>0.96242769045952814</c:v>
                </c:pt>
                <c:pt idx="6">
                  <c:v>0.96929641614863582</c:v>
                </c:pt>
                <c:pt idx="7">
                  <c:v>0.97605994987273759</c:v>
                </c:pt>
                <c:pt idx="8">
                  <c:v>0.98008004829088269</c:v>
                </c:pt>
                <c:pt idx="9">
                  <c:v>0.98307841292336984</c:v>
                </c:pt>
                <c:pt idx="10">
                  <c:v>0.98622556459580313</c:v>
                </c:pt>
                <c:pt idx="11">
                  <c:v>0.98818794845553182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A4-4E66-88CF-7C58AFBC6EB0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0.87409588137181282</c:v>
                </c:pt>
                <c:pt idx="3">
                  <c:v>0.92837614609871677</c:v>
                </c:pt>
                <c:pt idx="4">
                  <c:v>0.94777800665301637</c:v>
                </c:pt>
                <c:pt idx="5">
                  <c:v>0.95685483322655829</c:v>
                </c:pt>
                <c:pt idx="6">
                  <c:v>0.96398179238062165</c:v>
                </c:pt>
                <c:pt idx="7">
                  <c:v>0.97132728101712662</c:v>
                </c:pt>
                <c:pt idx="8">
                  <c:v>0.97521571083726688</c:v>
                </c:pt>
                <c:pt idx="9">
                  <c:v>0.97861987373546322</c:v>
                </c:pt>
                <c:pt idx="10">
                  <c:v>0.98217546750704832</c:v>
                </c:pt>
                <c:pt idx="11">
                  <c:v>0.98447441318381057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A4-4E66-88CF-7C58AFBC6EB0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0.87820248963569991</c:v>
                </c:pt>
                <c:pt idx="3">
                  <c:v>0.92758925354060517</c:v>
                </c:pt>
                <c:pt idx="4">
                  <c:v>0.94524790181229301</c:v>
                </c:pt>
                <c:pt idx="5">
                  <c:v>0.95442563316371398</c:v>
                </c:pt>
                <c:pt idx="6">
                  <c:v>0.96266732516683329</c:v>
                </c:pt>
                <c:pt idx="7">
                  <c:v>0.96975398823719716</c:v>
                </c:pt>
                <c:pt idx="8">
                  <c:v>0.97457072439158232</c:v>
                </c:pt>
                <c:pt idx="9">
                  <c:v>0.97812221495946883</c:v>
                </c:pt>
                <c:pt idx="10">
                  <c:v>0.98158971719507759</c:v>
                </c:pt>
                <c:pt idx="11">
                  <c:v>0.98418334317359979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DA4-4E66-88CF-7C58AFBC6EB0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0.80586142120701187</c:v>
                </c:pt>
                <c:pt idx="3">
                  <c:v>0.87266317835254281</c:v>
                </c:pt>
                <c:pt idx="4">
                  <c:v>0.90617230927349479</c:v>
                </c:pt>
                <c:pt idx="5">
                  <c:v>0.92793683044965436</c:v>
                </c:pt>
                <c:pt idx="6">
                  <c:v>0.94297653417538729</c:v>
                </c:pt>
                <c:pt idx="7">
                  <c:v>0.95481421391443222</c:v>
                </c:pt>
                <c:pt idx="8">
                  <c:v>0.96180874690162388</c:v>
                </c:pt>
                <c:pt idx="9">
                  <c:v>0.9678020710325459</c:v>
                </c:pt>
                <c:pt idx="10">
                  <c:v>0.97264985576250418</c:v>
                </c:pt>
                <c:pt idx="11">
                  <c:v>0.9777568238372073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DA4-4E66-88CF-7C58AFBC6EB0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0.88166185284618559</c:v>
                </c:pt>
                <c:pt idx="3">
                  <c:v>0.93111555708440763</c:v>
                </c:pt>
                <c:pt idx="4">
                  <c:v>0.94856143575069685</c:v>
                </c:pt>
                <c:pt idx="5">
                  <c:v>0.95780885209330213</c:v>
                </c:pt>
                <c:pt idx="6">
                  <c:v>0.96587441371815064</c:v>
                </c:pt>
                <c:pt idx="7">
                  <c:v>0.97273756151259516</c:v>
                </c:pt>
                <c:pt idx="8">
                  <c:v>0.97737831187969959</c:v>
                </c:pt>
                <c:pt idx="9">
                  <c:v>0.98089684997822646</c:v>
                </c:pt>
                <c:pt idx="10">
                  <c:v>0.98432951543940195</c:v>
                </c:pt>
                <c:pt idx="11">
                  <c:v>0.98677567309757686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DA4-4E66-88CF-7C58AFBC6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086400"/>
        <c:axId val="472101248"/>
      </c:lineChart>
      <c:catAx>
        <c:axId val="47208640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37627897739776489"/>
              <c:y val="0.880954602896860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01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2101248"/>
        <c:scaling>
          <c:orientation val="minMax"/>
          <c:max val="1.05"/>
          <c:min val="0.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224948875255619E-2"/>
              <c:y val="0.32804316127150812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086400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044989775051128E-2"/>
          <c:y val="0.923282922967961"/>
          <c:w val="0.96523710609793356"/>
          <c:h val="6.878334652612873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27334851936218724"/>
          <c:y val="3.31632653061224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628720089959545"/>
          <c:y val="0.11734693877551022"/>
          <c:w val="0.8018232152966791"/>
          <c:h val="0.6683673469387756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5095954.3900000257</c:v>
                </c:pt>
                <c:pt idx="1">
                  <c:v>4865514.1700000167</c:v>
                </c:pt>
                <c:pt idx="2">
                  <c:v>5809110.5600000238</c:v>
                </c:pt>
                <c:pt idx="3">
                  <c:v>5131677.3100000117</c:v>
                </c:pt>
                <c:pt idx="4">
                  <c:v>4586340.4299999904</c:v>
                </c:pt>
                <c:pt idx="5">
                  <c:v>5780065.1999999704</c:v>
                </c:pt>
                <c:pt idx="6">
                  <c:v>4199208.1499999892</c:v>
                </c:pt>
                <c:pt idx="7">
                  <c:v>5269479.2099999841</c:v>
                </c:pt>
                <c:pt idx="8">
                  <c:v>5161983.979999993</c:v>
                </c:pt>
                <c:pt idx="9">
                  <c:v>5024298.1099999929</c:v>
                </c:pt>
                <c:pt idx="10">
                  <c:v>5269664.7599999877</c:v>
                </c:pt>
                <c:pt idx="11">
                  <c:v>5754302.1099999854</c:v>
                </c:pt>
                <c:pt idx="12">
                  <c:v>6436494.1199999833</c:v>
                </c:pt>
                <c:pt idx="13">
                  <c:v>5920319.6200000057</c:v>
                </c:pt>
                <c:pt idx="14">
                  <c:v>5777917.9799999846</c:v>
                </c:pt>
                <c:pt idx="15">
                  <c:v>5923338.4999999972</c:v>
                </c:pt>
                <c:pt idx="16">
                  <c:v>5585363.9099999908</c:v>
                </c:pt>
                <c:pt idx="17">
                  <c:v>5452454.4600000046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46-45E4-9809-39CA999748DB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5095954.3900000257</c:v>
                </c:pt>
                <c:pt idx="1">
                  <c:v>4865514.1700000167</c:v>
                </c:pt>
                <c:pt idx="2">
                  <c:v>5809110.5600000238</c:v>
                </c:pt>
                <c:pt idx="3">
                  <c:v>5131677.3100000117</c:v>
                </c:pt>
                <c:pt idx="4">
                  <c:v>4586340.4299999904</c:v>
                </c:pt>
                <c:pt idx="5">
                  <c:v>5780065.1999999704</c:v>
                </c:pt>
                <c:pt idx="6">
                  <c:v>4199208.1499999892</c:v>
                </c:pt>
                <c:pt idx="7">
                  <c:v>5269479.2099999841</c:v>
                </c:pt>
                <c:pt idx="8">
                  <c:v>5161983.979999993</c:v>
                </c:pt>
                <c:pt idx="9">
                  <c:v>5024298.1099999929</c:v>
                </c:pt>
                <c:pt idx="10">
                  <c:v>5269664.7599999877</c:v>
                </c:pt>
                <c:pt idx="11">
                  <c:v>5754302.1099999854</c:v>
                </c:pt>
                <c:pt idx="12">
                  <c:v>6436494.1199999833</c:v>
                </c:pt>
                <c:pt idx="13">
                  <c:v>5920319.6200000057</c:v>
                </c:pt>
                <c:pt idx="14">
                  <c:v>5777917.9799999846</c:v>
                </c:pt>
                <c:pt idx="15">
                  <c:v>5923338.4999999972</c:v>
                </c:pt>
                <c:pt idx="16">
                  <c:v>5585363.9099999908</c:v>
                </c:pt>
                <c:pt idx="17">
                  <c:v>5452454.4600000046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46-45E4-9809-39CA999748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151552"/>
        <c:axId val="472153472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E46-45E4-9809-39CA999748DB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5346516.4463065388</c:v>
                </c:pt>
                <c:pt idx="1">
                  <c:v>5047051.0525426669</c:v>
                </c:pt>
                <c:pt idx="2">
                  <c:v>5120495.1487528142</c:v>
                </c:pt>
                <c:pt idx="3">
                  <c:v>4620382.2943228586</c:v>
                </c:pt>
                <c:pt idx="4">
                  <c:v>4821841.9485111265</c:v>
                </c:pt>
                <c:pt idx="5">
                  <c:v>5834981.5740672164</c:v>
                </c:pt>
                <c:pt idx="6">
                  <c:v>4838676</c:v>
                </c:pt>
                <c:pt idx="7">
                  <c:v>5412483</c:v>
                </c:pt>
                <c:pt idx="8">
                  <c:v>5547486</c:v>
                </c:pt>
                <c:pt idx="9">
                  <c:v>5220777</c:v>
                </c:pt>
                <c:pt idx="10">
                  <c:v>6008618</c:v>
                </c:pt>
                <c:pt idx="11">
                  <c:v>5476271</c:v>
                </c:pt>
                <c:pt idx="12">
                  <c:v>6394678</c:v>
                </c:pt>
                <c:pt idx="13">
                  <c:v>6005202</c:v>
                </c:pt>
                <c:pt idx="14">
                  <c:v>5703064</c:v>
                </c:pt>
                <c:pt idx="15">
                  <c:v>6102795</c:v>
                </c:pt>
                <c:pt idx="16">
                  <c:v>6178865</c:v>
                </c:pt>
                <c:pt idx="17">
                  <c:v>6901567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E46-45E4-9809-39CA999748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167552"/>
        <c:axId val="472169088"/>
      </c:lineChart>
      <c:catAx>
        <c:axId val="47215155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5347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721534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51552"/>
        <c:crosses val="autoZero"/>
        <c:crossBetween val="between"/>
      </c:valAx>
      <c:catAx>
        <c:axId val="4721675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72169088"/>
        <c:crosses val="autoZero"/>
        <c:auto val="0"/>
        <c:lblAlgn val="ctr"/>
        <c:lblOffset val="100"/>
        <c:noMultiLvlLbl val="0"/>
      </c:catAx>
      <c:valAx>
        <c:axId val="47216908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7216755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5717563778331808"/>
          <c:y val="0.93622448979591766"/>
          <c:w val="0.83371394065491233"/>
          <c:h val="5.612244897959184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1435079726651544"/>
          <c:y val="3.571428571428571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7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7949995050446548E-2"/>
          <c:y val="0.10119077029497513"/>
          <c:w val="0.87243832800746546"/>
          <c:h val="0.744049781580699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1.4015141411028174</c:v>
                </c:pt>
                <c:pt idx="1">
                  <c:v>1.7155183724395533</c:v>
                </c:pt>
                <c:pt idx="2">
                  <c:v>1.4219479117643059</c:v>
                </c:pt>
                <c:pt idx="3">
                  <c:v>1.4512651692824383</c:v>
                </c:pt>
                <c:pt idx="4">
                  <c:v>1.8399197636534819</c:v>
                </c:pt>
                <c:pt idx="5">
                  <c:v>1.1986605185699328</c:v>
                </c:pt>
                <c:pt idx="6">
                  <c:v>1.4139758492324335</c:v>
                </c:pt>
                <c:pt idx="7">
                  <c:v>1.4863687392743334</c:v>
                </c:pt>
                <c:pt idx="8">
                  <c:v>1.334686902689693</c:v>
                </c:pt>
                <c:pt idx="9">
                  <c:v>1.5290577015542586</c:v>
                </c:pt>
                <c:pt idx="10">
                  <c:v>1.601199541960997</c:v>
                </c:pt>
                <c:pt idx="11">
                  <c:v>1.7690423956555197</c:v>
                </c:pt>
                <c:pt idx="12">
                  <c:v>1.4148367403464688</c:v>
                </c:pt>
                <c:pt idx="13">
                  <c:v>1.5836270356633217</c:v>
                </c:pt>
                <c:pt idx="14">
                  <c:v>1.488565846689297</c:v>
                </c:pt>
                <c:pt idx="15">
                  <c:v>1.3900507002934246</c:v>
                </c:pt>
                <c:pt idx="16">
                  <c:v>1.6458325953554589</c:v>
                </c:pt>
                <c:pt idx="17">
                  <c:v>1.3738519367661068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ED-4F77-AC96-ABA2E6E60DD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71076864"/>
        <c:axId val="471078016"/>
      </c:barChart>
      <c:catAx>
        <c:axId val="4710768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078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10780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076864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7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9569892473118284"/>
          <c:y val="3.166226912928760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473144474849804"/>
          <c:y val="0.10817955889723019"/>
          <c:w val="0.84516306527861496"/>
          <c:h val="0.754618386453850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107101</c:v>
                </c:pt>
                <c:pt idx="1">
                  <c:v>107146</c:v>
                </c:pt>
                <c:pt idx="2">
                  <c:v>107140</c:v>
                </c:pt>
                <c:pt idx="3">
                  <c:v>107241</c:v>
                </c:pt>
                <c:pt idx="4">
                  <c:v>107513</c:v>
                </c:pt>
                <c:pt idx="5">
                  <c:v>107756</c:v>
                </c:pt>
                <c:pt idx="6">
                  <c:v>107747</c:v>
                </c:pt>
                <c:pt idx="7">
                  <c:v>108297</c:v>
                </c:pt>
                <c:pt idx="8">
                  <c:v>110175</c:v>
                </c:pt>
                <c:pt idx="9">
                  <c:v>129231</c:v>
                </c:pt>
                <c:pt idx="10">
                  <c:v>132944</c:v>
                </c:pt>
                <c:pt idx="11">
                  <c:v>131999</c:v>
                </c:pt>
                <c:pt idx="12">
                  <c:v>132272</c:v>
                </c:pt>
                <c:pt idx="13">
                  <c:v>132389</c:v>
                </c:pt>
                <c:pt idx="14">
                  <c:v>131777</c:v>
                </c:pt>
                <c:pt idx="15">
                  <c:v>131723</c:v>
                </c:pt>
                <c:pt idx="16">
                  <c:v>130970</c:v>
                </c:pt>
                <c:pt idx="17">
                  <c:v>129309</c:v>
                </c:pt>
                <c:pt idx="18">
                  <c:v>128887</c:v>
                </c:pt>
                <c:pt idx="19">
                  <c:v>128447</c:v>
                </c:pt>
                <c:pt idx="20">
                  <c:v>128156</c:v>
                </c:pt>
                <c:pt idx="21">
                  <c:v>134089</c:v>
                </c:pt>
                <c:pt idx="22">
                  <c:v>135481</c:v>
                </c:pt>
                <c:pt idx="23">
                  <c:v>134844</c:v>
                </c:pt>
                <c:pt idx="24">
                  <c:v>134470</c:v>
                </c:pt>
                <c:pt idx="25">
                  <c:v>134465</c:v>
                </c:pt>
                <c:pt idx="26">
                  <c:v>135415</c:v>
                </c:pt>
                <c:pt idx="27">
                  <c:v>136235</c:v>
                </c:pt>
                <c:pt idx="28">
                  <c:v>136843</c:v>
                </c:pt>
                <c:pt idx="29">
                  <c:v>138164</c:v>
                </c:pt>
                <c:pt idx="30">
                  <c:v>140994</c:v>
                </c:pt>
                <c:pt idx="31">
                  <c:v>142616</c:v>
                </c:pt>
                <c:pt idx="32">
                  <c:v>143536</c:v>
                </c:pt>
                <c:pt idx="33">
                  <c:v>164688</c:v>
                </c:pt>
                <c:pt idx="34">
                  <c:v>164591</c:v>
                </c:pt>
                <c:pt idx="35">
                  <c:v>164912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E9-4292-9BE5-27489650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1114880"/>
        <c:axId val="471116416"/>
      </c:barChart>
      <c:catAx>
        <c:axId val="471114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11641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711164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114880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Trend Study on Actual PMPMs
Rolling Average Trends vs. Least Square Trend</a:t>
            </a:r>
          </a:p>
        </c:rich>
      </c:tx>
      <c:layout>
        <c:manualLayout>
          <c:xMode val="edge"/>
          <c:yMode val="edge"/>
          <c:x val="0.24946236559139837"/>
          <c:y val="3.30330330330330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043036044682556"/>
          <c:y val="0.15315360229448868"/>
          <c:w val="0.8279587280719255"/>
          <c:h val="0.58558730289069116"/>
        </c:manualLayout>
      </c:layout>
      <c:lineChart>
        <c:grouping val="standard"/>
        <c:varyColors val="0"/>
        <c:ser>
          <c:idx val="0"/>
          <c:order val="0"/>
          <c:tx>
            <c:v>3 Mo Roll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Trends!$E$62:$E$83</c:f>
              <c:numCache>
                <c:formatCode>0.0%</c:formatCode>
                <c:ptCount val="22"/>
                <c:pt idx="0">
                  <c:v>4.3276712875373269E-2</c:v>
                </c:pt>
                <c:pt idx="1">
                  <c:v>7.4442625310535693E-3</c:v>
                </c:pt>
                <c:pt idx="2">
                  <c:v>-3.8228917618885694E-2</c:v>
                </c:pt>
                <c:pt idx="3">
                  <c:v>-8.1109676981162004E-2</c:v>
                </c:pt>
                <c:pt idx="4">
                  <c:v>-0.10359989284557736</c:v>
                </c:pt>
                <c:pt idx="5">
                  <c:v>-0.1383893561055658</c:v>
                </c:pt>
                <c:pt idx="6">
                  <c:v>-0.16053185151553429</c:v>
                </c:pt>
                <c:pt idx="7">
                  <c:v>-0.11847523162027418</c:v>
                </c:pt>
                <c:pt idx="8">
                  <c:v>-2.5918086730485346E-2</c:v>
                </c:pt>
                <c:pt idx="9">
                  <c:v>0.10010809101590157</c:v>
                </c:pt>
                <c:pt idx="10">
                  <c:v>6.6597792416548174E-2</c:v>
                </c:pt>
                <c:pt idx="11">
                  <c:v>3.2676003472606796E-2</c:v>
                </c:pt>
                <c:pt idx="12">
                  <c:v>9.777316695672722E-3</c:v>
                </c:pt>
                <c:pt idx="13">
                  <c:v>2.5266682435893362E-2</c:v>
                </c:pt>
                <c:pt idx="14">
                  <c:v>9.0956922841671783E-3</c:v>
                </c:pt>
                <c:pt idx="15">
                  <c:v>-1.3118994562174024E-2</c:v>
                </c:pt>
                <c:pt idx="16">
                  <c:v>1.5091726050895815E-2</c:v>
                </c:pt>
                <c:pt idx="17">
                  <c:v>4.5536470644615301E-2</c:v>
                </c:pt>
                <c:pt idx="18">
                  <c:v>5.3542043146839857E-2</c:v>
                </c:pt>
                <c:pt idx="19">
                  <c:v>4.5654885156313441E-2</c:v>
                </c:pt>
                <c:pt idx="20">
                  <c:v>3.9333150474620604E-2</c:v>
                </c:pt>
                <c:pt idx="21">
                  <c:v>2.7596315962892026E-2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C1-412E-8904-FEDA0BCEF129}"/>
            </c:ext>
          </c:extLst>
        </c:ser>
        <c:ser>
          <c:idx val="1"/>
          <c:order val="1"/>
          <c:tx>
            <c:v>6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Trends!$F$62:$F$83</c:f>
              <c:numCache>
                <c:formatCode>0.0%</c:formatCode>
                <c:ptCount val="22"/>
                <c:pt idx="3">
                  <c:v>-2.477386655819136E-2</c:v>
                </c:pt>
                <c:pt idx="4">
                  <c:v>-5.367025561163985E-2</c:v>
                </c:pt>
                <c:pt idx="5">
                  <c:v>-9.0952599397425393E-2</c:v>
                </c:pt>
                <c:pt idx="6">
                  <c:v>-0.12216691393077372</c:v>
                </c:pt>
                <c:pt idx="7">
                  <c:v>-0.11068934539176767</c:v>
                </c:pt>
                <c:pt idx="8">
                  <c:v>-8.8387255455566027E-2</c:v>
                </c:pt>
                <c:pt idx="9">
                  <c:v>-5.1758516305738356E-2</c:v>
                </c:pt>
                <c:pt idx="10">
                  <c:v>-3.4272007733281096E-2</c:v>
                </c:pt>
                <c:pt idx="11">
                  <c:v>3.7371628781914801E-3</c:v>
                </c:pt>
                <c:pt idx="12">
                  <c:v>5.2250456830420511E-2</c:v>
                </c:pt>
                <c:pt idx="13">
                  <c:v>4.5110348628492059E-2</c:v>
                </c:pt>
                <c:pt idx="14">
                  <c:v>2.0570492487188341E-2</c:v>
                </c:pt>
                <c:pt idx="15">
                  <c:v>-2.0254230760268221E-3</c:v>
                </c:pt>
                <c:pt idx="16">
                  <c:v>1.9962228869046861E-2</c:v>
                </c:pt>
                <c:pt idx="17">
                  <c:v>2.7276856263154903E-2</c:v>
                </c:pt>
                <c:pt idx="18">
                  <c:v>1.9835320719978844E-2</c:v>
                </c:pt>
                <c:pt idx="19">
                  <c:v>2.9530326568855347E-2</c:v>
                </c:pt>
                <c:pt idx="20">
                  <c:v>4.2589634816276867E-2</c:v>
                </c:pt>
                <c:pt idx="21">
                  <c:v>4.097990025838727E-2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C1-412E-8904-FEDA0BCEF129}"/>
            </c:ext>
          </c:extLst>
        </c:ser>
        <c:ser>
          <c:idx val="2"/>
          <c:order val="2"/>
          <c:tx>
            <c:v>12 Mo Roll Ave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Trends!$G$62:$G$83</c:f>
              <c:numCache>
                <c:formatCode>0.0%</c:formatCode>
                <c:ptCount val="22"/>
                <c:pt idx="9">
                  <c:v>-3.8298701164099502E-2</c:v>
                </c:pt>
                <c:pt idx="10">
                  <c:v>-4.4378076824705626E-2</c:v>
                </c:pt>
                <c:pt idx="11">
                  <c:v>-4.7360609664821807E-2</c:v>
                </c:pt>
                <c:pt idx="12">
                  <c:v>-4.532778323630593E-2</c:v>
                </c:pt>
                <c:pt idx="13">
                  <c:v>-4.0089177916272756E-2</c:v>
                </c:pt>
                <c:pt idx="14">
                  <c:v>-3.5703342593939258E-2</c:v>
                </c:pt>
                <c:pt idx="15">
                  <c:v>-2.7263757888178586E-2</c:v>
                </c:pt>
                <c:pt idx="16">
                  <c:v>-6.7644450424725333E-3</c:v>
                </c:pt>
                <c:pt idx="17">
                  <c:v>1.5880632265681038E-2</c:v>
                </c:pt>
                <c:pt idx="18">
                  <c:v>3.5163344972331201E-2</c:v>
                </c:pt>
                <c:pt idx="19">
                  <c:v>3.7045251586962369E-2</c:v>
                </c:pt>
                <c:pt idx="20">
                  <c:v>3.1433532351111682E-2</c:v>
                </c:pt>
                <c:pt idx="21">
                  <c:v>1.9227376322711542E-2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FC1-412E-8904-FEDA0BCEF129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Trends!$H$62:$H$83</c:f>
              <c:numCache>
                <c:formatCode>0.0%</c:formatCode>
                <c:ptCount val="22"/>
                <c:pt idx="0">
                  <c:v>-2.0919267130664165E-2</c:v>
                </c:pt>
                <c:pt idx="1">
                  <c:v>-2.0919267130664165E-2</c:v>
                </c:pt>
                <c:pt idx="2">
                  <c:v>-2.0919267130664165E-2</c:v>
                </c:pt>
                <c:pt idx="3">
                  <c:v>-2.0919267130664165E-2</c:v>
                </c:pt>
                <c:pt idx="4">
                  <c:v>-2.0919267130664165E-2</c:v>
                </c:pt>
                <c:pt idx="5">
                  <c:v>-2.0919267130664165E-2</c:v>
                </c:pt>
                <c:pt idx="6">
                  <c:v>-2.0919267130664165E-2</c:v>
                </c:pt>
                <c:pt idx="7">
                  <c:v>-2.0919267130664165E-2</c:v>
                </c:pt>
                <c:pt idx="8">
                  <c:v>-2.0919267130664165E-2</c:v>
                </c:pt>
                <c:pt idx="9">
                  <c:v>-2.0919267130664165E-2</c:v>
                </c:pt>
                <c:pt idx="10">
                  <c:v>-2.0919267130664165E-2</c:v>
                </c:pt>
                <c:pt idx="11">
                  <c:v>-2.0919267130664165E-2</c:v>
                </c:pt>
                <c:pt idx="12">
                  <c:v>-2.0919267130664165E-2</c:v>
                </c:pt>
                <c:pt idx="13">
                  <c:v>-2.0919267130664165E-2</c:v>
                </c:pt>
                <c:pt idx="14">
                  <c:v>-2.0919267130664165E-2</c:v>
                </c:pt>
                <c:pt idx="15">
                  <c:v>-2.0919267130664165E-2</c:v>
                </c:pt>
                <c:pt idx="16">
                  <c:v>-2.0919267130664165E-2</c:v>
                </c:pt>
                <c:pt idx="17">
                  <c:v>-2.0919267130664165E-2</c:v>
                </c:pt>
                <c:pt idx="18">
                  <c:v>-2.0919267130664165E-2</c:v>
                </c:pt>
                <c:pt idx="19">
                  <c:v>-2.0919267130664165E-2</c:v>
                </c:pt>
                <c:pt idx="20">
                  <c:v>-2.0919267130664165E-2</c:v>
                </c:pt>
                <c:pt idx="21">
                  <c:v>-2.0919267130664165E-2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FC1-412E-8904-FEDA0BCEF1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893120"/>
        <c:axId val="471895040"/>
      </c:lineChart>
      <c:dateAx>
        <c:axId val="4718931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895040"/>
        <c:crossesAt val="-0.20999999344348907"/>
        <c:auto val="1"/>
        <c:lblOffset val="100"/>
        <c:baseTimeUnit val="months"/>
        <c:majorUnit val="2"/>
        <c:majorTimeUnit val="months"/>
        <c:minorUnit val="1"/>
        <c:minorTimeUnit val="months"/>
      </c:dateAx>
      <c:valAx>
        <c:axId val="4718950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893120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4.7311827956989363E-2"/>
          <c:y val="0.92492492492492451"/>
          <c:w val="0.8860215053763435"/>
          <c:h val="6.6066066066066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-3" verticalDpi="1200"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00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52097946956839"/>
          <c:y val="0.10986122818198645"/>
          <c:w val="0.87819678453041972"/>
          <c:h val="0.7633181883596142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diamond"/>
            <c:size val="6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0.87909387335932276</c:v>
                </c:pt>
                <c:pt idx="3">
                  <c:v>0.93383202622570205</c:v>
                </c:pt>
                <c:pt idx="4">
                  <c:v>0.95356844093311832</c:v>
                </c:pt>
                <c:pt idx="5">
                  <c:v>0.96242769045952814</c:v>
                </c:pt>
                <c:pt idx="6">
                  <c:v>0.96929641614863582</c:v>
                </c:pt>
                <c:pt idx="7">
                  <c:v>0.97605994987273759</c:v>
                </c:pt>
                <c:pt idx="8">
                  <c:v>0.98008004829088269</c:v>
                </c:pt>
                <c:pt idx="9">
                  <c:v>0.98307841292336984</c:v>
                </c:pt>
                <c:pt idx="10">
                  <c:v>0.98622556459580313</c:v>
                </c:pt>
                <c:pt idx="11">
                  <c:v>0.98818794845553182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36-4363-B0B3-034DC411AD06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9050">
              <a:solidFill>
                <a:schemeClr val="tx1"/>
              </a:solidFill>
              <a:prstDash val="lgDashDotDot"/>
            </a:ln>
          </c:spPr>
          <c:marker>
            <c:symbol val="square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0.86875338352933695</c:v>
                </c:pt>
                <c:pt idx="3">
                  <c:v>0.92255614800264008</c:v>
                </c:pt>
                <c:pt idx="4">
                  <c:v>0.9416186084663587</c:v>
                </c:pt>
                <c:pt idx="5">
                  <c:v>0.95090620999990549</c:v>
                </c:pt>
                <c:pt idx="6">
                  <c:v>0.95833573469404598</c:v>
                </c:pt>
                <c:pt idx="7">
                  <c:v>0.96625439954803349</c:v>
                </c:pt>
                <c:pt idx="8">
                  <c:v>0.97001095691100037</c:v>
                </c:pt>
                <c:pt idx="9">
                  <c:v>0.9738157463321464</c:v>
                </c:pt>
                <c:pt idx="10">
                  <c:v>0.97777488796092704</c:v>
                </c:pt>
                <c:pt idx="11">
                  <c:v>0.9804069105563129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36-4363-B0B3-034DC411AD06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5875">
              <a:solidFill>
                <a:schemeClr val="tx1"/>
              </a:solidFill>
              <a:prstDash val="lgDash"/>
            </a:ln>
          </c:spPr>
          <c:marker>
            <c:symbol val="triangle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0.86488471486644092</c:v>
                </c:pt>
                <c:pt idx="3">
                  <c:v>0.91416991165877703</c:v>
                </c:pt>
                <c:pt idx="4">
                  <c:v>0.93170174839347986</c:v>
                </c:pt>
                <c:pt idx="5">
                  <c:v>0.94314793438162448</c:v>
                </c:pt>
                <c:pt idx="6">
                  <c:v>0.95469838900122361</c:v>
                </c:pt>
                <c:pt idx="7">
                  <c:v>0.96276399676956825</c:v>
                </c:pt>
                <c:pt idx="8">
                  <c:v>0.96913770815091638</c:v>
                </c:pt>
                <c:pt idx="9">
                  <c:v>0.97297240486699776</c:v>
                </c:pt>
                <c:pt idx="10">
                  <c:v>0.9760973922461742</c:v>
                </c:pt>
                <c:pt idx="11">
                  <c:v>0.98018527609956596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836-4363-B0B3-034DC411AD06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Dot"/>
            </a:ln>
          </c:spPr>
          <c:marker>
            <c:symbol val="x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0.89659371220203343</c:v>
                </c:pt>
                <c:pt idx="3">
                  <c:v>0.93601863084926606</c:v>
                </c:pt>
                <c:pt idx="4">
                  <c:v>0.95024108913962546</c:v>
                </c:pt>
                <c:pt idx="5">
                  <c:v>0.95733827020665985</c:v>
                </c:pt>
                <c:pt idx="6">
                  <c:v>0.96460102768475775</c:v>
                </c:pt>
                <c:pt idx="7">
                  <c:v>0.9701586495113439</c:v>
                </c:pt>
                <c:pt idx="8">
                  <c:v>0.97524796952374337</c:v>
                </c:pt>
                <c:pt idx="9">
                  <c:v>0.9790687381057005</c:v>
                </c:pt>
                <c:pt idx="10">
                  <c:v>0.98317176365525227</c:v>
                </c:pt>
                <c:pt idx="11">
                  <c:v>0.98550117594572217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836-4363-B0B3-034DC411AD06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22225">
              <a:solidFill>
                <a:schemeClr val="tx1"/>
              </a:solidFill>
            </a:ln>
          </c:spPr>
          <c:marker>
            <c:symbol val="circle"/>
            <c:size val="6"/>
            <c:spPr>
              <a:noFill/>
              <a:ln w="19050">
                <a:solidFill>
                  <a:schemeClr val="tx1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0.87409588137181282</c:v>
                </c:pt>
                <c:pt idx="3">
                  <c:v>0.92837614609871677</c:v>
                </c:pt>
                <c:pt idx="4">
                  <c:v>0.94777800665301637</c:v>
                </c:pt>
                <c:pt idx="5">
                  <c:v>0.95685483322655829</c:v>
                </c:pt>
                <c:pt idx="6">
                  <c:v>0.96398179238062165</c:v>
                </c:pt>
                <c:pt idx="7">
                  <c:v>0.97132728101712662</c:v>
                </c:pt>
                <c:pt idx="8">
                  <c:v>0.97521571083726688</c:v>
                </c:pt>
                <c:pt idx="9">
                  <c:v>0.97861987373546322</c:v>
                </c:pt>
                <c:pt idx="10">
                  <c:v>0.98217546750704832</c:v>
                </c:pt>
                <c:pt idx="11">
                  <c:v>0.98447441318381057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836-4363-B0B3-034DC411A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966080"/>
        <c:axId val="471968384"/>
      </c:lineChart>
      <c:catAx>
        <c:axId val="4719660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6631174451048538"/>
              <c:y val="0.79524679115858665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968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1968384"/>
        <c:scaling>
          <c:orientation val="minMax"/>
          <c:max val="1.05"/>
          <c:min val="0.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0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4731352991547344E-2"/>
              <c:y val="0.2918876393714495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966080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3548951107100063E-2"/>
          <c:y val="0.92843425836805271"/>
          <c:w val="0.95717040060934599"/>
          <c:h val="6.231747118566703E-2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Lines="2" dropStyle="combo" dx="18" fmlaLink="$AI$28" fmlaRange="$AH$25:$AH$26" noThreeD="1" sel="1" val="0"/>
</file>

<file path=xl/ctrlProps/ctrlProp9.xml><?xml version="1.0" encoding="utf-8"?>
<formControlPr xmlns="http://schemas.microsoft.com/office/spreadsheetml/2009/9/main" objectType="Drop" dropLines="4" dropStyle="combo" dx="18" fmlaLink="$AI$37" fmlaRange="$AH$32:$AH$35" noThreeD="1" sel="1" val="0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Drop" dropLines="14" dropStyle="combo" dx="18" fmlaLink="$AI$19" fmlaRange="$AH$5:$AH$18" noThreeD="1" sel="2" val="0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4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12" Type="http://schemas.openxmlformats.org/officeDocument/2006/relationships/chart" Target="../charts/chart13.xml"/><Relationship Id="rId2" Type="http://schemas.openxmlformats.org/officeDocument/2006/relationships/chart" Target="../charts/chart3.xml"/><Relationship Id="rId16" Type="http://schemas.openxmlformats.org/officeDocument/2006/relationships/chart" Target="../charts/chart17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chart" Target="../charts/chart12.xml"/><Relationship Id="rId5" Type="http://schemas.openxmlformats.org/officeDocument/2006/relationships/chart" Target="../charts/chart6.xml"/><Relationship Id="rId15" Type="http://schemas.openxmlformats.org/officeDocument/2006/relationships/chart" Target="../charts/chart16.xml"/><Relationship Id="rId10" Type="http://schemas.openxmlformats.org/officeDocument/2006/relationships/chart" Target="../charts/chart11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Relationship Id="rId14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.xml"/><Relationship Id="rId13" Type="http://schemas.openxmlformats.org/officeDocument/2006/relationships/chart" Target="../charts/chart30.xml"/><Relationship Id="rId18" Type="http://schemas.openxmlformats.org/officeDocument/2006/relationships/chart" Target="../charts/chart35.xml"/><Relationship Id="rId3" Type="http://schemas.openxmlformats.org/officeDocument/2006/relationships/chart" Target="../charts/chart20.xml"/><Relationship Id="rId7" Type="http://schemas.openxmlformats.org/officeDocument/2006/relationships/chart" Target="../charts/chart24.xml"/><Relationship Id="rId12" Type="http://schemas.openxmlformats.org/officeDocument/2006/relationships/chart" Target="../charts/chart29.xml"/><Relationship Id="rId17" Type="http://schemas.openxmlformats.org/officeDocument/2006/relationships/chart" Target="../charts/chart34.xml"/><Relationship Id="rId2" Type="http://schemas.openxmlformats.org/officeDocument/2006/relationships/chart" Target="../charts/chart19.xml"/><Relationship Id="rId16" Type="http://schemas.openxmlformats.org/officeDocument/2006/relationships/chart" Target="../charts/chart33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11" Type="http://schemas.openxmlformats.org/officeDocument/2006/relationships/chart" Target="../charts/chart28.xml"/><Relationship Id="rId5" Type="http://schemas.openxmlformats.org/officeDocument/2006/relationships/chart" Target="../charts/chart22.xml"/><Relationship Id="rId15" Type="http://schemas.openxmlformats.org/officeDocument/2006/relationships/chart" Target="../charts/chart32.xml"/><Relationship Id="rId10" Type="http://schemas.openxmlformats.org/officeDocument/2006/relationships/chart" Target="../charts/chart27.xml"/><Relationship Id="rId4" Type="http://schemas.openxmlformats.org/officeDocument/2006/relationships/chart" Target="../charts/chart21.xml"/><Relationship Id="rId9" Type="http://schemas.openxmlformats.org/officeDocument/2006/relationships/chart" Target="../charts/chart26.xml"/><Relationship Id="rId14" Type="http://schemas.openxmlformats.org/officeDocument/2006/relationships/chart" Target="../charts/chart31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3.xml"/><Relationship Id="rId13" Type="http://schemas.openxmlformats.org/officeDocument/2006/relationships/chart" Target="../charts/chart48.xml"/><Relationship Id="rId18" Type="http://schemas.openxmlformats.org/officeDocument/2006/relationships/chart" Target="../charts/chart53.xml"/><Relationship Id="rId3" Type="http://schemas.openxmlformats.org/officeDocument/2006/relationships/chart" Target="../charts/chart38.xml"/><Relationship Id="rId7" Type="http://schemas.openxmlformats.org/officeDocument/2006/relationships/chart" Target="../charts/chart42.xml"/><Relationship Id="rId12" Type="http://schemas.openxmlformats.org/officeDocument/2006/relationships/chart" Target="../charts/chart47.xml"/><Relationship Id="rId17" Type="http://schemas.openxmlformats.org/officeDocument/2006/relationships/chart" Target="../charts/chart52.xml"/><Relationship Id="rId2" Type="http://schemas.openxmlformats.org/officeDocument/2006/relationships/chart" Target="../charts/chart37.xml"/><Relationship Id="rId16" Type="http://schemas.openxmlformats.org/officeDocument/2006/relationships/chart" Target="../charts/chart51.xml"/><Relationship Id="rId1" Type="http://schemas.openxmlformats.org/officeDocument/2006/relationships/chart" Target="../charts/chart36.xml"/><Relationship Id="rId6" Type="http://schemas.openxmlformats.org/officeDocument/2006/relationships/chart" Target="../charts/chart41.xml"/><Relationship Id="rId11" Type="http://schemas.openxmlformats.org/officeDocument/2006/relationships/chart" Target="../charts/chart46.xml"/><Relationship Id="rId5" Type="http://schemas.openxmlformats.org/officeDocument/2006/relationships/chart" Target="../charts/chart40.xml"/><Relationship Id="rId15" Type="http://schemas.openxmlformats.org/officeDocument/2006/relationships/chart" Target="../charts/chart50.xml"/><Relationship Id="rId10" Type="http://schemas.openxmlformats.org/officeDocument/2006/relationships/chart" Target="../charts/chart45.xml"/><Relationship Id="rId4" Type="http://schemas.openxmlformats.org/officeDocument/2006/relationships/chart" Target="../charts/chart39.xml"/><Relationship Id="rId9" Type="http://schemas.openxmlformats.org/officeDocument/2006/relationships/chart" Target="../charts/chart44.xml"/><Relationship Id="rId14" Type="http://schemas.openxmlformats.org/officeDocument/2006/relationships/chart" Target="../charts/chart49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5.xml"/><Relationship Id="rId1" Type="http://schemas.openxmlformats.org/officeDocument/2006/relationships/chart" Target="../charts/chart54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chart" Target="../charts/chart56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6.xml"/><Relationship Id="rId3" Type="http://schemas.openxmlformats.org/officeDocument/2006/relationships/chart" Target="../charts/chart61.xml"/><Relationship Id="rId7" Type="http://schemas.openxmlformats.org/officeDocument/2006/relationships/chart" Target="../charts/chart65.xml"/><Relationship Id="rId2" Type="http://schemas.openxmlformats.org/officeDocument/2006/relationships/chart" Target="../charts/chart60.xml"/><Relationship Id="rId1" Type="http://schemas.openxmlformats.org/officeDocument/2006/relationships/chart" Target="../charts/chart59.xml"/><Relationship Id="rId6" Type="http://schemas.openxmlformats.org/officeDocument/2006/relationships/chart" Target="../charts/chart64.xml"/><Relationship Id="rId5" Type="http://schemas.openxmlformats.org/officeDocument/2006/relationships/chart" Target="../charts/chart63.xml"/><Relationship Id="rId4" Type="http://schemas.openxmlformats.org/officeDocument/2006/relationships/chart" Target="../charts/chart6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504825</xdr:colOff>
          <xdr:row>0</xdr:row>
          <xdr:rowOff>38100</xdr:rowOff>
        </xdr:from>
        <xdr:to>
          <xdr:col>9</xdr:col>
          <xdr:colOff>180975</xdr:colOff>
          <xdr:row>2</xdr:row>
          <xdr:rowOff>123825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0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504825</xdr:colOff>
          <xdr:row>0</xdr:row>
          <xdr:rowOff>38100</xdr:rowOff>
        </xdr:from>
        <xdr:to>
          <xdr:col>21</xdr:col>
          <xdr:colOff>180975</xdr:colOff>
          <xdr:row>2</xdr:row>
          <xdr:rowOff>123825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0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504825</xdr:colOff>
          <xdr:row>0</xdr:row>
          <xdr:rowOff>38100</xdr:rowOff>
        </xdr:from>
        <xdr:to>
          <xdr:col>33</xdr:col>
          <xdr:colOff>180975</xdr:colOff>
          <xdr:row>2</xdr:row>
          <xdr:rowOff>123825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0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504825</xdr:colOff>
          <xdr:row>0</xdr:row>
          <xdr:rowOff>38100</xdr:rowOff>
        </xdr:from>
        <xdr:to>
          <xdr:col>46</xdr:col>
          <xdr:colOff>209550</xdr:colOff>
          <xdr:row>2</xdr:row>
          <xdr:rowOff>123825</xdr:rowOff>
        </xdr:to>
        <xdr:sp macro="" textlink="">
          <xdr:nvSpPr>
            <xdr:cNvPr id="18438" name="Button 6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0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504825</xdr:colOff>
          <xdr:row>328</xdr:row>
          <xdr:rowOff>38100</xdr:rowOff>
        </xdr:from>
        <xdr:to>
          <xdr:col>10</xdr:col>
          <xdr:colOff>180975</xdr:colOff>
          <xdr:row>331</xdr:row>
          <xdr:rowOff>0</xdr:rowOff>
        </xdr:to>
        <xdr:sp macro="" textlink="">
          <xdr:nvSpPr>
            <xdr:cNvPr id="18439" name="Button 7" hidden="1">
              <a:extLst>
                <a:ext uri="{63B3BB69-23CF-44E3-9099-C40C66FF867C}">
                  <a14:compatExt spid="_x0000_s18439"/>
                </a:ext>
                <a:ext uri="{FF2B5EF4-FFF2-40B4-BE49-F238E27FC236}">
                  <a16:creationId xmlns:a16="http://schemas.microsoft.com/office/drawing/2014/main" id="{00000000-0008-0000-0000-00000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504825</xdr:colOff>
          <xdr:row>424</xdr:row>
          <xdr:rowOff>38100</xdr:rowOff>
        </xdr:from>
        <xdr:to>
          <xdr:col>9</xdr:col>
          <xdr:colOff>180975</xdr:colOff>
          <xdr:row>427</xdr:row>
          <xdr:rowOff>0</xdr:rowOff>
        </xdr:to>
        <xdr:sp macro="" textlink="">
          <xdr:nvSpPr>
            <xdr:cNvPr id="18443" name="Button 11" hidden="1">
              <a:extLst>
                <a:ext uri="{63B3BB69-23CF-44E3-9099-C40C66FF867C}">
                  <a14:compatExt spid="_x0000_s18443"/>
                </a:ext>
                <a:ext uri="{FF2B5EF4-FFF2-40B4-BE49-F238E27FC236}">
                  <a16:creationId xmlns:a16="http://schemas.microsoft.com/office/drawing/2014/main" id="{00000000-0008-0000-0000-00000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504825</xdr:colOff>
          <xdr:row>388</xdr:row>
          <xdr:rowOff>38100</xdr:rowOff>
        </xdr:from>
        <xdr:to>
          <xdr:col>10</xdr:col>
          <xdr:colOff>180975</xdr:colOff>
          <xdr:row>391</xdr:row>
          <xdr:rowOff>0</xdr:rowOff>
        </xdr:to>
        <xdr:sp macro="" textlink="">
          <xdr:nvSpPr>
            <xdr:cNvPr id="18464" name="Button 32" hidden="1">
              <a:extLst>
                <a:ext uri="{63B3BB69-23CF-44E3-9099-C40C66FF867C}">
                  <a14:compatExt spid="_x0000_s18464"/>
                </a:ext>
                <a:ext uri="{FF2B5EF4-FFF2-40B4-BE49-F238E27FC236}">
                  <a16:creationId xmlns:a16="http://schemas.microsoft.com/office/drawing/2014/main" id="{00000000-0008-0000-0000-000020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2</xdr:row>
          <xdr:rowOff>104775</xdr:rowOff>
        </xdr:from>
        <xdr:to>
          <xdr:col>7</xdr:col>
          <xdr:colOff>457200</xdr:colOff>
          <xdr:row>4</xdr:row>
          <xdr:rowOff>66675</xdr:rowOff>
        </xdr:to>
        <xdr:sp macro="" textlink="">
          <xdr:nvSpPr>
            <xdr:cNvPr id="4103" name="Drop Dow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4</xdr:row>
          <xdr:rowOff>76200</xdr:rowOff>
        </xdr:from>
        <xdr:to>
          <xdr:col>7</xdr:col>
          <xdr:colOff>447675</xdr:colOff>
          <xdr:row>6</xdr:row>
          <xdr:rowOff>9525</xdr:rowOff>
        </xdr:to>
        <xdr:sp macro="" textlink="">
          <xdr:nvSpPr>
            <xdr:cNvPr id="4104" name="Drop Dow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323850</xdr:colOff>
          <xdr:row>103</xdr:row>
          <xdr:rowOff>38100</xdr:rowOff>
        </xdr:from>
        <xdr:to>
          <xdr:col>15</xdr:col>
          <xdr:colOff>171450</xdr:colOff>
          <xdr:row>106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323850</xdr:colOff>
          <xdr:row>132</xdr:row>
          <xdr:rowOff>38100</xdr:rowOff>
        </xdr:from>
        <xdr:to>
          <xdr:col>14</xdr:col>
          <xdr:colOff>171450</xdr:colOff>
          <xdr:row>135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0</xdr:row>
          <xdr:rowOff>66675</xdr:rowOff>
        </xdr:from>
        <xdr:to>
          <xdr:col>11</xdr:col>
          <xdr:colOff>447675</xdr:colOff>
          <xdr:row>2</xdr:row>
          <xdr:rowOff>85725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Lag Factors - [User Must Sort Lag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Factors After Each Time Claim Data Changed]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333375</xdr:colOff>
          <xdr:row>0</xdr:row>
          <xdr:rowOff>28575</xdr:rowOff>
        </xdr:from>
        <xdr:to>
          <xdr:col>15</xdr:col>
          <xdr:colOff>352425</xdr:colOff>
          <xdr:row>2</xdr:row>
          <xdr:rowOff>47625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1</xdr:row>
          <xdr:rowOff>9525</xdr:rowOff>
        </xdr:from>
        <xdr:to>
          <xdr:col>7</xdr:col>
          <xdr:colOff>457200</xdr:colOff>
          <xdr:row>2</xdr:row>
          <xdr:rowOff>95250</xdr:rowOff>
        </xdr:to>
        <xdr:sp macro="" textlink="">
          <xdr:nvSpPr>
            <xdr:cNvPr id="4102" name="Drop Dow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466725</xdr:colOff>
          <xdr:row>67</xdr:row>
          <xdr:rowOff>114300</xdr:rowOff>
        </xdr:from>
        <xdr:to>
          <xdr:col>11</xdr:col>
          <xdr:colOff>409575</xdr:colOff>
          <xdr:row>70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1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0</xdr:row>
          <xdr:rowOff>38100</xdr:rowOff>
        </xdr:from>
        <xdr:to>
          <xdr:col>0</xdr:col>
          <xdr:colOff>523875</xdr:colOff>
          <xdr:row>6</xdr:row>
          <xdr:rowOff>28575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46</xdr:row>
          <xdr:rowOff>38100</xdr:rowOff>
        </xdr:from>
        <xdr:to>
          <xdr:col>11</xdr:col>
          <xdr:colOff>495300</xdr:colOff>
          <xdr:row>48</xdr:row>
          <xdr:rowOff>85725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75</xdr:row>
          <xdr:rowOff>38100</xdr:rowOff>
        </xdr:from>
        <xdr:to>
          <xdr:col>11</xdr:col>
          <xdr:colOff>495300</xdr:colOff>
          <xdr:row>78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107</xdr:row>
          <xdr:rowOff>38100</xdr:rowOff>
        </xdr:from>
        <xdr:to>
          <xdr:col>11</xdr:col>
          <xdr:colOff>495300</xdr:colOff>
          <xdr:row>110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361950</xdr:colOff>
          <xdr:row>7</xdr:row>
          <xdr:rowOff>0</xdr:rowOff>
        </xdr:from>
        <xdr:to>
          <xdr:col>8</xdr:col>
          <xdr:colOff>314325</xdr:colOff>
          <xdr:row>10</xdr:row>
          <xdr:rowOff>66675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25</xdr:row>
          <xdr:rowOff>38100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3</xdr:row>
          <xdr:rowOff>133350</xdr:rowOff>
        </xdr:from>
        <xdr:to>
          <xdr:col>11</xdr:col>
          <xdr:colOff>238125</xdr:colOff>
          <xdr:row>8</xdr:row>
          <xdr:rowOff>123825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27</xdr:row>
      <xdr:rowOff>76200</xdr:rowOff>
    </xdr:from>
    <xdr:to>
      <xdr:col>13</xdr:col>
      <xdr:colOff>295275</xdr:colOff>
      <xdr:row>51</xdr:row>
      <xdr:rowOff>114300</xdr:rowOff>
    </xdr:to>
    <xdr:graphicFrame macro="">
      <xdr:nvGraphicFramePr>
        <xdr:cNvPr id="54286" name="Chart 2">
          <a:extLst>
            <a:ext uri="{FF2B5EF4-FFF2-40B4-BE49-F238E27FC236}">
              <a16:creationId xmlns:a16="http://schemas.microsoft.com/office/drawing/2014/main" id="{00000000-0008-0000-0400-00000ED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0</xdr:row>
          <xdr:rowOff>57150</xdr:rowOff>
        </xdr:from>
        <xdr:to>
          <xdr:col>6</xdr:col>
          <xdr:colOff>533400</xdr:colOff>
          <xdr:row>2</xdr:row>
          <xdr:rowOff>114300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4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66675</xdr:colOff>
          <xdr:row>1</xdr:row>
          <xdr:rowOff>66675</xdr:rowOff>
        </xdr:from>
        <xdr:to>
          <xdr:col>27</xdr:col>
          <xdr:colOff>257175</xdr:colOff>
          <xdr:row>7</xdr:row>
          <xdr:rowOff>104775</xdr:rowOff>
        </xdr:to>
        <xdr:sp macro="" textlink="">
          <xdr:nvSpPr>
            <xdr:cNvPr id="463873" name="Button 1" hidden="1">
              <a:extLst>
                <a:ext uri="{63B3BB69-23CF-44E3-9099-C40C66FF867C}">
                  <a14:compatExt spid="_x0000_s463873"/>
                </a:ext>
                <a:ext uri="{FF2B5EF4-FFF2-40B4-BE49-F238E27FC236}">
                  <a16:creationId xmlns:a16="http://schemas.microsoft.com/office/drawing/2014/main" id="{00000000-0008-0000-0500-0000011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66675</xdr:colOff>
          <xdr:row>9</xdr:row>
          <xdr:rowOff>0</xdr:rowOff>
        </xdr:from>
        <xdr:to>
          <xdr:col>27</xdr:col>
          <xdr:colOff>228600</xdr:colOff>
          <xdr:row>14</xdr:row>
          <xdr:rowOff>123825</xdr:rowOff>
        </xdr:to>
        <xdr:sp macro="" textlink="">
          <xdr:nvSpPr>
            <xdr:cNvPr id="463874" name="Button 2" hidden="1">
              <a:extLst>
                <a:ext uri="{63B3BB69-23CF-44E3-9099-C40C66FF867C}">
                  <a14:compatExt spid="_x0000_s463874"/>
                </a:ext>
                <a:ext uri="{FF2B5EF4-FFF2-40B4-BE49-F238E27FC236}">
                  <a16:creationId xmlns:a16="http://schemas.microsoft.com/office/drawing/2014/main" id="{00000000-0008-0000-0500-0000021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2</xdr:row>
      <xdr:rowOff>28575</xdr:rowOff>
    </xdr:from>
    <xdr:to>
      <xdr:col>16</xdr:col>
      <xdr:colOff>522516</xdr:colOff>
      <xdr:row>41</xdr:row>
      <xdr:rowOff>54428</xdr:rowOff>
    </xdr:to>
    <xdr:graphicFrame macro="">
      <xdr:nvGraphicFramePr>
        <xdr:cNvPr id="7421" name="Chart 4">
          <a:extLst>
            <a:ext uri="{FF2B5EF4-FFF2-40B4-BE49-F238E27FC236}">
              <a16:creationId xmlns:a16="http://schemas.microsoft.com/office/drawing/2014/main" id="{00000000-0008-0000-0600-0000FD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48</xdr:row>
      <xdr:rowOff>141515</xdr:rowOff>
    </xdr:from>
    <xdr:to>
      <xdr:col>16</xdr:col>
      <xdr:colOff>522515</xdr:colOff>
      <xdr:row>87</xdr:row>
      <xdr:rowOff>10886</xdr:rowOff>
    </xdr:to>
    <xdr:graphicFrame macro="">
      <xdr:nvGraphicFramePr>
        <xdr:cNvPr id="7422" name="Chart 7">
          <a:extLst>
            <a:ext uri="{FF2B5EF4-FFF2-40B4-BE49-F238E27FC236}">
              <a16:creationId xmlns:a16="http://schemas.microsoft.com/office/drawing/2014/main" id="{00000000-0008-0000-0600-0000FE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32658</xdr:colOff>
      <xdr:row>90</xdr:row>
      <xdr:rowOff>85725</xdr:rowOff>
    </xdr:from>
    <xdr:to>
      <xdr:col>17</xdr:col>
      <xdr:colOff>32658</xdr:colOff>
      <xdr:row>131</xdr:row>
      <xdr:rowOff>7620</xdr:rowOff>
    </xdr:to>
    <xdr:graphicFrame macro="">
      <xdr:nvGraphicFramePr>
        <xdr:cNvPr id="7423" name="Chart CF-Col">
          <a:extLst>
            <a:ext uri="{FF2B5EF4-FFF2-40B4-BE49-F238E27FC236}">
              <a16:creationId xmlns:a16="http://schemas.microsoft.com/office/drawing/2014/main" id="{00000000-0008-0000-0600-0000FF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133</xdr:row>
      <xdr:rowOff>104775</xdr:rowOff>
    </xdr:from>
    <xdr:to>
      <xdr:col>17</xdr:col>
      <xdr:colOff>0</xdr:colOff>
      <xdr:row>178</xdr:row>
      <xdr:rowOff>9525</xdr:rowOff>
    </xdr:to>
    <xdr:graphicFrame macro="">
      <xdr:nvGraphicFramePr>
        <xdr:cNvPr id="7424" name="Chart CF-Col-Q">
          <a:extLst>
            <a:ext uri="{FF2B5EF4-FFF2-40B4-BE49-F238E27FC236}">
              <a16:creationId xmlns:a16="http://schemas.microsoft.com/office/drawing/2014/main" id="{00000000-0008-0000-0600-000000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9525</xdr:colOff>
      <xdr:row>181</xdr:row>
      <xdr:rowOff>85725</xdr:rowOff>
    </xdr:from>
    <xdr:to>
      <xdr:col>16</xdr:col>
      <xdr:colOff>485775</xdr:colOff>
      <xdr:row>226</xdr:row>
      <xdr:rowOff>66675</xdr:rowOff>
    </xdr:to>
    <xdr:graphicFrame macro="">
      <xdr:nvGraphicFramePr>
        <xdr:cNvPr id="7425" name="Chart 10">
          <a:extLst>
            <a:ext uri="{FF2B5EF4-FFF2-40B4-BE49-F238E27FC236}">
              <a16:creationId xmlns:a16="http://schemas.microsoft.com/office/drawing/2014/main" id="{00000000-0008-0000-0600-000001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28575</xdr:colOff>
      <xdr:row>228</xdr:row>
      <xdr:rowOff>1</xdr:rowOff>
    </xdr:from>
    <xdr:to>
      <xdr:col>16</xdr:col>
      <xdr:colOff>489858</xdr:colOff>
      <xdr:row>266</xdr:row>
      <xdr:rowOff>32658</xdr:rowOff>
    </xdr:to>
    <xdr:graphicFrame macro="">
      <xdr:nvGraphicFramePr>
        <xdr:cNvPr id="7426" name="Chart 12">
          <a:extLst>
            <a:ext uri="{FF2B5EF4-FFF2-40B4-BE49-F238E27FC236}">
              <a16:creationId xmlns:a16="http://schemas.microsoft.com/office/drawing/2014/main" id="{00000000-0008-0000-0600-000002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66675</xdr:colOff>
      <xdr:row>269</xdr:row>
      <xdr:rowOff>28575</xdr:rowOff>
    </xdr:from>
    <xdr:to>
      <xdr:col>16</xdr:col>
      <xdr:colOff>485775</xdr:colOff>
      <xdr:row>311</xdr:row>
      <xdr:rowOff>0</xdr:rowOff>
    </xdr:to>
    <xdr:graphicFrame macro="">
      <xdr:nvGraphicFramePr>
        <xdr:cNvPr id="7427" name="Chart 13">
          <a:extLst>
            <a:ext uri="{FF2B5EF4-FFF2-40B4-BE49-F238E27FC236}">
              <a16:creationId xmlns:a16="http://schemas.microsoft.com/office/drawing/2014/main" id="{00000000-0008-0000-0600-000003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312</xdr:row>
      <xdr:rowOff>47625</xdr:rowOff>
    </xdr:from>
    <xdr:to>
      <xdr:col>16</xdr:col>
      <xdr:colOff>485775</xdr:colOff>
      <xdr:row>357</xdr:row>
      <xdr:rowOff>66675</xdr:rowOff>
    </xdr:to>
    <xdr:graphicFrame macro="">
      <xdr:nvGraphicFramePr>
        <xdr:cNvPr id="7428" name="Chart 14">
          <a:extLst>
            <a:ext uri="{FF2B5EF4-FFF2-40B4-BE49-F238E27FC236}">
              <a16:creationId xmlns:a16="http://schemas.microsoft.com/office/drawing/2014/main" id="{00000000-0008-0000-0600-000004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32657</xdr:colOff>
      <xdr:row>2</xdr:row>
      <xdr:rowOff>38101</xdr:rowOff>
    </xdr:from>
    <xdr:to>
      <xdr:col>37</xdr:col>
      <xdr:colOff>0</xdr:colOff>
      <xdr:row>41</xdr:row>
      <xdr:rowOff>76201</xdr:rowOff>
    </xdr:to>
    <xdr:graphicFrame macro="">
      <xdr:nvGraphicFramePr>
        <xdr:cNvPr id="7429" name="Chart 16">
          <a:extLst>
            <a:ext uri="{FF2B5EF4-FFF2-40B4-BE49-F238E27FC236}">
              <a16:creationId xmlns:a16="http://schemas.microsoft.com/office/drawing/2014/main" id="{00000000-0008-0000-0600-000005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130629</xdr:colOff>
      <xdr:row>48</xdr:row>
      <xdr:rowOff>130630</xdr:rowOff>
    </xdr:from>
    <xdr:to>
      <xdr:col>36</xdr:col>
      <xdr:colOff>544284</xdr:colOff>
      <xdr:row>87</xdr:row>
      <xdr:rowOff>21771</xdr:rowOff>
    </xdr:to>
    <xdr:graphicFrame macro="">
      <xdr:nvGraphicFramePr>
        <xdr:cNvPr id="7430" name="Chart 17">
          <a:extLst>
            <a:ext uri="{FF2B5EF4-FFF2-40B4-BE49-F238E27FC236}">
              <a16:creationId xmlns:a16="http://schemas.microsoft.com/office/drawing/2014/main" id="{00000000-0008-0000-0600-000006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20</xdr:col>
      <xdr:colOff>0</xdr:colOff>
      <xdr:row>90</xdr:row>
      <xdr:rowOff>85725</xdr:rowOff>
    </xdr:from>
    <xdr:to>
      <xdr:col>37</xdr:col>
      <xdr:colOff>0</xdr:colOff>
      <xdr:row>132</xdr:row>
      <xdr:rowOff>38100</xdr:rowOff>
    </xdr:to>
    <xdr:graphicFrame macro="">
      <xdr:nvGraphicFramePr>
        <xdr:cNvPr id="7431" name="Chart CF-BW">
          <a:extLst>
            <a:ext uri="{FF2B5EF4-FFF2-40B4-BE49-F238E27FC236}">
              <a16:creationId xmlns:a16="http://schemas.microsoft.com/office/drawing/2014/main" id="{00000000-0008-0000-0600-000007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20</xdr:col>
      <xdr:colOff>9525</xdr:colOff>
      <xdr:row>181</xdr:row>
      <xdr:rowOff>85725</xdr:rowOff>
    </xdr:from>
    <xdr:to>
      <xdr:col>36</xdr:col>
      <xdr:colOff>485775</xdr:colOff>
      <xdr:row>226</xdr:row>
      <xdr:rowOff>66675</xdr:rowOff>
    </xdr:to>
    <xdr:graphicFrame macro="">
      <xdr:nvGraphicFramePr>
        <xdr:cNvPr id="7433" name="Chart 20">
          <a:extLst>
            <a:ext uri="{FF2B5EF4-FFF2-40B4-BE49-F238E27FC236}">
              <a16:creationId xmlns:a16="http://schemas.microsoft.com/office/drawing/2014/main" id="{00000000-0008-0000-0600-000009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20</xdr:col>
      <xdr:colOff>65315</xdr:colOff>
      <xdr:row>228</xdr:row>
      <xdr:rowOff>0</xdr:rowOff>
    </xdr:from>
    <xdr:to>
      <xdr:col>36</xdr:col>
      <xdr:colOff>518160</xdr:colOff>
      <xdr:row>266</xdr:row>
      <xdr:rowOff>21772</xdr:rowOff>
    </xdr:to>
    <xdr:graphicFrame macro="">
      <xdr:nvGraphicFramePr>
        <xdr:cNvPr id="7434" name="Chart 21">
          <a:extLst>
            <a:ext uri="{FF2B5EF4-FFF2-40B4-BE49-F238E27FC236}">
              <a16:creationId xmlns:a16="http://schemas.microsoft.com/office/drawing/2014/main" id="{00000000-0008-0000-0600-00000A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20</xdr:col>
      <xdr:colOff>66675</xdr:colOff>
      <xdr:row>269</xdr:row>
      <xdr:rowOff>28575</xdr:rowOff>
    </xdr:from>
    <xdr:to>
      <xdr:col>36</xdr:col>
      <xdr:colOff>485775</xdr:colOff>
      <xdr:row>311</xdr:row>
      <xdr:rowOff>0</xdr:rowOff>
    </xdr:to>
    <xdr:graphicFrame macro="">
      <xdr:nvGraphicFramePr>
        <xdr:cNvPr id="7435" name="Chart 22">
          <a:extLst>
            <a:ext uri="{FF2B5EF4-FFF2-40B4-BE49-F238E27FC236}">
              <a16:creationId xmlns:a16="http://schemas.microsoft.com/office/drawing/2014/main" id="{00000000-0008-0000-0600-00000B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20</xdr:col>
      <xdr:colOff>0</xdr:colOff>
      <xdr:row>312</xdr:row>
      <xdr:rowOff>47625</xdr:rowOff>
    </xdr:from>
    <xdr:to>
      <xdr:col>36</xdr:col>
      <xdr:colOff>485775</xdr:colOff>
      <xdr:row>357</xdr:row>
      <xdr:rowOff>66675</xdr:rowOff>
    </xdr:to>
    <xdr:graphicFrame macro="">
      <xdr:nvGraphicFramePr>
        <xdr:cNvPr id="7436" name="Chart 23">
          <a:extLst>
            <a:ext uri="{FF2B5EF4-FFF2-40B4-BE49-F238E27FC236}">
              <a16:creationId xmlns:a16="http://schemas.microsoft.com/office/drawing/2014/main" id="{00000000-0008-0000-0600-00000C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276225</xdr:colOff>
      <xdr:row>143</xdr:row>
      <xdr:rowOff>76200</xdr:rowOff>
    </xdr:from>
    <xdr:to>
      <xdr:col>19</xdr:col>
      <xdr:colOff>447675</xdr:colOff>
      <xdr:row>156</xdr:row>
      <xdr:rowOff>123825</xdr:rowOff>
    </xdr:to>
    <xdr:sp macro="" textlink="">
      <xdr:nvSpPr>
        <xdr:cNvPr id="7215" name="Text Box 47">
          <a:extLst>
            <a:ext uri="{FF2B5EF4-FFF2-40B4-BE49-F238E27FC236}">
              <a16:creationId xmlns:a16="http://schemas.microsoft.com/office/drawing/2014/main" id="{00000000-0008-0000-0600-00002F1C0000}"/>
            </a:ext>
          </a:extLst>
        </xdr:cNvPr>
        <xdr:cNvSpPr txBox="1">
          <a:spLocks noChangeArrowheads="1"/>
        </xdr:cNvSpPr>
      </xdr:nvSpPr>
      <xdr:spPr bwMode="auto">
        <a:xfrm>
          <a:off x="10315575" y="24336375"/>
          <a:ext cx="1352550" cy="190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To fix the Chart Minimum &amp; Maximum, hit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Menu Button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Other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Fix Chart Min &amp;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   Max for 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   PMPM Chart</a:t>
          </a:r>
        </a:p>
      </xdr:txBody>
    </xdr:sp>
    <xdr:clientData/>
  </xdr:twoCellAnchor>
  <xdr:twoCellAnchor>
    <xdr:from>
      <xdr:col>38</xdr:col>
      <xdr:colOff>276225</xdr:colOff>
      <xdr:row>142</xdr:row>
      <xdr:rowOff>76200</xdr:rowOff>
    </xdr:from>
    <xdr:to>
      <xdr:col>40</xdr:col>
      <xdr:colOff>447675</xdr:colOff>
      <xdr:row>155</xdr:row>
      <xdr:rowOff>123825</xdr:rowOff>
    </xdr:to>
    <xdr:sp macro="" textlink="">
      <xdr:nvSpPr>
        <xdr:cNvPr id="7216" name="Text Box 48">
          <a:extLst>
            <a:ext uri="{FF2B5EF4-FFF2-40B4-BE49-F238E27FC236}">
              <a16:creationId xmlns:a16="http://schemas.microsoft.com/office/drawing/2014/main" id="{00000000-0008-0000-0600-0000301C0000}"/>
            </a:ext>
          </a:extLst>
        </xdr:cNvPr>
        <xdr:cNvSpPr txBox="1">
          <a:spLocks noChangeArrowheads="1"/>
        </xdr:cNvSpPr>
      </xdr:nvSpPr>
      <xdr:spPr bwMode="auto">
        <a:xfrm>
          <a:off x="22659975" y="24193500"/>
          <a:ext cx="1238250" cy="190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To fix the Chart Minimum &amp; Maximum, hit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Menu Button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Other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Fix Chart Min &amp;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   Max for 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   PMPM Chart</a:t>
          </a:r>
        </a:p>
      </xdr:txBody>
    </xdr:sp>
    <xdr:clientData/>
  </xdr:twoCellAnchor>
  <xdr:twoCellAnchor>
    <xdr:from>
      <xdr:col>20</xdr:col>
      <xdr:colOff>0</xdr:colOff>
      <xdr:row>134</xdr:row>
      <xdr:rowOff>0</xdr:rowOff>
    </xdr:from>
    <xdr:to>
      <xdr:col>37</xdr:col>
      <xdr:colOff>0</xdr:colOff>
      <xdr:row>178</xdr:row>
      <xdr:rowOff>47625</xdr:rowOff>
    </xdr:to>
    <xdr:graphicFrame macro="">
      <xdr:nvGraphicFramePr>
        <xdr:cNvPr id="39" name="Chart CF-BW-Q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</xdr:row>
          <xdr:rowOff>66675</xdr:rowOff>
        </xdr:from>
        <xdr:to>
          <xdr:col>19</xdr:col>
          <xdr:colOff>266700</xdr:colOff>
          <xdr:row>7</xdr:row>
          <xdr:rowOff>104775</xdr:rowOff>
        </xdr:to>
        <xdr:sp macro="" textlink="">
          <xdr:nvSpPr>
            <xdr:cNvPr id="7192" name="Button 24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6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49</xdr:row>
          <xdr:rowOff>66675</xdr:rowOff>
        </xdr:from>
        <xdr:to>
          <xdr:col>19</xdr:col>
          <xdr:colOff>266700</xdr:colOff>
          <xdr:row>55</xdr:row>
          <xdr:rowOff>104775</xdr:rowOff>
        </xdr:to>
        <xdr:sp macro="" textlink="">
          <xdr:nvSpPr>
            <xdr:cNvPr id="7193" name="Button 25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6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</xdr:row>
          <xdr:rowOff>66675</xdr:rowOff>
        </xdr:from>
        <xdr:to>
          <xdr:col>39</xdr:col>
          <xdr:colOff>257175</xdr:colOff>
          <xdr:row>7</xdr:row>
          <xdr:rowOff>104775</xdr:rowOff>
        </xdr:to>
        <xdr:sp macro="" textlink="">
          <xdr:nvSpPr>
            <xdr:cNvPr id="7201" name="Button 33" hidden="1">
              <a:extLst>
                <a:ext uri="{63B3BB69-23CF-44E3-9099-C40C66FF867C}">
                  <a14:compatExt spid="_x0000_s7201"/>
                </a:ext>
                <a:ext uri="{FF2B5EF4-FFF2-40B4-BE49-F238E27FC236}">
                  <a16:creationId xmlns:a16="http://schemas.microsoft.com/office/drawing/2014/main" id="{00000000-0008-0000-0600-00002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49</xdr:row>
          <xdr:rowOff>66675</xdr:rowOff>
        </xdr:from>
        <xdr:to>
          <xdr:col>39</xdr:col>
          <xdr:colOff>257175</xdr:colOff>
          <xdr:row>55</xdr:row>
          <xdr:rowOff>104775</xdr:rowOff>
        </xdr:to>
        <xdr:sp macro="" textlink="">
          <xdr:nvSpPr>
            <xdr:cNvPr id="7202" name="Button 34" hidden="1">
              <a:extLst>
                <a:ext uri="{63B3BB69-23CF-44E3-9099-C40C66FF867C}">
                  <a14:compatExt spid="_x0000_s7202"/>
                </a:ext>
                <a:ext uri="{FF2B5EF4-FFF2-40B4-BE49-F238E27FC236}">
                  <a16:creationId xmlns:a16="http://schemas.microsoft.com/office/drawing/2014/main" id="{00000000-0008-0000-0600-00002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90</xdr:row>
          <xdr:rowOff>66675</xdr:rowOff>
        </xdr:from>
        <xdr:to>
          <xdr:col>39</xdr:col>
          <xdr:colOff>257175</xdr:colOff>
          <xdr:row>96</xdr:row>
          <xdr:rowOff>104775</xdr:rowOff>
        </xdr:to>
        <xdr:sp macro="" textlink="">
          <xdr:nvSpPr>
            <xdr:cNvPr id="7203" name="Button 35" hidden="1">
              <a:extLst>
                <a:ext uri="{63B3BB69-23CF-44E3-9099-C40C66FF867C}">
                  <a14:compatExt spid="_x0000_s7203"/>
                </a:ext>
                <a:ext uri="{FF2B5EF4-FFF2-40B4-BE49-F238E27FC236}">
                  <a16:creationId xmlns:a16="http://schemas.microsoft.com/office/drawing/2014/main" id="{00000000-0008-0000-0600-00002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134</xdr:row>
          <xdr:rowOff>66675</xdr:rowOff>
        </xdr:from>
        <xdr:to>
          <xdr:col>39</xdr:col>
          <xdr:colOff>257175</xdr:colOff>
          <xdr:row>141</xdr:row>
          <xdr:rowOff>47625</xdr:rowOff>
        </xdr:to>
        <xdr:sp macro="" textlink="">
          <xdr:nvSpPr>
            <xdr:cNvPr id="7204" name="Button 36" hidden="1">
              <a:extLst>
                <a:ext uri="{63B3BB69-23CF-44E3-9099-C40C66FF867C}">
                  <a14:compatExt spid="_x0000_s7204"/>
                </a:ext>
                <a:ext uri="{FF2B5EF4-FFF2-40B4-BE49-F238E27FC236}">
                  <a16:creationId xmlns:a16="http://schemas.microsoft.com/office/drawing/2014/main" id="{00000000-0008-0000-0600-00002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181</xdr:row>
          <xdr:rowOff>66675</xdr:rowOff>
        </xdr:from>
        <xdr:to>
          <xdr:col>39</xdr:col>
          <xdr:colOff>257175</xdr:colOff>
          <xdr:row>188</xdr:row>
          <xdr:rowOff>47625</xdr:rowOff>
        </xdr:to>
        <xdr:sp macro="" textlink="">
          <xdr:nvSpPr>
            <xdr:cNvPr id="7205" name="Button 37" hidden="1">
              <a:extLst>
                <a:ext uri="{63B3BB69-23CF-44E3-9099-C40C66FF867C}">
                  <a14:compatExt spid="_x0000_s7205"/>
                </a:ext>
                <a:ext uri="{FF2B5EF4-FFF2-40B4-BE49-F238E27FC236}">
                  <a16:creationId xmlns:a16="http://schemas.microsoft.com/office/drawing/2014/main" id="{00000000-0008-0000-0600-00002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228</xdr:row>
          <xdr:rowOff>66675</xdr:rowOff>
        </xdr:from>
        <xdr:to>
          <xdr:col>39</xdr:col>
          <xdr:colOff>257175</xdr:colOff>
          <xdr:row>235</xdr:row>
          <xdr:rowOff>47625</xdr:rowOff>
        </xdr:to>
        <xdr:sp macro="" textlink="">
          <xdr:nvSpPr>
            <xdr:cNvPr id="7206" name="Button 38" hidden="1">
              <a:extLst>
                <a:ext uri="{63B3BB69-23CF-44E3-9099-C40C66FF867C}">
                  <a14:compatExt spid="_x0000_s7206"/>
                </a:ext>
                <a:ext uri="{FF2B5EF4-FFF2-40B4-BE49-F238E27FC236}">
                  <a16:creationId xmlns:a16="http://schemas.microsoft.com/office/drawing/2014/main" id="{00000000-0008-0000-0600-00002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269</xdr:row>
          <xdr:rowOff>66675</xdr:rowOff>
        </xdr:from>
        <xdr:to>
          <xdr:col>39</xdr:col>
          <xdr:colOff>257175</xdr:colOff>
          <xdr:row>276</xdr:row>
          <xdr:rowOff>47625</xdr:rowOff>
        </xdr:to>
        <xdr:sp macro="" textlink="">
          <xdr:nvSpPr>
            <xdr:cNvPr id="7207" name="Button 39" hidden="1">
              <a:extLst>
                <a:ext uri="{63B3BB69-23CF-44E3-9099-C40C66FF867C}">
                  <a14:compatExt spid="_x0000_s7207"/>
                </a:ext>
                <a:ext uri="{FF2B5EF4-FFF2-40B4-BE49-F238E27FC236}">
                  <a16:creationId xmlns:a16="http://schemas.microsoft.com/office/drawing/2014/main" id="{00000000-0008-0000-0600-00002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313</xdr:row>
          <xdr:rowOff>66675</xdr:rowOff>
        </xdr:from>
        <xdr:to>
          <xdr:col>39</xdr:col>
          <xdr:colOff>257175</xdr:colOff>
          <xdr:row>320</xdr:row>
          <xdr:rowOff>47625</xdr:rowOff>
        </xdr:to>
        <xdr:sp macro="" textlink="">
          <xdr:nvSpPr>
            <xdr:cNvPr id="7208" name="Button 40" hidden="1">
              <a:extLst>
                <a:ext uri="{63B3BB69-23CF-44E3-9099-C40C66FF867C}">
                  <a14:compatExt spid="_x0000_s7208"/>
                </a:ext>
                <a:ext uri="{FF2B5EF4-FFF2-40B4-BE49-F238E27FC236}">
                  <a16:creationId xmlns:a16="http://schemas.microsoft.com/office/drawing/2014/main" id="{00000000-0008-0000-0600-00002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90</xdr:row>
          <xdr:rowOff>66675</xdr:rowOff>
        </xdr:from>
        <xdr:to>
          <xdr:col>19</xdr:col>
          <xdr:colOff>266700</xdr:colOff>
          <xdr:row>96</xdr:row>
          <xdr:rowOff>104775</xdr:rowOff>
        </xdr:to>
        <xdr:sp macro="" textlink="">
          <xdr:nvSpPr>
            <xdr:cNvPr id="7209" name="Button 41" hidden="1">
              <a:extLst>
                <a:ext uri="{63B3BB69-23CF-44E3-9099-C40C66FF867C}">
                  <a14:compatExt spid="_x0000_s7209"/>
                </a:ext>
                <a:ext uri="{FF2B5EF4-FFF2-40B4-BE49-F238E27FC236}">
                  <a16:creationId xmlns:a16="http://schemas.microsoft.com/office/drawing/2014/main" id="{00000000-0008-0000-0600-00002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134</xdr:row>
          <xdr:rowOff>66675</xdr:rowOff>
        </xdr:from>
        <xdr:to>
          <xdr:col>19</xdr:col>
          <xdr:colOff>266700</xdr:colOff>
          <xdr:row>141</xdr:row>
          <xdr:rowOff>47625</xdr:rowOff>
        </xdr:to>
        <xdr:sp macro="" textlink="">
          <xdr:nvSpPr>
            <xdr:cNvPr id="7210" name="Button 42" hidden="1">
              <a:extLst>
                <a:ext uri="{63B3BB69-23CF-44E3-9099-C40C66FF867C}">
                  <a14:compatExt spid="_x0000_s7210"/>
                </a:ext>
                <a:ext uri="{FF2B5EF4-FFF2-40B4-BE49-F238E27FC236}">
                  <a16:creationId xmlns:a16="http://schemas.microsoft.com/office/drawing/2014/main" id="{00000000-0008-0000-0600-00002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181</xdr:row>
          <xdr:rowOff>66675</xdr:rowOff>
        </xdr:from>
        <xdr:to>
          <xdr:col>19</xdr:col>
          <xdr:colOff>266700</xdr:colOff>
          <xdr:row>188</xdr:row>
          <xdr:rowOff>47625</xdr:rowOff>
        </xdr:to>
        <xdr:sp macro="" textlink="">
          <xdr:nvSpPr>
            <xdr:cNvPr id="7211" name="Button 43" hidden="1">
              <a:extLst>
                <a:ext uri="{63B3BB69-23CF-44E3-9099-C40C66FF867C}">
                  <a14:compatExt spid="_x0000_s7211"/>
                </a:ext>
                <a:ext uri="{FF2B5EF4-FFF2-40B4-BE49-F238E27FC236}">
                  <a16:creationId xmlns:a16="http://schemas.microsoft.com/office/drawing/2014/main" id="{00000000-0008-0000-0600-00002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228</xdr:row>
          <xdr:rowOff>66675</xdr:rowOff>
        </xdr:from>
        <xdr:to>
          <xdr:col>19</xdr:col>
          <xdr:colOff>266700</xdr:colOff>
          <xdr:row>235</xdr:row>
          <xdr:rowOff>47625</xdr:rowOff>
        </xdr:to>
        <xdr:sp macro="" textlink="">
          <xdr:nvSpPr>
            <xdr:cNvPr id="7212" name="Button 44" hidden="1">
              <a:extLst>
                <a:ext uri="{63B3BB69-23CF-44E3-9099-C40C66FF867C}">
                  <a14:compatExt spid="_x0000_s7212"/>
                </a:ext>
                <a:ext uri="{FF2B5EF4-FFF2-40B4-BE49-F238E27FC236}">
                  <a16:creationId xmlns:a16="http://schemas.microsoft.com/office/drawing/2014/main" id="{00000000-0008-0000-0600-00002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268</xdr:row>
          <xdr:rowOff>66675</xdr:rowOff>
        </xdr:from>
        <xdr:to>
          <xdr:col>19</xdr:col>
          <xdr:colOff>266700</xdr:colOff>
          <xdr:row>275</xdr:row>
          <xdr:rowOff>47625</xdr:rowOff>
        </xdr:to>
        <xdr:sp macro="" textlink="">
          <xdr:nvSpPr>
            <xdr:cNvPr id="7213" name="Button 45" hidden="1">
              <a:extLst>
                <a:ext uri="{63B3BB69-23CF-44E3-9099-C40C66FF867C}">
                  <a14:compatExt spid="_x0000_s7213"/>
                </a:ext>
                <a:ext uri="{FF2B5EF4-FFF2-40B4-BE49-F238E27FC236}">
                  <a16:creationId xmlns:a16="http://schemas.microsoft.com/office/drawing/2014/main" id="{00000000-0008-0000-0600-00002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312</xdr:row>
          <xdr:rowOff>66675</xdr:rowOff>
        </xdr:from>
        <xdr:to>
          <xdr:col>19</xdr:col>
          <xdr:colOff>266700</xdr:colOff>
          <xdr:row>319</xdr:row>
          <xdr:rowOff>47625</xdr:rowOff>
        </xdr:to>
        <xdr:sp macro="" textlink="">
          <xdr:nvSpPr>
            <xdr:cNvPr id="7214" name="Button 46" hidden="1">
              <a:extLst>
                <a:ext uri="{63B3BB69-23CF-44E3-9099-C40C66FF867C}">
                  <a14:compatExt spid="_x0000_s7214"/>
                </a:ext>
                <a:ext uri="{FF2B5EF4-FFF2-40B4-BE49-F238E27FC236}">
                  <a16:creationId xmlns:a16="http://schemas.microsoft.com/office/drawing/2014/main" id="{00000000-0008-0000-0600-00002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9</xdr:row>
          <xdr:rowOff>0</xdr:rowOff>
        </xdr:from>
        <xdr:to>
          <xdr:col>19</xdr:col>
          <xdr:colOff>228600</xdr:colOff>
          <xdr:row>14</xdr:row>
          <xdr:rowOff>123825</xdr:rowOff>
        </xdr:to>
        <xdr:sp macro="" textlink="">
          <xdr:nvSpPr>
            <xdr:cNvPr id="7220" name="Button 52" hidden="1">
              <a:extLst>
                <a:ext uri="{63B3BB69-23CF-44E3-9099-C40C66FF867C}">
                  <a14:compatExt spid="_x0000_s7220"/>
                </a:ext>
                <a:ext uri="{FF2B5EF4-FFF2-40B4-BE49-F238E27FC236}">
                  <a16:creationId xmlns:a16="http://schemas.microsoft.com/office/drawing/2014/main" id="{00000000-0008-0000-0600-00003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9</xdr:row>
          <xdr:rowOff>0</xdr:rowOff>
        </xdr:from>
        <xdr:to>
          <xdr:col>39</xdr:col>
          <xdr:colOff>228600</xdr:colOff>
          <xdr:row>14</xdr:row>
          <xdr:rowOff>123825</xdr:rowOff>
        </xdr:to>
        <xdr:sp macro="" textlink="">
          <xdr:nvSpPr>
            <xdr:cNvPr id="7221" name="Button 53" hidden="1">
              <a:extLst>
                <a:ext uri="{63B3BB69-23CF-44E3-9099-C40C66FF867C}">
                  <a14:compatExt spid="_x0000_s7221"/>
                </a:ext>
                <a:ext uri="{FF2B5EF4-FFF2-40B4-BE49-F238E27FC236}">
                  <a16:creationId xmlns:a16="http://schemas.microsoft.com/office/drawing/2014/main" id="{00000000-0008-0000-0600-00003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158</xdr:row>
          <xdr:rowOff>0</xdr:rowOff>
        </xdr:from>
        <xdr:to>
          <xdr:col>19</xdr:col>
          <xdr:colOff>228600</xdr:colOff>
          <xdr:row>163</xdr:row>
          <xdr:rowOff>123825</xdr:rowOff>
        </xdr:to>
        <xdr:sp macro="" textlink="">
          <xdr:nvSpPr>
            <xdr:cNvPr id="7222" name="Button 54" hidden="1">
              <a:extLst>
                <a:ext uri="{63B3BB69-23CF-44E3-9099-C40C66FF867C}">
                  <a14:compatExt spid="_x0000_s7222"/>
                </a:ext>
                <a:ext uri="{FF2B5EF4-FFF2-40B4-BE49-F238E27FC236}">
                  <a16:creationId xmlns:a16="http://schemas.microsoft.com/office/drawing/2014/main" id="{00000000-0008-0000-0600-00003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107</xdr:row>
          <xdr:rowOff>0</xdr:rowOff>
        </xdr:from>
        <xdr:to>
          <xdr:col>39</xdr:col>
          <xdr:colOff>228600</xdr:colOff>
          <xdr:row>112</xdr:row>
          <xdr:rowOff>123825</xdr:rowOff>
        </xdr:to>
        <xdr:sp macro="" textlink="">
          <xdr:nvSpPr>
            <xdr:cNvPr id="7223" name="Button 55" hidden="1">
              <a:extLst>
                <a:ext uri="{63B3BB69-23CF-44E3-9099-C40C66FF867C}">
                  <a14:compatExt spid="_x0000_s7223"/>
                </a:ext>
                <a:ext uri="{FF2B5EF4-FFF2-40B4-BE49-F238E27FC236}">
                  <a16:creationId xmlns:a16="http://schemas.microsoft.com/office/drawing/2014/main" id="{00000000-0008-0000-0600-00003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107</xdr:row>
          <xdr:rowOff>0</xdr:rowOff>
        </xdr:from>
        <xdr:to>
          <xdr:col>39</xdr:col>
          <xdr:colOff>228600</xdr:colOff>
          <xdr:row>112</xdr:row>
          <xdr:rowOff>123825</xdr:rowOff>
        </xdr:to>
        <xdr:sp macro="" textlink="">
          <xdr:nvSpPr>
            <xdr:cNvPr id="7225" name="Button 57" hidden="1">
              <a:extLst>
                <a:ext uri="{63B3BB69-23CF-44E3-9099-C40C66FF867C}">
                  <a14:compatExt spid="_x0000_s7225"/>
                </a:ext>
                <a:ext uri="{FF2B5EF4-FFF2-40B4-BE49-F238E27FC236}">
                  <a16:creationId xmlns:a16="http://schemas.microsoft.com/office/drawing/2014/main" id="{00000000-0008-0000-0600-00003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107</xdr:row>
          <xdr:rowOff>0</xdr:rowOff>
        </xdr:from>
        <xdr:to>
          <xdr:col>39</xdr:col>
          <xdr:colOff>228600</xdr:colOff>
          <xdr:row>112</xdr:row>
          <xdr:rowOff>123825</xdr:rowOff>
        </xdr:to>
        <xdr:sp macro="" textlink="">
          <xdr:nvSpPr>
            <xdr:cNvPr id="7229" name="Button 61" hidden="1">
              <a:extLst>
                <a:ext uri="{63B3BB69-23CF-44E3-9099-C40C66FF867C}">
                  <a14:compatExt spid="_x0000_s7229"/>
                </a:ext>
                <a:ext uri="{FF2B5EF4-FFF2-40B4-BE49-F238E27FC236}">
                  <a16:creationId xmlns:a16="http://schemas.microsoft.com/office/drawing/2014/main" id="{00000000-0008-0000-0600-00003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107</xdr:row>
          <xdr:rowOff>0</xdr:rowOff>
        </xdr:from>
        <xdr:to>
          <xdr:col>39</xdr:col>
          <xdr:colOff>228600</xdr:colOff>
          <xdr:row>112</xdr:row>
          <xdr:rowOff>123825</xdr:rowOff>
        </xdr:to>
        <xdr:sp macro="" textlink="">
          <xdr:nvSpPr>
            <xdr:cNvPr id="7230" name="Button 62" hidden="1">
              <a:extLst>
                <a:ext uri="{63B3BB69-23CF-44E3-9099-C40C66FF867C}">
                  <a14:compatExt spid="_x0000_s7230"/>
                </a:ext>
                <a:ext uri="{FF2B5EF4-FFF2-40B4-BE49-F238E27FC236}">
                  <a16:creationId xmlns:a16="http://schemas.microsoft.com/office/drawing/2014/main" id="{00000000-0008-0000-0600-00003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107</xdr:row>
          <xdr:rowOff>0</xdr:rowOff>
        </xdr:from>
        <xdr:to>
          <xdr:col>39</xdr:col>
          <xdr:colOff>228600</xdr:colOff>
          <xdr:row>112</xdr:row>
          <xdr:rowOff>123825</xdr:rowOff>
        </xdr:to>
        <xdr:sp macro="" textlink="">
          <xdr:nvSpPr>
            <xdr:cNvPr id="7231" name="Button 63" hidden="1">
              <a:extLst>
                <a:ext uri="{63B3BB69-23CF-44E3-9099-C40C66FF867C}">
                  <a14:compatExt spid="_x0000_s7231"/>
                </a:ext>
                <a:ext uri="{FF2B5EF4-FFF2-40B4-BE49-F238E27FC236}">
                  <a16:creationId xmlns:a16="http://schemas.microsoft.com/office/drawing/2014/main" id="{00000000-0008-0000-0600-00003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8</xdr:col>
      <xdr:colOff>219075</xdr:colOff>
      <xdr:row>27</xdr:row>
      <xdr:rowOff>9525</xdr:rowOff>
    </xdr:to>
    <xdr:graphicFrame macro="">
      <xdr:nvGraphicFramePr>
        <xdr:cNvPr id="30933" name="Chart PMPM C">
          <a:extLst>
            <a:ext uri="{FF2B5EF4-FFF2-40B4-BE49-F238E27FC236}">
              <a16:creationId xmlns:a16="http://schemas.microsoft.com/office/drawing/2014/main" id="{00000000-0008-0000-0700-0000D5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27</xdr:row>
      <xdr:rowOff>104775</xdr:rowOff>
    </xdr:from>
    <xdr:to>
      <xdr:col>8</xdr:col>
      <xdr:colOff>219075</xdr:colOff>
      <xdr:row>53</xdr:row>
      <xdr:rowOff>0</xdr:rowOff>
    </xdr:to>
    <xdr:graphicFrame macro="">
      <xdr:nvGraphicFramePr>
        <xdr:cNvPr id="30934" name="Chart PMPMIBNR C">
          <a:extLst>
            <a:ext uri="{FF2B5EF4-FFF2-40B4-BE49-F238E27FC236}">
              <a16:creationId xmlns:a16="http://schemas.microsoft.com/office/drawing/2014/main" id="{00000000-0008-0000-0700-0000D6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27</xdr:row>
      <xdr:rowOff>104775</xdr:rowOff>
    </xdr:from>
    <xdr:to>
      <xdr:col>16</xdr:col>
      <xdr:colOff>487680</xdr:colOff>
      <xdr:row>48</xdr:row>
      <xdr:rowOff>83820</xdr:rowOff>
    </xdr:to>
    <xdr:graphicFrame macro="">
      <xdr:nvGraphicFramePr>
        <xdr:cNvPr id="30935" name="Chart 4">
          <a:extLst>
            <a:ext uri="{FF2B5EF4-FFF2-40B4-BE49-F238E27FC236}">
              <a16:creationId xmlns:a16="http://schemas.microsoft.com/office/drawing/2014/main" id="{00000000-0008-0000-0700-0000D7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57</xdr:row>
      <xdr:rowOff>0</xdr:rowOff>
    </xdr:from>
    <xdr:to>
      <xdr:col>8</xdr:col>
      <xdr:colOff>219075</xdr:colOff>
      <xdr:row>82</xdr:row>
      <xdr:rowOff>38100</xdr:rowOff>
    </xdr:to>
    <xdr:graphicFrame macro="">
      <xdr:nvGraphicFramePr>
        <xdr:cNvPr id="30936" name="Chart CF-Col">
          <a:extLst>
            <a:ext uri="{FF2B5EF4-FFF2-40B4-BE49-F238E27FC236}">
              <a16:creationId xmlns:a16="http://schemas.microsoft.com/office/drawing/2014/main" id="{00000000-0008-0000-0700-0000D8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295275</xdr:colOff>
      <xdr:row>57</xdr:row>
      <xdr:rowOff>0</xdr:rowOff>
    </xdr:from>
    <xdr:to>
      <xdr:col>16</xdr:col>
      <xdr:colOff>514350</xdr:colOff>
      <xdr:row>82</xdr:row>
      <xdr:rowOff>28575</xdr:rowOff>
    </xdr:to>
    <xdr:graphicFrame macro="">
      <xdr:nvGraphicFramePr>
        <xdr:cNvPr id="30937" name="Chart 6">
          <a:extLst>
            <a:ext uri="{FF2B5EF4-FFF2-40B4-BE49-F238E27FC236}">
              <a16:creationId xmlns:a16="http://schemas.microsoft.com/office/drawing/2014/main" id="{00000000-0008-0000-0700-0000D9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376570</xdr:colOff>
      <xdr:row>110</xdr:row>
      <xdr:rowOff>112750</xdr:rowOff>
    </xdr:from>
    <xdr:to>
      <xdr:col>27</xdr:col>
      <xdr:colOff>64016</xdr:colOff>
      <xdr:row>137</xdr:row>
      <xdr:rowOff>9747</xdr:rowOff>
    </xdr:to>
    <xdr:graphicFrame macro="">
      <xdr:nvGraphicFramePr>
        <xdr:cNvPr id="30938" name="Chart 7">
          <a:extLst>
            <a:ext uri="{FF2B5EF4-FFF2-40B4-BE49-F238E27FC236}">
              <a16:creationId xmlns:a16="http://schemas.microsoft.com/office/drawing/2014/main" id="{00000000-0008-0000-0700-0000DA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285750</xdr:colOff>
      <xdr:row>82</xdr:row>
      <xdr:rowOff>123825</xdr:rowOff>
    </xdr:from>
    <xdr:to>
      <xdr:col>16</xdr:col>
      <xdr:colOff>514350</xdr:colOff>
      <xdr:row>103</xdr:row>
      <xdr:rowOff>38100</xdr:rowOff>
    </xdr:to>
    <xdr:graphicFrame macro="">
      <xdr:nvGraphicFramePr>
        <xdr:cNvPr id="30939" name="Chart 8">
          <a:extLst>
            <a:ext uri="{FF2B5EF4-FFF2-40B4-BE49-F238E27FC236}">
              <a16:creationId xmlns:a16="http://schemas.microsoft.com/office/drawing/2014/main" id="{00000000-0008-0000-0700-0000DB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112</xdr:row>
      <xdr:rowOff>0</xdr:rowOff>
    </xdr:from>
    <xdr:to>
      <xdr:col>8</xdr:col>
      <xdr:colOff>247650</xdr:colOff>
      <xdr:row>137</xdr:row>
      <xdr:rowOff>9525</xdr:rowOff>
    </xdr:to>
    <xdr:graphicFrame macro="">
      <xdr:nvGraphicFramePr>
        <xdr:cNvPr id="30940" name="Chart PMPM BW">
          <a:extLst>
            <a:ext uri="{FF2B5EF4-FFF2-40B4-BE49-F238E27FC236}">
              <a16:creationId xmlns:a16="http://schemas.microsoft.com/office/drawing/2014/main" id="{00000000-0008-0000-0700-0000DC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137</xdr:row>
      <xdr:rowOff>85724</xdr:rowOff>
    </xdr:from>
    <xdr:to>
      <xdr:col>8</xdr:col>
      <xdr:colOff>238125</xdr:colOff>
      <xdr:row>163</xdr:row>
      <xdr:rowOff>129539</xdr:rowOff>
    </xdr:to>
    <xdr:graphicFrame macro="">
      <xdr:nvGraphicFramePr>
        <xdr:cNvPr id="30941" name="Chart PMPMIBNR BW">
          <a:extLst>
            <a:ext uri="{FF2B5EF4-FFF2-40B4-BE49-F238E27FC236}">
              <a16:creationId xmlns:a16="http://schemas.microsoft.com/office/drawing/2014/main" id="{00000000-0008-0000-0700-0000DD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314325</xdr:colOff>
      <xdr:row>137</xdr:row>
      <xdr:rowOff>85725</xdr:rowOff>
    </xdr:from>
    <xdr:to>
      <xdr:col>17</xdr:col>
      <xdr:colOff>0</xdr:colOff>
      <xdr:row>157</xdr:row>
      <xdr:rowOff>60960</xdr:rowOff>
    </xdr:to>
    <xdr:graphicFrame macro="">
      <xdr:nvGraphicFramePr>
        <xdr:cNvPr id="30942" name="Chart 12">
          <a:extLst>
            <a:ext uri="{FF2B5EF4-FFF2-40B4-BE49-F238E27FC236}">
              <a16:creationId xmlns:a16="http://schemas.microsoft.com/office/drawing/2014/main" id="{00000000-0008-0000-0700-0000DE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167</xdr:row>
      <xdr:rowOff>0</xdr:rowOff>
    </xdr:from>
    <xdr:to>
      <xdr:col>8</xdr:col>
      <xdr:colOff>219075</xdr:colOff>
      <xdr:row>192</xdr:row>
      <xdr:rowOff>47625</xdr:rowOff>
    </xdr:to>
    <xdr:graphicFrame macro="">
      <xdr:nvGraphicFramePr>
        <xdr:cNvPr id="30943" name="Chart CF-BW">
          <a:extLst>
            <a:ext uri="{FF2B5EF4-FFF2-40B4-BE49-F238E27FC236}">
              <a16:creationId xmlns:a16="http://schemas.microsoft.com/office/drawing/2014/main" id="{00000000-0008-0000-0700-0000DF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314325</xdr:colOff>
      <xdr:row>167</xdr:row>
      <xdr:rowOff>0</xdr:rowOff>
    </xdr:from>
    <xdr:to>
      <xdr:col>16</xdr:col>
      <xdr:colOff>514350</xdr:colOff>
      <xdr:row>192</xdr:row>
      <xdr:rowOff>38100</xdr:rowOff>
    </xdr:to>
    <xdr:graphicFrame macro="">
      <xdr:nvGraphicFramePr>
        <xdr:cNvPr id="30944" name="Chart 14">
          <a:extLst>
            <a:ext uri="{FF2B5EF4-FFF2-40B4-BE49-F238E27FC236}">
              <a16:creationId xmlns:a16="http://schemas.microsoft.com/office/drawing/2014/main" id="{00000000-0008-0000-0700-0000E0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342900</xdr:colOff>
      <xdr:row>193</xdr:row>
      <xdr:rowOff>47625</xdr:rowOff>
    </xdr:from>
    <xdr:to>
      <xdr:col>27</xdr:col>
      <xdr:colOff>28575</xdr:colOff>
      <xdr:row>219</xdr:row>
      <xdr:rowOff>133350</xdr:rowOff>
    </xdr:to>
    <xdr:graphicFrame macro="">
      <xdr:nvGraphicFramePr>
        <xdr:cNvPr id="30945" name="Chart 15">
          <a:extLst>
            <a:ext uri="{FF2B5EF4-FFF2-40B4-BE49-F238E27FC236}">
              <a16:creationId xmlns:a16="http://schemas.microsoft.com/office/drawing/2014/main" id="{00000000-0008-0000-0700-0000E1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304800</xdr:colOff>
      <xdr:row>192</xdr:row>
      <xdr:rowOff>125730</xdr:rowOff>
    </xdr:from>
    <xdr:to>
      <xdr:col>16</xdr:col>
      <xdr:colOff>514350</xdr:colOff>
      <xdr:row>213</xdr:row>
      <xdr:rowOff>45720</xdr:rowOff>
    </xdr:to>
    <xdr:graphicFrame macro="">
      <xdr:nvGraphicFramePr>
        <xdr:cNvPr id="30946" name="Chart 16">
          <a:extLst>
            <a:ext uri="{FF2B5EF4-FFF2-40B4-BE49-F238E27FC236}">
              <a16:creationId xmlns:a16="http://schemas.microsoft.com/office/drawing/2014/main" id="{00000000-0008-0000-0700-0000E2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8</xdr:col>
      <xdr:colOff>295275</xdr:colOff>
      <xdr:row>2</xdr:row>
      <xdr:rowOff>9525</xdr:rowOff>
    </xdr:from>
    <xdr:to>
      <xdr:col>16</xdr:col>
      <xdr:colOff>542925</xdr:colOff>
      <xdr:row>27</xdr:row>
      <xdr:rowOff>19050</xdr:rowOff>
    </xdr:to>
    <xdr:graphicFrame macro="">
      <xdr:nvGraphicFramePr>
        <xdr:cNvPr id="30947" name="Chart 17">
          <a:extLst>
            <a:ext uri="{FF2B5EF4-FFF2-40B4-BE49-F238E27FC236}">
              <a16:creationId xmlns:a16="http://schemas.microsoft.com/office/drawing/2014/main" id="{00000000-0008-0000-0700-0000E3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8</xdr:col>
      <xdr:colOff>323850</xdr:colOff>
      <xdr:row>112</xdr:row>
      <xdr:rowOff>0</xdr:rowOff>
    </xdr:from>
    <xdr:to>
      <xdr:col>17</xdr:col>
      <xdr:colOff>0</xdr:colOff>
      <xdr:row>137</xdr:row>
      <xdr:rowOff>9525</xdr:rowOff>
    </xdr:to>
    <xdr:graphicFrame macro="">
      <xdr:nvGraphicFramePr>
        <xdr:cNvPr id="30948" name="Chart 18">
          <a:extLst>
            <a:ext uri="{FF2B5EF4-FFF2-40B4-BE49-F238E27FC236}">
              <a16:creationId xmlns:a16="http://schemas.microsoft.com/office/drawing/2014/main" id="{00000000-0008-0000-0700-0000E4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82</xdr:row>
      <xdr:rowOff>125820</xdr:rowOff>
    </xdr:from>
    <xdr:to>
      <xdr:col>8</xdr:col>
      <xdr:colOff>232587</xdr:colOff>
      <xdr:row>109</xdr:row>
      <xdr:rowOff>71106</xdr:rowOff>
    </xdr:to>
    <xdr:graphicFrame macro="">
      <xdr:nvGraphicFramePr>
        <xdr:cNvPr id="21" name="Chart CF-Col-Q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0</xdr:colOff>
      <xdr:row>193</xdr:row>
      <xdr:rowOff>9525</xdr:rowOff>
    </xdr:from>
    <xdr:to>
      <xdr:col>8</xdr:col>
      <xdr:colOff>232587</xdr:colOff>
      <xdr:row>219</xdr:row>
      <xdr:rowOff>97686</xdr:rowOff>
    </xdr:to>
    <xdr:graphicFrame macro="">
      <xdr:nvGraphicFramePr>
        <xdr:cNvPr id="23" name="Chart CF-BW-Q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523875</xdr:colOff>
          <xdr:row>6</xdr:row>
          <xdr:rowOff>57150</xdr:rowOff>
        </xdr:from>
        <xdr:to>
          <xdr:col>19</xdr:col>
          <xdr:colOff>209550</xdr:colOff>
          <xdr:row>12</xdr:row>
          <xdr:rowOff>38100</xdr:rowOff>
        </xdr:to>
        <xdr:sp macro="" textlink="">
          <xdr:nvSpPr>
            <xdr:cNvPr id="30739" name="Button 19" hidden="1">
              <a:extLst>
                <a:ext uri="{63B3BB69-23CF-44E3-9099-C40C66FF867C}">
                  <a14:compatExt spid="_x0000_s30739"/>
                </a:ext>
                <a:ext uri="{FF2B5EF4-FFF2-40B4-BE49-F238E27FC236}">
                  <a16:creationId xmlns:a16="http://schemas.microsoft.com/office/drawing/2014/main" id="{00000000-0008-0000-0700-00001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514350</xdr:colOff>
          <xdr:row>13</xdr:row>
          <xdr:rowOff>28575</xdr:rowOff>
        </xdr:from>
        <xdr:to>
          <xdr:col>19</xdr:col>
          <xdr:colOff>238125</xdr:colOff>
          <xdr:row>20</xdr:row>
          <xdr:rowOff>9525</xdr:rowOff>
        </xdr:to>
        <xdr:sp macro="" textlink="">
          <xdr:nvSpPr>
            <xdr:cNvPr id="30740" name="Button 20" hidden="1">
              <a:extLst>
                <a:ext uri="{63B3BB69-23CF-44E3-9099-C40C66FF867C}">
                  <a14:compatExt spid="_x0000_s30740"/>
                </a:ext>
                <a:ext uri="{FF2B5EF4-FFF2-40B4-BE49-F238E27FC236}">
                  <a16:creationId xmlns:a16="http://schemas.microsoft.com/office/drawing/2014/main" id="{00000000-0008-0000-0700-00001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0.76795</cdr:x>
      <cdr:y>0.0578</cdr:y>
    </cdr:from>
    <cdr:to>
      <cdr:x>0.93777</cdr:x>
      <cdr:y>0.17486</cdr:y>
    </cdr:to>
    <cdr:sp macro="" textlink="">
      <cdr:nvSpPr>
        <cdr:cNvPr id="31745" name="Text Box 1">
          <a:extLst xmlns:a="http://schemas.openxmlformats.org/drawingml/2006/main">
            <a:ext uri="{FF2B5EF4-FFF2-40B4-BE49-F238E27FC236}">
              <a16:creationId xmlns:a16="http://schemas.microsoft.com/office/drawing/2014/main" id="{0F87758B-A5E5-4D05-83C6-5CCEE90A3975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455726" y="210727"/>
          <a:ext cx="763495" cy="42035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0.79124</cdr:x>
      <cdr:y>0.0578</cdr:y>
    </cdr:from>
    <cdr:to>
      <cdr:x>0.94004</cdr:x>
      <cdr:y>0.17413</cdr:y>
    </cdr:to>
    <cdr:sp macro="" textlink="">
      <cdr:nvSpPr>
        <cdr:cNvPr id="32769" name="Text Box 1">
          <a:extLst xmlns:a="http://schemas.openxmlformats.org/drawingml/2006/main">
            <a:ext uri="{FF2B5EF4-FFF2-40B4-BE49-F238E27FC236}">
              <a16:creationId xmlns:a16="http://schemas.microsoft.com/office/drawing/2014/main" id="{61AEABDE-CC8A-4A0D-9249-E0E2A15A949F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583027" y="210727"/>
          <a:ext cx="673227" cy="41773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57</xdr:row>
      <xdr:rowOff>28575</xdr:rowOff>
    </xdr:from>
    <xdr:to>
      <xdr:col>8</xdr:col>
      <xdr:colOff>476250</xdr:colOff>
      <xdr:row>82</xdr:row>
      <xdr:rowOff>76200</xdr:rowOff>
    </xdr:to>
    <xdr:graphicFrame macro="">
      <xdr:nvGraphicFramePr>
        <xdr:cNvPr id="2" name="Chart PMPM C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83</xdr:row>
      <xdr:rowOff>28574</xdr:rowOff>
    </xdr:from>
    <xdr:to>
      <xdr:col>8</xdr:col>
      <xdr:colOff>476250</xdr:colOff>
      <xdr:row>109</xdr:row>
      <xdr:rowOff>95249</xdr:rowOff>
    </xdr:to>
    <xdr:graphicFrame macro="">
      <xdr:nvGraphicFramePr>
        <xdr:cNvPr id="3" name="Chart PMPMIBNR C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295275</xdr:colOff>
      <xdr:row>26</xdr:row>
      <xdr:rowOff>0</xdr:rowOff>
    </xdr:from>
    <xdr:to>
      <xdr:col>17</xdr:col>
      <xdr:colOff>1</xdr:colOff>
      <xdr:row>52</xdr:row>
      <xdr:rowOff>104775</xdr:rowOff>
    </xdr:to>
    <xdr:graphicFrame macro="">
      <xdr:nvGraphicFramePr>
        <xdr:cNvPr id="4" name="Chart 4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47624</xdr:colOff>
      <xdr:row>83</xdr:row>
      <xdr:rowOff>23446</xdr:rowOff>
    </xdr:from>
    <xdr:to>
      <xdr:col>17</xdr:col>
      <xdr:colOff>3809</xdr:colOff>
      <xdr:row>103</xdr:row>
      <xdr:rowOff>87923</xdr:rowOff>
    </xdr:to>
    <xdr:graphicFrame macro="">
      <xdr:nvGraphicFramePr>
        <xdr:cNvPr id="5" name="Chart CF-Col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47625</xdr:colOff>
      <xdr:row>57</xdr:row>
      <xdr:rowOff>9523</xdr:rowOff>
    </xdr:from>
    <xdr:to>
      <xdr:col>16</xdr:col>
      <xdr:colOff>483870</xdr:colOff>
      <xdr:row>82</xdr:row>
      <xdr:rowOff>64476</xdr:rowOff>
    </xdr:to>
    <xdr:graphicFrame macro="">
      <xdr:nvGraphicFramePr>
        <xdr:cNvPr id="6" name="Chart 6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376570</xdr:colOff>
      <xdr:row>110</xdr:row>
      <xdr:rowOff>112750</xdr:rowOff>
    </xdr:from>
    <xdr:to>
      <xdr:col>27</xdr:col>
      <xdr:colOff>64016</xdr:colOff>
      <xdr:row>137</xdr:row>
      <xdr:rowOff>9747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476250</xdr:colOff>
      <xdr:row>82</xdr:row>
      <xdr:rowOff>123825</xdr:rowOff>
    </xdr:from>
    <xdr:to>
      <xdr:col>28</xdr:col>
      <xdr:colOff>381000</xdr:colOff>
      <xdr:row>105</xdr:row>
      <xdr:rowOff>38100</xdr:rowOff>
    </xdr:to>
    <xdr:graphicFrame macro="">
      <xdr:nvGraphicFramePr>
        <xdr:cNvPr id="8" name="Chart 8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8</xdr:col>
      <xdr:colOff>466724</xdr:colOff>
      <xdr:row>192</xdr:row>
      <xdr:rowOff>38100</xdr:rowOff>
    </xdr:to>
    <xdr:graphicFrame macro="">
      <xdr:nvGraphicFramePr>
        <xdr:cNvPr id="9" name="Chart PMPM BW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193</xdr:row>
      <xdr:rowOff>19049</xdr:rowOff>
    </xdr:from>
    <xdr:to>
      <xdr:col>8</xdr:col>
      <xdr:colOff>485774</xdr:colOff>
      <xdr:row>219</xdr:row>
      <xdr:rowOff>76200</xdr:rowOff>
    </xdr:to>
    <xdr:graphicFrame macro="">
      <xdr:nvGraphicFramePr>
        <xdr:cNvPr id="10" name="Chart PMPMIBNR BW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285751</xdr:colOff>
      <xdr:row>136</xdr:row>
      <xdr:rowOff>1</xdr:rowOff>
    </xdr:from>
    <xdr:to>
      <xdr:col>17</xdr:col>
      <xdr:colOff>1</xdr:colOff>
      <xdr:row>162</xdr:row>
      <xdr:rowOff>104775</xdr:rowOff>
    </xdr:to>
    <xdr:graphicFrame macro="">
      <xdr:nvGraphicFramePr>
        <xdr:cNvPr id="11" name="Chart 12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47625</xdr:colOff>
      <xdr:row>193</xdr:row>
      <xdr:rowOff>30480</xdr:rowOff>
    </xdr:from>
    <xdr:to>
      <xdr:col>17</xdr:col>
      <xdr:colOff>3077</xdr:colOff>
      <xdr:row>213</xdr:row>
      <xdr:rowOff>87923</xdr:rowOff>
    </xdr:to>
    <xdr:graphicFrame macro="">
      <xdr:nvGraphicFramePr>
        <xdr:cNvPr id="12" name="Chart CF-BW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</xdr:col>
      <xdr:colOff>38100</xdr:colOff>
      <xdr:row>167</xdr:row>
      <xdr:rowOff>0</xdr:rowOff>
    </xdr:from>
    <xdr:to>
      <xdr:col>16</xdr:col>
      <xdr:colOff>514350</xdr:colOff>
      <xdr:row>192</xdr:row>
      <xdr:rowOff>47625</xdr:rowOff>
    </xdr:to>
    <xdr:graphicFrame macro="">
      <xdr:nvGraphicFramePr>
        <xdr:cNvPr id="13" name="Chart 14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342900</xdr:colOff>
      <xdr:row>193</xdr:row>
      <xdr:rowOff>47625</xdr:rowOff>
    </xdr:from>
    <xdr:to>
      <xdr:col>27</xdr:col>
      <xdr:colOff>28575</xdr:colOff>
      <xdr:row>219</xdr:row>
      <xdr:rowOff>133350</xdr:rowOff>
    </xdr:to>
    <xdr:graphicFrame macro="">
      <xdr:nvGraphicFramePr>
        <xdr:cNvPr id="14" name="Chart 15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28</xdr:col>
      <xdr:colOff>114300</xdr:colOff>
      <xdr:row>195</xdr:row>
      <xdr:rowOff>85725</xdr:rowOff>
    </xdr:from>
    <xdr:to>
      <xdr:col>36</xdr:col>
      <xdr:colOff>457200</xdr:colOff>
      <xdr:row>217</xdr:row>
      <xdr:rowOff>133350</xdr:rowOff>
    </xdr:to>
    <xdr:graphicFrame macro="">
      <xdr:nvGraphicFramePr>
        <xdr:cNvPr id="15" name="Chart 16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300402</xdr:colOff>
      <xdr:row>2</xdr:row>
      <xdr:rowOff>19050</xdr:rowOff>
    </xdr:from>
    <xdr:to>
      <xdr:col>17</xdr:col>
      <xdr:colOff>0</xdr:colOff>
      <xdr:row>25</xdr:row>
      <xdr:rowOff>43961</xdr:rowOff>
    </xdr:to>
    <xdr:graphicFrame macro="">
      <xdr:nvGraphicFramePr>
        <xdr:cNvPr id="16" name="Chart 17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</xdr:col>
      <xdr:colOff>304800</xdr:colOff>
      <xdr:row>112</xdr:row>
      <xdr:rowOff>0</xdr:rowOff>
    </xdr:from>
    <xdr:to>
      <xdr:col>17</xdr:col>
      <xdr:colOff>0</xdr:colOff>
      <xdr:row>134</xdr:row>
      <xdr:rowOff>104775</xdr:rowOff>
    </xdr:to>
    <xdr:graphicFrame macro="">
      <xdr:nvGraphicFramePr>
        <xdr:cNvPr id="17" name="Chart 18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26</xdr:row>
      <xdr:rowOff>7327</xdr:rowOff>
    </xdr:from>
    <xdr:to>
      <xdr:col>7</xdr:col>
      <xdr:colOff>197827</xdr:colOff>
      <xdr:row>52</xdr:row>
      <xdr:rowOff>95250</xdr:rowOff>
    </xdr:to>
    <xdr:graphicFrame macro="">
      <xdr:nvGraphicFramePr>
        <xdr:cNvPr id="20" name="Chart CF-Col-Q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1</xdr:colOff>
      <xdr:row>135</xdr:row>
      <xdr:rowOff>133350</xdr:rowOff>
    </xdr:from>
    <xdr:to>
      <xdr:col>7</xdr:col>
      <xdr:colOff>190500</xdr:colOff>
      <xdr:row>162</xdr:row>
      <xdr:rowOff>95250</xdr:rowOff>
    </xdr:to>
    <xdr:graphicFrame macro="">
      <xdr:nvGraphicFramePr>
        <xdr:cNvPr id="21" name="Chart CF-BW-Q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</xdr:row>
          <xdr:rowOff>57150</xdr:rowOff>
        </xdr:from>
        <xdr:to>
          <xdr:col>19</xdr:col>
          <xdr:colOff>209550</xdr:colOff>
          <xdr:row>12</xdr:row>
          <xdr:rowOff>38100</xdr:rowOff>
        </xdr:to>
        <xdr:sp macro="" textlink="">
          <xdr:nvSpPr>
            <xdr:cNvPr id="474113" name="Button 1" hidden="1">
              <a:extLst>
                <a:ext uri="{63B3BB69-23CF-44E3-9099-C40C66FF867C}">
                  <a14:compatExt spid="_x0000_s474113"/>
                </a:ext>
                <a:ext uri="{FF2B5EF4-FFF2-40B4-BE49-F238E27FC236}">
                  <a16:creationId xmlns:a16="http://schemas.microsoft.com/office/drawing/2014/main" id="{00000000-0008-0000-0800-0000013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</xdr:row>
          <xdr:rowOff>28575</xdr:rowOff>
        </xdr:from>
        <xdr:to>
          <xdr:col>19</xdr:col>
          <xdr:colOff>238125</xdr:colOff>
          <xdr:row>20</xdr:row>
          <xdr:rowOff>9525</xdr:rowOff>
        </xdr:to>
        <xdr:sp macro="" textlink="">
          <xdr:nvSpPr>
            <xdr:cNvPr id="474114" name="Button 2" hidden="1">
              <a:extLst>
                <a:ext uri="{63B3BB69-23CF-44E3-9099-C40C66FF867C}">
                  <a14:compatExt spid="_x0000_s474114"/>
                </a:ext>
                <a:ext uri="{FF2B5EF4-FFF2-40B4-BE49-F238E27FC236}">
                  <a16:creationId xmlns:a16="http://schemas.microsoft.com/office/drawing/2014/main" id="{00000000-0008-0000-0800-0000023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0.76795</cdr:x>
      <cdr:y>0.0578</cdr:y>
    </cdr:from>
    <cdr:to>
      <cdr:x>0.93777</cdr:x>
      <cdr:y>0.17486</cdr:y>
    </cdr:to>
    <cdr:sp macro="" textlink="">
      <cdr:nvSpPr>
        <cdr:cNvPr id="31745" name="Text Box 1">
          <a:extLst xmlns:a="http://schemas.openxmlformats.org/drawingml/2006/main">
            <a:ext uri="{FF2B5EF4-FFF2-40B4-BE49-F238E27FC236}">
              <a16:creationId xmlns:a16="http://schemas.microsoft.com/office/drawing/2014/main" id="{283262F8-A028-4AA0-A36B-411A9335F293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455726" y="210727"/>
          <a:ext cx="763495" cy="42035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0.79124</cdr:x>
      <cdr:y>0.0578</cdr:y>
    </cdr:from>
    <cdr:to>
      <cdr:x>0.94004</cdr:x>
      <cdr:y>0.17413</cdr:y>
    </cdr:to>
    <cdr:sp macro="" textlink="">
      <cdr:nvSpPr>
        <cdr:cNvPr id="32769" name="Text Box 1">
          <a:extLst xmlns:a="http://schemas.openxmlformats.org/drawingml/2006/main">
            <a:ext uri="{FF2B5EF4-FFF2-40B4-BE49-F238E27FC236}">
              <a16:creationId xmlns:a16="http://schemas.microsoft.com/office/drawing/2014/main" id="{B409F14A-5C8B-40C2-B325-9F084111D5A9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583027" y="210727"/>
          <a:ext cx="673227" cy="41773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53</xdr:row>
      <xdr:rowOff>0</xdr:rowOff>
    </xdr:from>
    <xdr:to>
      <xdr:col>10</xdr:col>
      <xdr:colOff>523875</xdr:colOff>
      <xdr:row>53</xdr:row>
      <xdr:rowOff>0</xdr:rowOff>
    </xdr:to>
    <xdr:graphicFrame macro="">
      <xdr:nvGraphicFramePr>
        <xdr:cNvPr id="22561" name="Chart 1">
          <a:extLst>
            <a:ext uri="{FF2B5EF4-FFF2-40B4-BE49-F238E27FC236}">
              <a16:creationId xmlns:a16="http://schemas.microsoft.com/office/drawing/2014/main" id="{00000000-0008-0000-0900-0000215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85725</xdr:colOff>
      <xdr:row>22</xdr:row>
      <xdr:rowOff>95250</xdr:rowOff>
    </xdr:from>
    <xdr:to>
      <xdr:col>16</xdr:col>
      <xdr:colOff>485775</xdr:colOff>
      <xdr:row>47</xdr:row>
      <xdr:rowOff>114300</xdr:rowOff>
    </xdr:to>
    <xdr:graphicFrame macro="">
      <xdr:nvGraphicFramePr>
        <xdr:cNvPr id="22562" name="Chart 2">
          <a:extLst>
            <a:ext uri="{FF2B5EF4-FFF2-40B4-BE49-F238E27FC236}">
              <a16:creationId xmlns:a16="http://schemas.microsoft.com/office/drawing/2014/main" id="{00000000-0008-0000-0900-0000225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0</xdr:row>
          <xdr:rowOff>57150</xdr:rowOff>
        </xdr:from>
        <xdr:to>
          <xdr:col>12</xdr:col>
          <xdr:colOff>247650</xdr:colOff>
          <xdr:row>2</xdr:row>
          <xdr:rowOff>76200</xdr:rowOff>
        </xdr:to>
        <xdr:sp macro="" textlink="">
          <xdr:nvSpPr>
            <xdr:cNvPr id="22533" name="Button 5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9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Assign New Seasonality Factors to IBNR Mode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276225</xdr:colOff>
          <xdr:row>0</xdr:row>
          <xdr:rowOff>76200</xdr:rowOff>
        </xdr:from>
        <xdr:to>
          <xdr:col>9</xdr:col>
          <xdr:colOff>704850</xdr:colOff>
          <xdr:row>2</xdr:row>
          <xdr:rowOff>95250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9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Seasonality Chart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66675</xdr:rowOff>
        </xdr:from>
        <xdr:to>
          <xdr:col>15</xdr:col>
          <xdr:colOff>104775</xdr:colOff>
          <xdr:row>2</xdr:row>
          <xdr:rowOff>85725</xdr:rowOff>
        </xdr:to>
        <xdr:sp macro="" textlink="">
          <xdr:nvSpPr>
            <xdr:cNvPr id="22534" name="Button 6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9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Seasonality Section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 PMPM Projections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523875</xdr:colOff>
          <xdr:row>0</xdr:row>
          <xdr:rowOff>76200</xdr:rowOff>
        </xdr:from>
        <xdr:to>
          <xdr:col>7</xdr:col>
          <xdr:colOff>209550</xdr:colOff>
          <xdr:row>2</xdr:row>
          <xdr:rowOff>95250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9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57150</xdr:colOff>
          <xdr:row>37</xdr:row>
          <xdr:rowOff>57150</xdr:rowOff>
        </xdr:from>
        <xdr:to>
          <xdr:col>20</xdr:col>
          <xdr:colOff>314325</xdr:colOff>
          <xdr:row>39</xdr:row>
          <xdr:rowOff>95250</xdr:rowOff>
        </xdr:to>
        <xdr:sp macro="" textlink="">
          <xdr:nvSpPr>
            <xdr:cNvPr id="22538" name="Button 10" hidden="1">
              <a:extLst>
                <a:ext uri="{63B3BB69-23CF-44E3-9099-C40C66FF867C}">
                  <a14:compatExt spid="_x0000_s22538"/>
                </a:ext>
                <a:ext uri="{FF2B5EF4-FFF2-40B4-BE49-F238E27FC236}">
                  <a16:creationId xmlns:a16="http://schemas.microsoft.com/office/drawing/2014/main" id="{00000000-0008-0000-0900-00000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40</xdr:row>
          <xdr:rowOff>95250</xdr:rowOff>
        </xdr:from>
        <xdr:to>
          <xdr:col>20</xdr:col>
          <xdr:colOff>285750</xdr:colOff>
          <xdr:row>42</xdr:row>
          <xdr:rowOff>133350</xdr:rowOff>
        </xdr:to>
        <xdr:sp macro="" textlink="">
          <xdr:nvSpPr>
            <xdr:cNvPr id="22535" name="Button 7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9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Seasonality Chart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43</xdr:row>
          <xdr:rowOff>123825</xdr:rowOff>
        </xdr:from>
        <xdr:to>
          <xdr:col>20</xdr:col>
          <xdr:colOff>266700</xdr:colOff>
          <xdr:row>46</xdr:row>
          <xdr:rowOff>19050</xdr:rowOff>
        </xdr:to>
        <xdr:sp macro="" textlink="">
          <xdr:nvSpPr>
            <xdr:cNvPr id="22536" name="Button 8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9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Assign New Seasonality Factors to IBNR Mode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57150</xdr:colOff>
          <xdr:row>47</xdr:row>
          <xdr:rowOff>9525</xdr:rowOff>
        </xdr:from>
        <xdr:to>
          <xdr:col>20</xdr:col>
          <xdr:colOff>266700</xdr:colOff>
          <xdr:row>49</xdr:row>
          <xdr:rowOff>47625</xdr:rowOff>
        </xdr:to>
        <xdr:sp macro="" textlink="">
          <xdr:nvSpPr>
            <xdr:cNvPr id="22537" name="Button 9" hidden="1">
              <a:extLst>
                <a:ext uri="{63B3BB69-23CF-44E3-9099-C40C66FF867C}">
                  <a14:compatExt spid="_x0000_s22537"/>
                </a:ext>
                <a:ext uri="{FF2B5EF4-FFF2-40B4-BE49-F238E27FC236}">
                  <a16:creationId xmlns:a16="http://schemas.microsoft.com/office/drawing/2014/main" id="{00000000-0008-0000-0900-00000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Seasonality Section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 PMPM Projections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123825</xdr:colOff>
      <xdr:row>39</xdr:row>
      <xdr:rowOff>85725</xdr:rowOff>
    </xdr:from>
    <xdr:to>
      <xdr:col>29</xdr:col>
      <xdr:colOff>476250</xdr:colOff>
      <xdr:row>57</xdr:row>
      <xdr:rowOff>76200</xdr:rowOff>
    </xdr:to>
    <xdr:graphicFrame macro="">
      <xdr:nvGraphicFramePr>
        <xdr:cNvPr id="23594" name="Chart 5">
          <a:extLst>
            <a:ext uri="{FF2B5EF4-FFF2-40B4-BE49-F238E27FC236}">
              <a16:creationId xmlns:a16="http://schemas.microsoft.com/office/drawing/2014/main" id="{00000000-0008-0000-0A00-00002A5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85725</xdr:colOff>
      <xdr:row>2</xdr:row>
      <xdr:rowOff>0</xdr:rowOff>
    </xdr:from>
    <xdr:to>
      <xdr:col>16</xdr:col>
      <xdr:colOff>542925</xdr:colOff>
      <xdr:row>26</xdr:row>
      <xdr:rowOff>76200</xdr:rowOff>
    </xdr:to>
    <xdr:graphicFrame macro="">
      <xdr:nvGraphicFramePr>
        <xdr:cNvPr id="23595" name="Chart 6">
          <a:extLst>
            <a:ext uri="{FF2B5EF4-FFF2-40B4-BE49-F238E27FC236}">
              <a16:creationId xmlns:a16="http://schemas.microsoft.com/office/drawing/2014/main" id="{00000000-0008-0000-0A00-00002B5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85725</xdr:colOff>
      <xdr:row>27</xdr:row>
      <xdr:rowOff>85725</xdr:rowOff>
    </xdr:from>
    <xdr:to>
      <xdr:col>16</xdr:col>
      <xdr:colOff>542925</xdr:colOff>
      <xdr:row>50</xdr:row>
      <xdr:rowOff>133350</xdr:rowOff>
    </xdr:to>
    <xdr:graphicFrame macro="">
      <xdr:nvGraphicFramePr>
        <xdr:cNvPr id="23596" name="Chart 7">
          <a:extLst>
            <a:ext uri="{FF2B5EF4-FFF2-40B4-BE49-F238E27FC236}">
              <a16:creationId xmlns:a16="http://schemas.microsoft.com/office/drawing/2014/main" id="{00000000-0008-0000-0A00-00002C5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209550</xdr:colOff>
          <xdr:row>0</xdr:row>
          <xdr:rowOff>47625</xdr:rowOff>
        </xdr:from>
        <xdr:to>
          <xdr:col>15</xdr:col>
          <xdr:colOff>485775</xdr:colOff>
          <xdr:row>1</xdr:row>
          <xdr:rowOff>95250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A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485775</xdr:colOff>
          <xdr:row>0</xdr:row>
          <xdr:rowOff>28575</xdr:rowOff>
        </xdr:from>
        <xdr:to>
          <xdr:col>13</xdr:col>
          <xdr:colOff>466725</xdr:colOff>
          <xdr:row>1</xdr:row>
          <xdr:rowOff>104775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A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266700</xdr:colOff>
          <xdr:row>0</xdr:row>
          <xdr:rowOff>28575</xdr:rowOff>
        </xdr:from>
        <xdr:to>
          <xdr:col>13</xdr:col>
          <xdr:colOff>152400</xdr:colOff>
          <xdr:row>2</xdr:row>
          <xdr:rowOff>95250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B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116</xdr:col>
          <xdr:colOff>200025</xdr:colOff>
          <xdr:row>2</xdr:row>
          <xdr:rowOff>38100</xdr:rowOff>
        </xdr:from>
        <xdr:to>
          <xdr:col>118</xdr:col>
          <xdr:colOff>47625</xdr:colOff>
          <xdr:row>5</xdr:row>
          <xdr:rowOff>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C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62</xdr:row>
      <xdr:rowOff>85725</xdr:rowOff>
    </xdr:from>
    <xdr:to>
      <xdr:col>8</xdr:col>
      <xdr:colOff>485775</xdr:colOff>
      <xdr:row>88</xdr:row>
      <xdr:rowOff>104775</xdr:rowOff>
    </xdr:to>
    <xdr:graphicFrame macro="">
      <xdr:nvGraphicFramePr>
        <xdr:cNvPr id="21607" name="Chart PMPM BW">
          <a:extLst>
            <a:ext uri="{FF2B5EF4-FFF2-40B4-BE49-F238E27FC236}">
              <a16:creationId xmlns:a16="http://schemas.microsoft.com/office/drawing/2014/main" id="{00000000-0008-0000-0D00-000067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89</xdr:row>
      <xdr:rowOff>38100</xdr:rowOff>
    </xdr:from>
    <xdr:to>
      <xdr:col>8</xdr:col>
      <xdr:colOff>485775</xdr:colOff>
      <xdr:row>115</xdr:row>
      <xdr:rowOff>0</xdr:rowOff>
    </xdr:to>
    <xdr:graphicFrame macro="">
      <xdr:nvGraphicFramePr>
        <xdr:cNvPr id="21608" name="Chart PMPMIBNR BW">
          <a:extLst>
            <a:ext uri="{FF2B5EF4-FFF2-40B4-BE49-F238E27FC236}">
              <a16:creationId xmlns:a16="http://schemas.microsoft.com/office/drawing/2014/main" id="{00000000-0008-0000-0D00-000068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47625</xdr:colOff>
      <xdr:row>117</xdr:row>
      <xdr:rowOff>76200</xdr:rowOff>
    </xdr:from>
    <xdr:to>
      <xdr:col>8</xdr:col>
      <xdr:colOff>209550</xdr:colOff>
      <xdr:row>142</xdr:row>
      <xdr:rowOff>104775</xdr:rowOff>
    </xdr:to>
    <xdr:graphicFrame macro="">
      <xdr:nvGraphicFramePr>
        <xdr:cNvPr id="21609" name="Chart CF-BW">
          <a:extLst>
            <a:ext uri="{FF2B5EF4-FFF2-40B4-BE49-F238E27FC236}">
              <a16:creationId xmlns:a16="http://schemas.microsoft.com/office/drawing/2014/main" id="{00000000-0008-0000-0D00-000069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62</xdr:row>
      <xdr:rowOff>85725</xdr:rowOff>
    </xdr:from>
    <xdr:to>
      <xdr:col>16</xdr:col>
      <xdr:colOff>514350</xdr:colOff>
      <xdr:row>88</xdr:row>
      <xdr:rowOff>104775</xdr:rowOff>
    </xdr:to>
    <xdr:graphicFrame macro="">
      <xdr:nvGraphicFramePr>
        <xdr:cNvPr id="21611" name="Chart 6">
          <a:extLst>
            <a:ext uri="{FF2B5EF4-FFF2-40B4-BE49-F238E27FC236}">
              <a16:creationId xmlns:a16="http://schemas.microsoft.com/office/drawing/2014/main" id="{00000000-0008-0000-0D00-00006B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89</xdr:row>
      <xdr:rowOff>38100</xdr:rowOff>
    </xdr:from>
    <xdr:to>
      <xdr:col>16</xdr:col>
      <xdr:colOff>504825</xdr:colOff>
      <xdr:row>111</xdr:row>
      <xdr:rowOff>95250</xdr:rowOff>
    </xdr:to>
    <xdr:graphicFrame macro="">
      <xdr:nvGraphicFramePr>
        <xdr:cNvPr id="21612" name="Chart 7">
          <a:extLst>
            <a:ext uri="{FF2B5EF4-FFF2-40B4-BE49-F238E27FC236}">
              <a16:creationId xmlns:a16="http://schemas.microsoft.com/office/drawing/2014/main" id="{00000000-0008-0000-0D00-00006C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314325</xdr:colOff>
      <xdr:row>117</xdr:row>
      <xdr:rowOff>66675</xdr:rowOff>
    </xdr:from>
    <xdr:to>
      <xdr:col>16</xdr:col>
      <xdr:colOff>514350</xdr:colOff>
      <xdr:row>142</xdr:row>
      <xdr:rowOff>104775</xdr:rowOff>
    </xdr:to>
    <xdr:graphicFrame macro="">
      <xdr:nvGraphicFramePr>
        <xdr:cNvPr id="21613" name="Chart 8">
          <a:extLst>
            <a:ext uri="{FF2B5EF4-FFF2-40B4-BE49-F238E27FC236}">
              <a16:creationId xmlns:a16="http://schemas.microsoft.com/office/drawing/2014/main" id="{00000000-0008-0000-0D00-00006D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314325</xdr:colOff>
      <xdr:row>143</xdr:row>
      <xdr:rowOff>76200</xdr:rowOff>
    </xdr:from>
    <xdr:to>
      <xdr:col>16</xdr:col>
      <xdr:colOff>523875</xdr:colOff>
      <xdr:row>165</xdr:row>
      <xdr:rowOff>104775</xdr:rowOff>
    </xdr:to>
    <xdr:graphicFrame macro="">
      <xdr:nvGraphicFramePr>
        <xdr:cNvPr id="21614" name="Chart 11">
          <a:extLst>
            <a:ext uri="{FF2B5EF4-FFF2-40B4-BE49-F238E27FC236}">
              <a16:creationId xmlns:a16="http://schemas.microsoft.com/office/drawing/2014/main" id="{00000000-0008-0000-0D00-00006E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9525</xdr:colOff>
          <xdr:row>12</xdr:row>
          <xdr:rowOff>47625</xdr:rowOff>
        </xdr:from>
        <xdr:to>
          <xdr:col>39</xdr:col>
          <xdr:colOff>466725</xdr:colOff>
          <xdr:row>14</xdr:row>
          <xdr:rowOff>57150</xdr:rowOff>
        </xdr:to>
        <xdr:sp macro="" textlink="">
          <xdr:nvSpPr>
            <xdr:cNvPr id="21517" name="Button 13" hidden="1">
              <a:extLst>
                <a:ext uri="{63B3BB69-23CF-44E3-9099-C40C66FF867C}">
                  <a14:compatExt spid="_x0000_s21517"/>
                </a:ext>
                <a:ext uri="{FF2B5EF4-FFF2-40B4-BE49-F238E27FC236}">
                  <a16:creationId xmlns:a16="http://schemas.microsoft.com/office/drawing/2014/main" id="{00000000-0008-0000-0D00-00000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276225</xdr:colOff>
          <xdr:row>5</xdr:row>
          <xdr:rowOff>19050</xdr:rowOff>
        </xdr:from>
        <xdr:to>
          <xdr:col>14</xdr:col>
          <xdr:colOff>171450</xdr:colOff>
          <xdr:row>7</xdr:row>
          <xdr:rowOff>28575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D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304800</xdr:colOff>
          <xdr:row>4</xdr:row>
          <xdr:rowOff>123825</xdr:rowOff>
        </xdr:from>
        <xdr:to>
          <xdr:col>11</xdr:col>
          <xdr:colOff>381000</xdr:colOff>
          <xdr:row>7</xdr:row>
          <xdr:rowOff>0</xdr:rowOff>
        </xdr:to>
        <xdr:sp macro="" textlink="">
          <xdr:nvSpPr>
            <xdr:cNvPr id="21518" name="Button 14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D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Transport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5</xdr:row>
          <xdr:rowOff>104775</xdr:rowOff>
        </xdr:from>
        <xdr:to>
          <xdr:col>20</xdr:col>
          <xdr:colOff>304800</xdr:colOff>
          <xdr:row>7</xdr:row>
          <xdr:rowOff>123825</xdr:rowOff>
        </xdr:to>
        <xdr:sp macro="" textlink="">
          <xdr:nvSpPr>
            <xdr:cNvPr id="21519" name="Button 15" hidden="1">
              <a:extLst>
                <a:ext uri="{63B3BB69-23CF-44E3-9099-C40C66FF867C}">
                  <a14:compatExt spid="_x0000_s21519"/>
                </a:ext>
                <a:ext uri="{FF2B5EF4-FFF2-40B4-BE49-F238E27FC236}">
                  <a16:creationId xmlns:a16="http://schemas.microsoft.com/office/drawing/2014/main" id="{00000000-0008-0000-0D00-00000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45720</xdr:colOff>
      <xdr:row>143</xdr:row>
      <xdr:rowOff>99060</xdr:rowOff>
    </xdr:from>
    <xdr:to>
      <xdr:col>8</xdr:col>
      <xdr:colOff>228600</xdr:colOff>
      <xdr:row>170</xdr:row>
      <xdr:rowOff>68580</xdr:rowOff>
    </xdr:to>
    <xdr:graphicFrame macro="">
      <xdr:nvGraphicFramePr>
        <xdr:cNvPr id="15" name="Chart CF-BW-Q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0.73395</cdr:x>
      <cdr:y>0.05877</cdr:y>
    </cdr:from>
    <cdr:to>
      <cdr:x>0.93724</cdr:x>
      <cdr:y>0.17304</cdr:y>
    </cdr:to>
    <cdr:sp macro="" textlink="">
      <cdr:nvSpPr>
        <cdr:cNvPr id="25601" name="Text Box 1">
          <a:extLst xmlns:a="http://schemas.openxmlformats.org/drawingml/2006/main">
            <a:ext uri="{FF2B5EF4-FFF2-40B4-BE49-F238E27FC236}">
              <a16:creationId xmlns:a16="http://schemas.microsoft.com/office/drawing/2014/main" id="{4781B6AD-7A37-4DD0-859D-12A4C32944B2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666385" y="223172"/>
          <a:ext cx="1014665" cy="42773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2</xdr:row>
          <xdr:rowOff>38100</xdr:rowOff>
        </xdr:from>
        <xdr:to>
          <xdr:col>1</xdr:col>
          <xdr:colOff>581025</xdr:colOff>
          <xdr:row>5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E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0</xdr:row>
          <xdr:rowOff>57150</xdr:rowOff>
        </xdr:from>
        <xdr:to>
          <xdr:col>8</xdr:col>
          <xdr:colOff>447675</xdr:colOff>
          <xdr:row>3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1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R:\ClientFiles\Active\ActHealthCare\Applied%20Physicians%20of%20Calif%20(APC)\2024%201Q\ARM%20Calcs\MonthlyWorkDays%201Q2024.xlsx" TargetMode="External"/><Relationship Id="rId1" Type="http://schemas.openxmlformats.org/officeDocument/2006/relationships/externalLinkPath" Target="MonthlyWorkDays%201Q202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onthlyDays"/>
    </sheetNames>
    <sheetDataSet>
      <sheetData sheetId="0">
        <row r="60">
          <cell r="F60">
            <v>21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12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4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7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51.xml"/><Relationship Id="rId4" Type="http://schemas.openxmlformats.org/officeDocument/2006/relationships/ctrlProp" Target="../ctrlProps/ctrlProp5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8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56.xml"/><Relationship Id="rId11" Type="http://schemas.openxmlformats.org/officeDocument/2006/relationships/ctrlProp" Target="../ctrlProps/ctrlProp61.xml"/><Relationship Id="rId5" Type="http://schemas.openxmlformats.org/officeDocument/2006/relationships/ctrlProp" Target="../ctrlProps/ctrlProp55.xml"/><Relationship Id="rId10" Type="http://schemas.openxmlformats.org/officeDocument/2006/relationships/ctrlProp" Target="../ctrlProps/ctrlProp60.xml"/><Relationship Id="rId4" Type="http://schemas.openxmlformats.org/officeDocument/2006/relationships/ctrlProp" Target="../ctrlProps/ctrlProp54.xml"/><Relationship Id="rId9" Type="http://schemas.openxmlformats.org/officeDocument/2006/relationships/ctrlProp" Target="../ctrlProps/ctrlProp5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63.xml"/><Relationship Id="rId4" Type="http://schemas.openxmlformats.org/officeDocument/2006/relationships/ctrlProp" Target="../ctrlProps/ctrlProp6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6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6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6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8.xml"/><Relationship Id="rId5" Type="http://schemas.openxmlformats.org/officeDocument/2006/relationships/ctrlProp" Target="../ctrlProps/ctrlProp67.xml"/><Relationship Id="rId4" Type="http://schemas.openxmlformats.org/officeDocument/2006/relationships/ctrlProp" Target="../ctrlProps/ctrlProp6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7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7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indexed="60"/>
  </sheetPr>
  <dimension ref="A1:CP506"/>
  <sheetViews>
    <sheetView tabSelected="1" zoomScale="120" zoomScaleNormal="120" workbookViewId="0">
      <pane xSplit="2" ySplit="7" topLeftCell="C350" activePane="bottomRight" state="frozen"/>
      <selection pane="topRight" activeCell="C1" sqref="C1"/>
      <selection pane="bottomLeft" activeCell="A8" sqref="A8"/>
      <selection pane="bottomRight" activeCell="K3" sqref="K3"/>
    </sheetView>
  </sheetViews>
  <sheetFormatPr defaultRowHeight="11.25" x14ac:dyDescent="0.2"/>
  <cols>
    <col min="1" max="1" width="11.5" customWidth="1"/>
    <col min="3" max="36" width="10.83203125" customWidth="1"/>
    <col min="37" max="37" width="11.5" customWidth="1"/>
    <col min="38" max="38" width="10.83203125" customWidth="1"/>
    <col min="41" max="43" width="10.1640625" bestFit="1" customWidth="1"/>
    <col min="44" max="44" width="12.6640625" customWidth="1"/>
    <col min="45" max="45" width="11.83203125" customWidth="1"/>
    <col min="46" max="51" width="10.6640625" customWidth="1"/>
    <col min="52" max="53" width="11.6640625" customWidth="1"/>
    <col min="54" max="54" width="8.33203125" customWidth="1"/>
    <col min="55" max="63" width="6.33203125" customWidth="1"/>
    <col min="64" max="64" width="12.83203125" customWidth="1"/>
    <col min="65" max="65" width="14.1640625" bestFit="1" customWidth="1"/>
    <col min="66" max="66" width="6.33203125" customWidth="1"/>
    <col min="67" max="67" width="10.83203125" bestFit="1" customWidth="1"/>
    <col min="68" max="68" width="11" customWidth="1"/>
    <col min="69" max="69" width="8.83203125" bestFit="1" customWidth="1"/>
    <col min="70" max="70" width="8.6640625" customWidth="1"/>
    <col min="71" max="71" width="11.5" customWidth="1"/>
    <col min="72" max="72" width="8.6640625" customWidth="1"/>
    <col min="73" max="73" width="10.83203125" customWidth="1"/>
    <col min="74" max="74" width="13.1640625" customWidth="1"/>
    <col min="75" max="75" width="11.33203125" customWidth="1"/>
    <col min="77" max="77" width="12" customWidth="1"/>
    <col min="79" max="79" width="10.83203125" bestFit="1" customWidth="1"/>
    <col min="83" max="83" width="11.5" customWidth="1"/>
    <col min="85" max="85" width="13.83203125" customWidth="1"/>
    <col min="86" max="88" width="9.33203125" customWidth="1"/>
  </cols>
  <sheetData>
    <row r="1" spans="1:94" ht="12.75" customHeight="1" x14ac:dyDescent="0.2">
      <c r="A1" t="s">
        <v>13</v>
      </c>
      <c r="C1" s="384" t="s">
        <v>1070</v>
      </c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376" t="s">
        <v>976</v>
      </c>
      <c r="O1" s="34" t="str">
        <f>$C1</f>
        <v>Allied Pacific (APC Commerical)</v>
      </c>
      <c r="Z1" s="161" t="s">
        <v>466</v>
      </c>
      <c r="AA1" s="34" t="str">
        <f>$C1</f>
        <v>Allied Pacific (APC Commerical)</v>
      </c>
      <c r="AL1" s="208" t="s">
        <v>758</v>
      </c>
      <c r="AN1" s="34"/>
      <c r="AS1" s="208" t="s">
        <v>759</v>
      </c>
      <c r="AV1" s="34" t="str">
        <f>+$C$1</f>
        <v>Allied Pacific (APC Commerical)</v>
      </c>
      <c r="BQ1" s="161" t="s">
        <v>467</v>
      </c>
      <c r="CC1" s="3" t="s">
        <v>134</v>
      </c>
      <c r="CD1" s="3"/>
      <c r="CE1" s="3"/>
      <c r="CL1" s="3" t="s">
        <v>444</v>
      </c>
    </row>
    <row r="2" spans="1:94" ht="11.25" customHeight="1" x14ac:dyDescent="0.2">
      <c r="C2" s="227" t="s">
        <v>977</v>
      </c>
      <c r="D2" s="178"/>
      <c r="E2" s="178" t="s">
        <v>41</v>
      </c>
      <c r="F2" s="174">
        <v>3</v>
      </c>
      <c r="G2" s="178"/>
      <c r="H2" s="178"/>
      <c r="I2" s="178"/>
      <c r="J2" s="178"/>
      <c r="K2" s="178"/>
      <c r="L2" s="178"/>
      <c r="M2" s="178"/>
      <c r="N2" s="178"/>
      <c r="O2" t="s">
        <v>14</v>
      </c>
      <c r="Q2" t="s">
        <v>41</v>
      </c>
      <c r="R2">
        <f>$F2</f>
        <v>3</v>
      </c>
      <c r="AA2" t="s">
        <v>14</v>
      </c>
      <c r="AC2" t="s">
        <v>41</v>
      </c>
      <c r="AD2">
        <f>$F2</f>
        <v>3</v>
      </c>
      <c r="AN2" s="34" t="str">
        <f>+$C$1</f>
        <v>Allied Pacific (APC Commerical)</v>
      </c>
      <c r="AV2" s="1" t="s">
        <v>125</v>
      </c>
      <c r="BL2" s="109" t="s">
        <v>434</v>
      </c>
      <c r="BM2" s="194"/>
      <c r="BN2" s="194"/>
      <c r="BO2" s="194"/>
      <c r="BP2" s="565"/>
      <c r="BQ2" s="196"/>
    </row>
    <row r="3" spans="1:94" x14ac:dyDescent="0.2">
      <c r="D3" s="178"/>
      <c r="E3" s="178" t="s">
        <v>42</v>
      </c>
      <c r="F3" s="175">
        <v>2024</v>
      </c>
      <c r="G3" s="178"/>
      <c r="H3" s="178"/>
      <c r="I3" s="178"/>
      <c r="J3" s="178"/>
      <c r="K3" s="178"/>
      <c r="L3" s="178"/>
      <c r="M3" s="178"/>
      <c r="N3" s="178"/>
      <c r="Q3" t="s">
        <v>42</v>
      </c>
      <c r="R3">
        <f>$F3</f>
        <v>2024</v>
      </c>
      <c r="AC3" t="s">
        <v>42</v>
      </c>
      <c r="AD3">
        <f>$F3</f>
        <v>2024</v>
      </c>
      <c r="AN3" t="s">
        <v>77</v>
      </c>
      <c r="BL3" s="203" t="str">
        <f>Final!$AI$20</f>
        <v>6 Month Method</v>
      </c>
      <c r="BM3" s="7"/>
      <c r="BN3" s="7"/>
      <c r="BO3" s="7"/>
      <c r="BP3" s="7"/>
      <c r="BQ3" s="204"/>
      <c r="CC3" t="s">
        <v>748</v>
      </c>
      <c r="CE3" s="2">
        <f>Final!$AI$19</f>
        <v>2</v>
      </c>
    </row>
    <row r="4" spans="1:94" x14ac:dyDescent="0.2">
      <c r="A4" t="s">
        <v>15</v>
      </c>
      <c r="C4" t="s">
        <v>44</v>
      </c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  <c r="AL4" s="4"/>
      <c r="AU4" s="2" t="s">
        <v>486</v>
      </c>
      <c r="AV4" s="361"/>
      <c r="AW4" s="362"/>
      <c r="AX4" s="363"/>
      <c r="AY4" s="363"/>
      <c r="AZ4" s="364" t="s">
        <v>126</v>
      </c>
      <c r="BA4" s="10"/>
      <c r="BB4" s="365"/>
      <c r="BC4" s="361"/>
      <c r="BD4" s="361"/>
      <c r="BE4" s="374" t="s">
        <v>737</v>
      </c>
      <c r="BF4" s="363"/>
      <c r="BG4" s="363"/>
      <c r="BH4" s="10"/>
      <c r="BI4" s="10"/>
      <c r="BJ4" s="365"/>
      <c r="BM4" s="254" t="s">
        <v>959</v>
      </c>
      <c r="BO4" s="2" t="s">
        <v>63</v>
      </c>
      <c r="BQ4" s="37" t="s">
        <v>974</v>
      </c>
      <c r="BS4" s="9" t="s">
        <v>334</v>
      </c>
      <c r="BT4" s="10"/>
      <c r="BU4" s="13"/>
      <c r="BV4" s="10"/>
      <c r="BW4" s="11"/>
      <c r="BY4" s="254" t="s">
        <v>934</v>
      </c>
      <c r="BZ4" s="539" t="s">
        <v>933</v>
      </c>
      <c r="CA4" s="251" t="s">
        <v>136</v>
      </c>
      <c r="CC4" s="2"/>
      <c r="CD4" s="2"/>
      <c r="CL4" s="1" t="s">
        <v>76</v>
      </c>
      <c r="CP4" s="29" t="s">
        <v>69</v>
      </c>
    </row>
    <row r="5" spans="1:94" x14ac:dyDescent="0.2">
      <c r="A5" t="s">
        <v>16</v>
      </c>
      <c r="D5" s="178"/>
      <c r="E5" s="178"/>
      <c r="F5" s="178"/>
      <c r="G5" s="178"/>
      <c r="H5" s="178"/>
      <c r="I5" s="178"/>
      <c r="J5" s="178"/>
      <c r="K5" s="178"/>
      <c r="L5" s="178"/>
      <c r="M5" s="178"/>
      <c r="N5" s="178"/>
      <c r="AO5" s="2"/>
      <c r="AP5" s="2" t="s">
        <v>79</v>
      </c>
      <c r="AQ5" s="2" t="s">
        <v>81</v>
      </c>
      <c r="AR5" s="2" t="s">
        <v>671</v>
      </c>
      <c r="AS5" s="37" t="s">
        <v>84</v>
      </c>
      <c r="AT5" s="2" t="s">
        <v>479</v>
      </c>
      <c r="AU5" s="187" t="s">
        <v>487</v>
      </c>
      <c r="AV5" s="361"/>
      <c r="AW5" s="361"/>
      <c r="AX5" s="361"/>
      <c r="AY5" s="361"/>
      <c r="AZ5" s="361"/>
      <c r="BA5" s="366" t="s">
        <v>52</v>
      </c>
      <c r="BB5" s="366" t="s">
        <v>51</v>
      </c>
      <c r="BC5" s="361"/>
      <c r="BD5" s="361"/>
      <c r="BE5" s="361"/>
      <c r="BF5" s="361"/>
      <c r="BG5" s="361"/>
      <c r="BH5" s="361"/>
      <c r="BI5" s="366" t="s">
        <v>52</v>
      </c>
      <c r="BJ5" s="366" t="s">
        <v>51</v>
      </c>
      <c r="BL5" s="2" t="s">
        <v>127</v>
      </c>
      <c r="BM5" s="2" t="s">
        <v>97</v>
      </c>
      <c r="BN5" s="2" t="s">
        <v>137</v>
      </c>
      <c r="BO5" s="2" t="s">
        <v>139</v>
      </c>
      <c r="BP5" s="2" t="s">
        <v>139</v>
      </c>
      <c r="BQ5" s="2" t="s">
        <v>96</v>
      </c>
      <c r="BW5" s="2" t="s">
        <v>51</v>
      </c>
      <c r="BY5" s="2" t="s">
        <v>97</v>
      </c>
      <c r="BZ5" s="228" t="s">
        <v>136</v>
      </c>
      <c r="CA5" s="228" t="s">
        <v>931</v>
      </c>
      <c r="CC5" s="2"/>
      <c r="CD5" s="2"/>
      <c r="CM5" s="30" t="s">
        <v>70</v>
      </c>
      <c r="CN5" s="30"/>
      <c r="CO5" s="30">
        <v>-5</v>
      </c>
      <c r="CP5" s="31">
        <f t="shared" ref="CP5:CP15" si="0">MAXA(0,1-ABS($E$276-F329))</f>
        <v>0</v>
      </c>
    </row>
    <row r="6" spans="1:94" x14ac:dyDescent="0.2">
      <c r="A6" t="s">
        <v>47</v>
      </c>
      <c r="C6" s="72">
        <f>DATE(ResYear-3,ResMonth+1,1)</f>
        <v>44287</v>
      </c>
      <c r="D6" s="5">
        <f t="shared" ref="D6:AL6" si="1">DATE(YEAR(C6),MONTH(C6)+1,1)</f>
        <v>44317</v>
      </c>
      <c r="E6" s="5">
        <f t="shared" si="1"/>
        <v>44348</v>
      </c>
      <c r="F6" s="5">
        <f t="shared" si="1"/>
        <v>44378</v>
      </c>
      <c r="G6" s="5">
        <f t="shared" si="1"/>
        <v>44409</v>
      </c>
      <c r="H6" s="5">
        <f t="shared" si="1"/>
        <v>44440</v>
      </c>
      <c r="I6" s="5">
        <f t="shared" si="1"/>
        <v>44470</v>
      </c>
      <c r="J6" s="5">
        <f t="shared" si="1"/>
        <v>44501</v>
      </c>
      <c r="K6" s="5">
        <f t="shared" si="1"/>
        <v>44531</v>
      </c>
      <c r="L6" s="5">
        <f t="shared" si="1"/>
        <v>44562</v>
      </c>
      <c r="M6" s="5">
        <f t="shared" si="1"/>
        <v>44593</v>
      </c>
      <c r="N6" s="5">
        <f t="shared" si="1"/>
        <v>44621</v>
      </c>
      <c r="O6" s="5">
        <f t="shared" si="1"/>
        <v>44652</v>
      </c>
      <c r="P6" s="5">
        <f t="shared" si="1"/>
        <v>44682</v>
      </c>
      <c r="Q6" s="5">
        <f t="shared" si="1"/>
        <v>44713</v>
      </c>
      <c r="R6" s="5">
        <f t="shared" si="1"/>
        <v>44743</v>
      </c>
      <c r="S6" s="5">
        <f t="shared" si="1"/>
        <v>44774</v>
      </c>
      <c r="T6" s="5">
        <f t="shared" si="1"/>
        <v>44805</v>
      </c>
      <c r="U6" s="5">
        <f t="shared" si="1"/>
        <v>44835</v>
      </c>
      <c r="V6" s="5">
        <f t="shared" si="1"/>
        <v>44866</v>
      </c>
      <c r="W6" s="5">
        <f t="shared" si="1"/>
        <v>44896</v>
      </c>
      <c r="X6" s="5">
        <f t="shared" si="1"/>
        <v>44927</v>
      </c>
      <c r="Y6" s="5">
        <f t="shared" si="1"/>
        <v>44958</v>
      </c>
      <c r="Z6" s="5">
        <f t="shared" si="1"/>
        <v>44986</v>
      </c>
      <c r="AA6" s="5">
        <f t="shared" si="1"/>
        <v>45017</v>
      </c>
      <c r="AB6" s="5">
        <f t="shared" si="1"/>
        <v>45047</v>
      </c>
      <c r="AC6" s="5">
        <f t="shared" si="1"/>
        <v>45078</v>
      </c>
      <c r="AD6" s="5">
        <f t="shared" si="1"/>
        <v>45108</v>
      </c>
      <c r="AE6" s="5">
        <f t="shared" si="1"/>
        <v>45139</v>
      </c>
      <c r="AF6" s="5">
        <f t="shared" si="1"/>
        <v>45170</v>
      </c>
      <c r="AG6" s="5">
        <f t="shared" si="1"/>
        <v>45200</v>
      </c>
      <c r="AH6" s="5">
        <f t="shared" si="1"/>
        <v>45231</v>
      </c>
      <c r="AI6" s="5">
        <f t="shared" si="1"/>
        <v>45261</v>
      </c>
      <c r="AJ6" s="5">
        <f t="shared" si="1"/>
        <v>45292</v>
      </c>
      <c r="AK6" s="5">
        <f t="shared" si="1"/>
        <v>45323</v>
      </c>
      <c r="AL6" s="5">
        <f t="shared" si="1"/>
        <v>45352</v>
      </c>
      <c r="AM6" s="4"/>
      <c r="AN6" s="39" t="s">
        <v>41</v>
      </c>
      <c r="AO6" s="38" t="s">
        <v>78</v>
      </c>
      <c r="AP6" s="38" t="s">
        <v>80</v>
      </c>
      <c r="AQ6" s="38" t="s">
        <v>82</v>
      </c>
      <c r="AR6" s="38" t="s">
        <v>670</v>
      </c>
      <c r="AS6" s="38" t="s">
        <v>85</v>
      </c>
      <c r="AT6" s="210" t="s">
        <v>480</v>
      </c>
      <c r="AU6" s="215" t="s">
        <v>480</v>
      </c>
      <c r="AV6" s="367" t="s">
        <v>41</v>
      </c>
      <c r="AW6" s="368" t="s">
        <v>53</v>
      </c>
      <c r="AX6" s="368" t="s">
        <v>52</v>
      </c>
      <c r="AY6" s="368" t="s">
        <v>51</v>
      </c>
      <c r="AZ6" s="368" t="s">
        <v>50</v>
      </c>
      <c r="BA6" s="369" t="s">
        <v>60</v>
      </c>
      <c r="BB6" s="369" t="s">
        <v>60</v>
      </c>
      <c r="BC6" s="368" t="s">
        <v>646</v>
      </c>
      <c r="BD6" s="368" t="s">
        <v>647</v>
      </c>
      <c r="BE6" s="368" t="s">
        <v>53</v>
      </c>
      <c r="BF6" s="368" t="s">
        <v>52</v>
      </c>
      <c r="BG6" s="368" t="s">
        <v>51</v>
      </c>
      <c r="BH6" s="368" t="s">
        <v>50</v>
      </c>
      <c r="BI6" s="369" t="s">
        <v>60</v>
      </c>
      <c r="BJ6" s="369" t="s">
        <v>60</v>
      </c>
      <c r="BK6" s="4"/>
      <c r="BL6" s="38" t="s">
        <v>128</v>
      </c>
      <c r="BM6" s="38" t="s">
        <v>136</v>
      </c>
      <c r="BN6" s="38" t="s">
        <v>138</v>
      </c>
      <c r="BO6" s="38" t="s">
        <v>96</v>
      </c>
      <c r="BP6" s="38" t="s">
        <v>83</v>
      </c>
      <c r="BQ6" s="38" t="s">
        <v>101</v>
      </c>
      <c r="BS6" s="8" t="s">
        <v>53</v>
      </c>
      <c r="BT6" s="8" t="s">
        <v>52</v>
      </c>
      <c r="BU6" s="8" t="s">
        <v>51</v>
      </c>
      <c r="BV6" s="8" t="s">
        <v>50</v>
      </c>
      <c r="BW6" s="38" t="s">
        <v>60</v>
      </c>
      <c r="BY6" s="38" t="s">
        <v>136</v>
      </c>
      <c r="BZ6" s="523" t="s">
        <v>932</v>
      </c>
      <c r="CA6" s="227" t="s">
        <v>935</v>
      </c>
      <c r="CC6" s="2"/>
      <c r="CD6" s="2"/>
      <c r="CM6" s="30" t="s">
        <v>71</v>
      </c>
      <c r="CN6" s="30"/>
      <c r="CO6" s="30">
        <f t="shared" ref="CO6:CO15" si="2">1+CO5</f>
        <v>-4</v>
      </c>
      <c r="CP6" s="31">
        <f t="shared" si="0"/>
        <v>0</v>
      </c>
    </row>
    <row r="7" spans="1:94" x14ac:dyDescent="0.2">
      <c r="C7" s="7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4"/>
      <c r="AN7" s="4"/>
      <c r="AO7" s="4"/>
      <c r="AP7" s="4"/>
      <c r="AQ7" s="4"/>
      <c r="AR7" s="4"/>
      <c r="AS7" s="4"/>
      <c r="AT7" s="216"/>
      <c r="AV7" s="370"/>
      <c r="AW7" s="370"/>
      <c r="AX7" s="370"/>
      <c r="AY7" s="361"/>
      <c r="AZ7" s="361"/>
      <c r="BA7" s="361"/>
      <c r="BB7" s="370"/>
      <c r="BC7" s="370"/>
      <c r="BD7" s="370"/>
      <c r="BE7" s="370"/>
      <c r="BF7" s="370"/>
      <c r="BG7" s="361"/>
      <c r="BH7" s="361"/>
      <c r="BI7" s="361"/>
      <c r="BJ7" s="370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Y7" s="4"/>
      <c r="BZ7" s="4"/>
      <c r="CC7" s="2"/>
      <c r="CD7" s="2"/>
      <c r="CM7" s="30" t="s">
        <v>72</v>
      </c>
      <c r="CN7" s="30"/>
      <c r="CO7" s="30">
        <f t="shared" si="2"/>
        <v>-3</v>
      </c>
      <c r="CP7" s="31">
        <f t="shared" si="0"/>
        <v>0</v>
      </c>
    </row>
    <row r="8" spans="1:94" x14ac:dyDescent="0.2">
      <c r="A8" s="252" t="s">
        <v>978</v>
      </c>
      <c r="B8" s="6"/>
      <c r="C8" s="612">
        <v>1171089.2300000009</v>
      </c>
      <c r="D8" s="612">
        <v>579155.90000000119</v>
      </c>
      <c r="E8" s="612">
        <v>262917.34000000008</v>
      </c>
      <c r="F8" s="612">
        <v>346167.9600000013</v>
      </c>
      <c r="G8" s="612">
        <v>871625.33000000322</v>
      </c>
      <c r="H8" s="612">
        <v>1263876.7799999972</v>
      </c>
      <c r="I8" s="612">
        <v>989820.99000000278</v>
      </c>
      <c r="J8" s="612">
        <v>768949.55999999982</v>
      </c>
      <c r="K8" s="612">
        <v>777101.02000000118</v>
      </c>
      <c r="L8" s="612">
        <v>179174.81000000003</v>
      </c>
      <c r="M8" s="612">
        <v>836644.69000000192</v>
      </c>
      <c r="N8" s="612">
        <v>691008.7700000006</v>
      </c>
      <c r="O8" s="612">
        <v>983285.2000000031</v>
      </c>
      <c r="P8" s="612">
        <v>1091266.08</v>
      </c>
      <c r="Q8" s="612">
        <v>1218450.8600000052</v>
      </c>
      <c r="R8" s="612">
        <v>1263028.2200000035</v>
      </c>
      <c r="S8" s="612">
        <v>2107589.4600000144</v>
      </c>
      <c r="T8" s="612">
        <v>1641885.5100000086</v>
      </c>
      <c r="U8" s="612">
        <v>1629313.2200000084</v>
      </c>
      <c r="V8" s="612">
        <v>1127429.7800000033</v>
      </c>
      <c r="W8" s="612">
        <v>1630311.6000000117</v>
      </c>
      <c r="X8" s="612">
        <v>1528822.9999999986</v>
      </c>
      <c r="Y8" s="612">
        <v>1384275.8500000015</v>
      </c>
      <c r="Z8" s="612">
        <v>2114412.0599999824</v>
      </c>
      <c r="AA8" s="612">
        <v>1112952.5799999982</v>
      </c>
      <c r="AB8" s="612">
        <v>1248075.4199999948</v>
      </c>
      <c r="AC8" s="612">
        <v>1362036.8299999912</v>
      </c>
      <c r="AD8" s="612">
        <v>1112870.9599999983</v>
      </c>
      <c r="AE8" s="612">
        <v>1121294.2699999958</v>
      </c>
      <c r="AF8" s="612">
        <v>923783.92999999993</v>
      </c>
      <c r="AG8" s="612">
        <v>1616692.4899999921</v>
      </c>
      <c r="AH8" s="612">
        <v>1255793.5599999924</v>
      </c>
      <c r="AI8" s="612">
        <v>1296415.8899999966</v>
      </c>
      <c r="AJ8" s="612">
        <v>1436799.309999998</v>
      </c>
      <c r="AK8" s="612">
        <v>1061866.1300000008</v>
      </c>
      <c r="AL8" s="612">
        <v>1157133.2399999991</v>
      </c>
      <c r="AM8" s="4"/>
      <c r="AN8" s="40">
        <f>+AL6</f>
        <v>45352</v>
      </c>
      <c r="AO8" s="6">
        <v>164912</v>
      </c>
      <c r="AP8" s="6"/>
      <c r="AQ8" s="6">
        <v>0</v>
      </c>
      <c r="AR8" s="6">
        <v>0</v>
      </c>
      <c r="AS8" s="613">
        <v>0</v>
      </c>
      <c r="AT8" s="2">
        <f t="shared" ref="AT8:AT43" si="3">IF(AO8&gt;0,1,0)</f>
        <v>1</v>
      </c>
      <c r="AU8" s="2">
        <f>IF((AND(AT8=0,SUM(AT$8:AT8)=0)),1,0)</f>
        <v>0</v>
      </c>
      <c r="AV8" s="371">
        <f>AN8</f>
        <v>45352</v>
      </c>
      <c r="AW8" s="372">
        <f t="shared" ref="AW8:AW30" si="4">$E281</f>
        <v>0.22267961147516946</v>
      </c>
      <c r="AX8" s="372">
        <f t="shared" ref="AX8:AX30" si="5">$H281</f>
        <v>0.21553914296864224</v>
      </c>
      <c r="AY8" s="372">
        <f t="shared" ref="AY8:AY30" si="6">$K281</f>
        <v>0.23261241776060959</v>
      </c>
      <c r="AZ8" s="372">
        <f t="shared" ref="AZ8:AZ30" si="7">$N281</f>
        <v>0.21250753586641688</v>
      </c>
      <c r="BA8" s="372">
        <f t="shared" ref="BA8:BA30" si="8">+S281</f>
        <v>0.21996961268782741</v>
      </c>
      <c r="BB8" s="372">
        <f t="shared" ref="BB8:BB30" si="9">$V281</f>
        <v>0.22629229444231419</v>
      </c>
      <c r="BC8" s="373">
        <v>1</v>
      </c>
      <c r="BD8" s="373">
        <v>2</v>
      </c>
      <c r="BE8" s="372">
        <f t="shared" ref="BE8:BE30" si="10">$E349</f>
        <v>0.22267961147516943</v>
      </c>
      <c r="BF8" s="372">
        <f t="shared" ref="BF8:BF30" si="11">$H349</f>
        <v>0.21553914296864221</v>
      </c>
      <c r="BG8" s="372">
        <f t="shared" ref="BG8:BG30" si="12">$K349</f>
        <v>0.23261241776060959</v>
      </c>
      <c r="BH8" s="372">
        <f t="shared" ref="BH8:BH30" si="13">$N349</f>
        <v>0.21250753586641688</v>
      </c>
      <c r="BI8" s="372">
        <f t="shared" ref="BI8:BI30" si="14">$S349</f>
        <v>0.21996961268782739</v>
      </c>
      <c r="BJ8" s="372">
        <f t="shared" ref="BJ8:BJ30" si="15">$V349</f>
        <v>0.22629229444231427</v>
      </c>
      <c r="BK8" s="7"/>
      <c r="BL8" s="41">
        <f t="shared" ref="BL8:BL43" si="16">+AO8</f>
        <v>164912</v>
      </c>
      <c r="BM8" s="41">
        <f>$AL$135</f>
        <v>1157133.2399999991</v>
      </c>
      <c r="BN8" s="15">
        <f t="shared" ref="BN8:BN43" si="17">CHOOSE($CE$3,AW8,AX8,AY8,AZ8,BA8,BB8,BC8,BD8,BE8,BF8,BG8,BH8,BI8,BJ8)</f>
        <v>0.21553914296864224</v>
      </c>
      <c r="BO8" s="41">
        <f>IF(BN8=0,0,+BM8/BN8)</f>
        <v>5368552.6631621839</v>
      </c>
      <c r="BP8" s="41">
        <f t="shared" ref="BP8:BP43" si="18">+BO8-BM8</f>
        <v>4211419.4231621847</v>
      </c>
      <c r="BQ8" s="73">
        <f t="shared" ref="BQ8:BQ43" si="19">IF(BL8=0,0,+BO8/BL8)</f>
        <v>32.554044964357864</v>
      </c>
      <c r="BR8" s="7"/>
      <c r="BS8" s="73">
        <f t="shared" ref="BS8:BS43" si="20">IF(BL8=0,0,+$BM8/AW8/$BL8)</f>
        <v>31.510163437494377</v>
      </c>
      <c r="BT8" s="73">
        <f t="shared" ref="BT8:BT43" si="21">IF(BL8=0,0,+$BM8/AX8/$BL8)</f>
        <v>32.554044964357864</v>
      </c>
      <c r="BU8" s="73">
        <f t="shared" ref="BU8:BU43" si="22">IF(BL8=0,0,+$BM8/AY8/$BL8)</f>
        <v>30.16464477404411</v>
      </c>
      <c r="BV8" s="73">
        <f t="shared" ref="BV8:BV43" si="23">IF(BL8=0,0,+$BM8/AZ8/$BL8)</f>
        <v>33.018457078110615</v>
      </c>
      <c r="BW8" s="73">
        <f t="shared" ref="BW8:BW43" si="24">IF(BL8=0,0,+$BM8/BB8/$BL8)</f>
        <v>31.007113914649921</v>
      </c>
      <c r="BY8" s="41">
        <f>$AL$135</f>
        <v>1157133.2399999991</v>
      </c>
      <c r="BZ8" s="41">
        <f>$AL$90</f>
        <v>0</v>
      </c>
      <c r="CA8" s="41">
        <f>+BY8-BZ8</f>
        <v>1157133.2399999991</v>
      </c>
      <c r="CC8" s="2"/>
      <c r="CD8" s="2"/>
      <c r="CM8" s="30" t="s">
        <v>73</v>
      </c>
      <c r="CN8" s="30"/>
      <c r="CO8" s="30">
        <f t="shared" si="2"/>
        <v>-2</v>
      </c>
      <c r="CP8" s="31">
        <f t="shared" si="0"/>
        <v>0</v>
      </c>
    </row>
    <row r="9" spans="1:94" x14ac:dyDescent="0.2">
      <c r="A9" s="252" t="s">
        <v>979</v>
      </c>
      <c r="B9" s="6"/>
      <c r="C9" s="612">
        <v>1202191.53</v>
      </c>
      <c r="D9" s="612">
        <v>1206896.089999998</v>
      </c>
      <c r="E9" s="612">
        <v>1957950.7799999951</v>
      </c>
      <c r="F9" s="612">
        <v>1945612.5099999986</v>
      </c>
      <c r="G9" s="612">
        <v>2350193.1899999939</v>
      </c>
      <c r="H9" s="612">
        <v>1739093.7499999946</v>
      </c>
      <c r="I9" s="612">
        <v>2104616.1099999938</v>
      </c>
      <c r="J9" s="612">
        <v>2358057.1799999964</v>
      </c>
      <c r="K9" s="612">
        <v>1378225.9199999964</v>
      </c>
      <c r="L9" s="612">
        <v>2339315.0100000091</v>
      </c>
      <c r="M9" s="612">
        <v>1613576.1800000034</v>
      </c>
      <c r="N9" s="612">
        <v>2325346.4100000076</v>
      </c>
      <c r="O9" s="612">
        <v>2002427.7600000114</v>
      </c>
      <c r="P9" s="612">
        <v>2230950.4700000091</v>
      </c>
      <c r="Q9" s="612">
        <v>2079447.2600000119</v>
      </c>
      <c r="R9" s="612">
        <v>2680376.3300000126</v>
      </c>
      <c r="S9" s="612">
        <v>2430110.5200000126</v>
      </c>
      <c r="T9" s="612">
        <v>2224893.4500000146</v>
      </c>
      <c r="U9" s="612">
        <v>2230264.6400000113</v>
      </c>
      <c r="V9" s="612">
        <v>2686732.5700000152</v>
      </c>
      <c r="W9" s="612">
        <v>2367008.2000000128</v>
      </c>
      <c r="X9" s="612">
        <v>1928253.0199999905</v>
      </c>
      <c r="Y9" s="612">
        <v>2536515.5199999879</v>
      </c>
      <c r="Z9" s="612">
        <v>2268569.549999991</v>
      </c>
      <c r="AA9" s="612">
        <v>2630647.7499999916</v>
      </c>
      <c r="AB9" s="612">
        <v>2753017.0500000035</v>
      </c>
      <c r="AC9" s="612">
        <v>2550785.7799999965</v>
      </c>
      <c r="AD9" s="612">
        <v>2657998.1399999913</v>
      </c>
      <c r="AE9" s="612">
        <v>3168121.8499999875</v>
      </c>
      <c r="AF9" s="612">
        <v>3161461.5299999933</v>
      </c>
      <c r="AG9" s="612">
        <v>3155553.090000011</v>
      </c>
      <c r="AH9" s="612">
        <v>3078569.469999989</v>
      </c>
      <c r="AI9" s="612">
        <v>2944621.2800000003</v>
      </c>
      <c r="AJ9" s="612">
        <v>2855417.7599999928</v>
      </c>
      <c r="AK9" s="612">
        <v>2855332.7500000061</v>
      </c>
      <c r="AL9" s="612">
        <v>0</v>
      </c>
      <c r="AM9" s="4"/>
      <c r="AN9" s="40">
        <f t="shared" ref="AN9:AN43" si="25">DATE(YEAR(AN8),MONTH(AN8)-1,1)</f>
        <v>45323</v>
      </c>
      <c r="AO9" s="6">
        <v>164591</v>
      </c>
      <c r="AP9" s="6"/>
      <c r="AQ9" s="6">
        <v>0</v>
      </c>
      <c r="AR9" s="6">
        <v>0</v>
      </c>
      <c r="AS9" s="184">
        <v>0</v>
      </c>
      <c r="AT9" s="2">
        <f t="shared" si="3"/>
        <v>1</v>
      </c>
      <c r="AU9" s="2">
        <f>IF((AND(AT9=0,SUM(AT$8:AT9)=0)),1,0)</f>
        <v>0</v>
      </c>
      <c r="AV9" s="371">
        <f t="shared" ref="AV9:AV43" si="26">DATE(YEAR(AV8),MONTH(AV8)-1,1)</f>
        <v>45323</v>
      </c>
      <c r="AW9" s="372">
        <f t="shared" si="4"/>
        <v>0.73289500849945555</v>
      </c>
      <c r="AX9" s="372">
        <f t="shared" si="5"/>
        <v>0.7322408374727789</v>
      </c>
      <c r="AY9" s="372">
        <f t="shared" si="6"/>
        <v>0.74190568606740681</v>
      </c>
      <c r="AZ9" s="372">
        <f t="shared" si="7"/>
        <v>0.66016688404252932</v>
      </c>
      <c r="BA9" s="372">
        <f t="shared" si="8"/>
        <v>0.73247726322831042</v>
      </c>
      <c r="BB9" s="372">
        <f t="shared" si="9"/>
        <v>0.74100339394363057</v>
      </c>
      <c r="BC9" s="373">
        <v>1</v>
      </c>
      <c r="BD9" s="373">
        <v>2</v>
      </c>
      <c r="BE9" s="372">
        <f t="shared" si="10"/>
        <v>0.73289500849945544</v>
      </c>
      <c r="BF9" s="372">
        <f t="shared" si="11"/>
        <v>0.73224083747277879</v>
      </c>
      <c r="BG9" s="372">
        <f t="shared" si="12"/>
        <v>0.74190568606740681</v>
      </c>
      <c r="BH9" s="372">
        <f t="shared" si="13"/>
        <v>0.66016688404252932</v>
      </c>
      <c r="BI9" s="372">
        <f t="shared" si="14"/>
        <v>0.7324772632283103</v>
      </c>
      <c r="BJ9" s="372">
        <f t="shared" si="15"/>
        <v>0.74100339394363079</v>
      </c>
      <c r="BK9" s="7"/>
      <c r="BL9" s="41">
        <f t="shared" si="16"/>
        <v>164591</v>
      </c>
      <c r="BM9" s="41">
        <f>$AK$135</f>
        <v>3917198.8800000069</v>
      </c>
      <c r="BN9" s="15">
        <f t="shared" si="17"/>
        <v>0.7322408374727789</v>
      </c>
      <c r="BO9" s="41">
        <f t="shared" ref="BO9:BO13" si="27">IF(BN9=0,0,+BM9/BN9)</f>
        <v>5349604.5010541072</v>
      </c>
      <c r="BP9" s="41">
        <f t="shared" si="18"/>
        <v>1432405.6210541003</v>
      </c>
      <c r="BQ9" s="73">
        <f t="shared" si="19"/>
        <v>32.502412045944837</v>
      </c>
      <c r="BR9" s="7"/>
      <c r="BS9" s="73">
        <f t="shared" si="20"/>
        <v>32.473400883348582</v>
      </c>
      <c r="BT9" s="73">
        <f t="shared" si="21"/>
        <v>32.502412045944837</v>
      </c>
      <c r="BU9" s="73">
        <f t="shared" si="22"/>
        <v>32.079001230684248</v>
      </c>
      <c r="BV9" s="73">
        <f t="shared" si="23"/>
        <v>36.05087439507912</v>
      </c>
      <c r="BW9" s="73">
        <f t="shared" si="24"/>
        <v>32.118062630922928</v>
      </c>
      <c r="BY9" s="41">
        <f>$AK$135</f>
        <v>3917198.8800000069</v>
      </c>
      <c r="BZ9" s="41">
        <f>$AK$90</f>
        <v>0</v>
      </c>
      <c r="CA9" s="41">
        <f t="shared" ref="CA9:CA43" si="28">+BY9-BZ9</f>
        <v>3917198.8800000069</v>
      </c>
      <c r="CC9" s="2"/>
      <c r="CD9" s="2"/>
      <c r="CM9" s="30" t="s">
        <v>74</v>
      </c>
      <c r="CN9" s="30"/>
      <c r="CO9" s="30">
        <f t="shared" si="2"/>
        <v>-1</v>
      </c>
      <c r="CP9" s="31">
        <f t="shared" si="0"/>
        <v>0</v>
      </c>
    </row>
    <row r="10" spans="1:94" x14ac:dyDescent="0.2">
      <c r="A10" s="568" t="s">
        <v>980</v>
      </c>
      <c r="B10" s="6"/>
      <c r="C10" s="612">
        <v>384948.11000000045</v>
      </c>
      <c r="D10" s="612">
        <v>627407.68000000156</v>
      </c>
      <c r="E10" s="612">
        <v>596715.72999999986</v>
      </c>
      <c r="F10" s="612">
        <v>1001231.430000001</v>
      </c>
      <c r="G10" s="612">
        <v>615885.9500000024</v>
      </c>
      <c r="H10" s="612">
        <v>844754.19999999914</v>
      </c>
      <c r="I10" s="612">
        <v>816425.58000000066</v>
      </c>
      <c r="J10" s="612">
        <v>561903.93000000063</v>
      </c>
      <c r="K10" s="612">
        <v>1496170.3100000024</v>
      </c>
      <c r="L10" s="612">
        <v>533081.02999999851</v>
      </c>
      <c r="M10" s="612">
        <v>531430.7999999983</v>
      </c>
      <c r="N10" s="612">
        <v>641449.8699999993</v>
      </c>
      <c r="O10" s="612">
        <v>745463.93</v>
      </c>
      <c r="P10" s="612">
        <v>582132.38</v>
      </c>
      <c r="Q10" s="612">
        <v>1374305.200000002</v>
      </c>
      <c r="R10" s="612">
        <v>556771.74000000011</v>
      </c>
      <c r="S10" s="612">
        <v>747658.6600000012</v>
      </c>
      <c r="T10" s="612">
        <v>811926.48000000091</v>
      </c>
      <c r="U10" s="612">
        <v>885540.47999999777</v>
      </c>
      <c r="V10" s="612">
        <v>657114.17000000086</v>
      </c>
      <c r="W10" s="612">
        <v>569557.47</v>
      </c>
      <c r="X10" s="612">
        <v>610231.52999999945</v>
      </c>
      <c r="Y10" s="612">
        <v>364210.90999999986</v>
      </c>
      <c r="Z10" s="612">
        <v>808906.15999999794</v>
      </c>
      <c r="AA10" s="612">
        <v>551885.75000000058</v>
      </c>
      <c r="AB10" s="612">
        <v>745197.42999999842</v>
      </c>
      <c r="AC10" s="612">
        <v>870705.03999999864</v>
      </c>
      <c r="AD10" s="612">
        <v>829792.25999999954</v>
      </c>
      <c r="AE10" s="612">
        <v>944303.00999999861</v>
      </c>
      <c r="AF10" s="612">
        <v>770673.78999999992</v>
      </c>
      <c r="AG10" s="612">
        <v>749094.5699999996</v>
      </c>
      <c r="AH10" s="612">
        <v>869260.83999999915</v>
      </c>
      <c r="AI10" s="612">
        <v>816355.15000000014</v>
      </c>
      <c r="AJ10" s="612">
        <v>881944.20000000007</v>
      </c>
      <c r="AK10" s="612">
        <v>0</v>
      </c>
      <c r="AL10" s="612">
        <v>0</v>
      </c>
      <c r="AM10" s="4"/>
      <c r="AN10" s="40">
        <f t="shared" si="25"/>
        <v>45292</v>
      </c>
      <c r="AO10" s="6">
        <v>164688</v>
      </c>
      <c r="AP10" s="6"/>
      <c r="AQ10" s="6">
        <v>0</v>
      </c>
      <c r="AR10" s="6">
        <v>0</v>
      </c>
      <c r="AS10" s="184">
        <v>0</v>
      </c>
      <c r="AT10" s="2">
        <f t="shared" si="3"/>
        <v>1</v>
      </c>
      <c r="AU10" s="2">
        <f>IF((AND(AT10=0,SUM(AT$8:AT10)=0)),1,0)</f>
        <v>0</v>
      </c>
      <c r="AV10" s="371">
        <f t="shared" si="26"/>
        <v>45292</v>
      </c>
      <c r="AW10" s="372">
        <f t="shared" si="4"/>
        <v>0.87909387335932276</v>
      </c>
      <c r="AX10" s="372">
        <f t="shared" si="5"/>
        <v>0.87409588137181282</v>
      </c>
      <c r="AY10" s="372">
        <f t="shared" si="6"/>
        <v>0.87820248963569991</v>
      </c>
      <c r="AZ10" s="372">
        <f t="shared" si="7"/>
        <v>0.80586142120701187</v>
      </c>
      <c r="BA10" s="372">
        <f t="shared" si="8"/>
        <v>0.87659549430297368</v>
      </c>
      <c r="BB10" s="372">
        <f t="shared" si="9"/>
        <v>0.88166185284618559</v>
      </c>
      <c r="BC10" s="373">
        <v>1</v>
      </c>
      <c r="BD10" s="373">
        <v>2</v>
      </c>
      <c r="BE10" s="372">
        <f t="shared" si="10"/>
        <v>0.87909387335932265</v>
      </c>
      <c r="BF10" s="372">
        <f t="shared" si="11"/>
        <v>0.8740958813718126</v>
      </c>
      <c r="BG10" s="372">
        <f t="shared" si="12"/>
        <v>0.87820248963569991</v>
      </c>
      <c r="BH10" s="372">
        <f t="shared" si="13"/>
        <v>0.80586142120701187</v>
      </c>
      <c r="BI10" s="372">
        <f t="shared" si="14"/>
        <v>0.87659549430297357</v>
      </c>
      <c r="BJ10" s="372">
        <f t="shared" si="15"/>
        <v>0.88166185284618581</v>
      </c>
      <c r="BK10" s="7"/>
      <c r="BL10" s="41">
        <f t="shared" si="16"/>
        <v>164688</v>
      </c>
      <c r="BM10" s="41">
        <f>$AJ$135</f>
        <v>5174161.2699999912</v>
      </c>
      <c r="BN10" s="15">
        <f t="shared" si="17"/>
        <v>0.87409588137181282</v>
      </c>
      <c r="BO10" s="41">
        <f t="shared" si="27"/>
        <v>5919443.5991159491</v>
      </c>
      <c r="BP10" s="41">
        <f t="shared" si="18"/>
        <v>745282.32911595795</v>
      </c>
      <c r="BQ10" s="73">
        <f t="shared" si="19"/>
        <v>35.943381418900884</v>
      </c>
      <c r="BR10" s="7"/>
      <c r="BS10" s="73">
        <f t="shared" si="20"/>
        <v>35.739029258364035</v>
      </c>
      <c r="BT10" s="73">
        <f t="shared" si="21"/>
        <v>35.943381418900884</v>
      </c>
      <c r="BU10" s="73">
        <f t="shared" si="22"/>
        <v>35.775304706629051</v>
      </c>
      <c r="BV10" s="73">
        <f t="shared" si="23"/>
        <v>38.986804472883037</v>
      </c>
      <c r="BW10" s="73">
        <f t="shared" si="24"/>
        <v>35.634933687347107</v>
      </c>
      <c r="BY10" s="41">
        <f>$AJ$135</f>
        <v>5174161.2699999912</v>
      </c>
      <c r="BZ10" s="41">
        <f>$AJ$90</f>
        <v>0</v>
      </c>
      <c r="CA10" s="41">
        <f t="shared" si="28"/>
        <v>5174161.2699999912</v>
      </c>
      <c r="CC10" s="2"/>
      <c r="CM10" s="170" t="s">
        <v>418</v>
      </c>
      <c r="CN10" s="30"/>
      <c r="CO10" s="30">
        <f t="shared" si="2"/>
        <v>0</v>
      </c>
      <c r="CP10" s="31">
        <f t="shared" si="0"/>
        <v>1</v>
      </c>
    </row>
    <row r="11" spans="1:94" x14ac:dyDescent="0.2">
      <c r="A11" s="568" t="s">
        <v>981</v>
      </c>
      <c r="B11" s="6"/>
      <c r="C11" s="612">
        <v>283636.45000000048</v>
      </c>
      <c r="D11" s="612">
        <v>618091.03000000096</v>
      </c>
      <c r="E11" s="612">
        <v>519326.37000000104</v>
      </c>
      <c r="F11" s="612">
        <v>256809.41</v>
      </c>
      <c r="G11" s="612">
        <v>392661.27000000031</v>
      </c>
      <c r="H11" s="612">
        <v>387046.20000000024</v>
      </c>
      <c r="I11" s="612">
        <v>310362.90000000043</v>
      </c>
      <c r="J11" s="612">
        <v>483164.49000000051</v>
      </c>
      <c r="K11" s="612">
        <v>625960.93000000063</v>
      </c>
      <c r="L11" s="612">
        <v>221827.32999999975</v>
      </c>
      <c r="M11" s="612">
        <v>235869.58</v>
      </c>
      <c r="N11" s="612">
        <v>441419.09</v>
      </c>
      <c r="O11" s="612">
        <v>372988.69999999995</v>
      </c>
      <c r="P11" s="612">
        <v>853292.39999999956</v>
      </c>
      <c r="Q11" s="612">
        <v>212229.80999999979</v>
      </c>
      <c r="R11" s="612">
        <v>177541.98000000004</v>
      </c>
      <c r="S11" s="612">
        <v>268101.52999999997</v>
      </c>
      <c r="T11" s="612">
        <v>257047.02</v>
      </c>
      <c r="U11" s="612">
        <v>244718.97999999978</v>
      </c>
      <c r="V11" s="612">
        <v>224152.60000000006</v>
      </c>
      <c r="W11" s="612">
        <v>213661.85</v>
      </c>
      <c r="X11" s="612">
        <v>168979.31</v>
      </c>
      <c r="Y11" s="612">
        <v>216013.18000000025</v>
      </c>
      <c r="Z11" s="612">
        <v>207772.22999999995</v>
      </c>
      <c r="AA11" s="612">
        <v>233207.63000000003</v>
      </c>
      <c r="AB11" s="612">
        <v>229482.60999999984</v>
      </c>
      <c r="AC11" s="612">
        <v>327744.90999999992</v>
      </c>
      <c r="AD11" s="612">
        <v>286987.93</v>
      </c>
      <c r="AE11" s="612">
        <v>366792.27000000019</v>
      </c>
      <c r="AF11" s="612">
        <v>259602.97000000018</v>
      </c>
      <c r="AG11" s="612">
        <v>363366.3899999999</v>
      </c>
      <c r="AH11" s="612">
        <v>387479.13999999984</v>
      </c>
      <c r="AI11" s="612">
        <v>237196.05</v>
      </c>
      <c r="AJ11" s="612">
        <v>0</v>
      </c>
      <c r="AK11" s="612">
        <v>0</v>
      </c>
      <c r="AL11" s="612">
        <v>0</v>
      </c>
      <c r="AM11" s="4"/>
      <c r="AN11" s="40">
        <f t="shared" si="25"/>
        <v>45261</v>
      </c>
      <c r="AO11" s="6">
        <v>143536</v>
      </c>
      <c r="AP11" s="6"/>
      <c r="AQ11" s="6">
        <v>0</v>
      </c>
      <c r="AR11" s="6">
        <v>0</v>
      </c>
      <c r="AS11" s="184">
        <v>0</v>
      </c>
      <c r="AT11" s="2">
        <f t="shared" si="3"/>
        <v>1</v>
      </c>
      <c r="AU11" s="2">
        <f>IF((AND(AT11=0,SUM(AT$8:AT11)=0)),1,0)</f>
        <v>0</v>
      </c>
      <c r="AV11" s="371">
        <f t="shared" si="26"/>
        <v>45261</v>
      </c>
      <c r="AW11" s="372">
        <f t="shared" si="4"/>
        <v>0.93383202622570205</v>
      </c>
      <c r="AX11" s="372">
        <f t="shared" si="5"/>
        <v>0.92837614609871677</v>
      </c>
      <c r="AY11" s="372">
        <f t="shared" si="6"/>
        <v>0.92758925354060517</v>
      </c>
      <c r="AZ11" s="372">
        <f t="shared" si="7"/>
        <v>0.87266317835254281</v>
      </c>
      <c r="BA11" s="372">
        <f t="shared" si="8"/>
        <v>0.93173196095385558</v>
      </c>
      <c r="BB11" s="372">
        <f t="shared" si="9"/>
        <v>0.93111555708440763</v>
      </c>
      <c r="BC11" s="373">
        <v>1</v>
      </c>
      <c r="BD11" s="373">
        <v>2</v>
      </c>
      <c r="BE11" s="372">
        <f t="shared" si="10"/>
        <v>0.93383202622570194</v>
      </c>
      <c r="BF11" s="372">
        <f t="shared" si="11"/>
        <v>0.92837614609871655</v>
      </c>
      <c r="BG11" s="372">
        <f t="shared" si="12"/>
        <v>0.92758925354060517</v>
      </c>
      <c r="BH11" s="372">
        <f t="shared" si="13"/>
        <v>0.87266317835254292</v>
      </c>
      <c r="BI11" s="372">
        <f t="shared" si="14"/>
        <v>0.93173196095385546</v>
      </c>
      <c r="BJ11" s="372">
        <f t="shared" si="15"/>
        <v>0.93111555708440785</v>
      </c>
      <c r="BK11" s="7"/>
      <c r="BL11" s="41">
        <f t="shared" si="16"/>
        <v>143536</v>
      </c>
      <c r="BM11" s="41">
        <f>$AI$135</f>
        <v>5294588.3699999973</v>
      </c>
      <c r="BN11" s="15">
        <f t="shared" si="17"/>
        <v>0.92837614609871677</v>
      </c>
      <c r="BO11" s="41">
        <f t="shared" si="27"/>
        <v>5703063.7767345319</v>
      </c>
      <c r="BP11" s="41">
        <f t="shared" si="18"/>
        <v>408475.40673453454</v>
      </c>
      <c r="BQ11" s="73">
        <f t="shared" si="19"/>
        <v>39.732636946372558</v>
      </c>
      <c r="BR11" s="7"/>
      <c r="BS11" s="73">
        <f t="shared" si="20"/>
        <v>39.500500439784126</v>
      </c>
      <c r="BT11" s="73">
        <f t="shared" si="21"/>
        <v>39.732636946372558</v>
      </c>
      <c r="BU11" s="73">
        <f t="shared" si="22"/>
        <v>39.766342938769419</v>
      </c>
      <c r="BV11" s="73">
        <f t="shared" si="23"/>
        <v>42.269266399264893</v>
      </c>
      <c r="BW11" s="73">
        <f t="shared" si="24"/>
        <v>39.615740583388167</v>
      </c>
      <c r="BY11" s="41">
        <f>$AI$135</f>
        <v>5294588.3699999973</v>
      </c>
      <c r="BZ11" s="41">
        <f>$AI$90</f>
        <v>0</v>
      </c>
      <c r="CA11" s="41">
        <f t="shared" si="28"/>
        <v>5294588.3699999973</v>
      </c>
      <c r="CM11" s="32" t="s">
        <v>75</v>
      </c>
      <c r="CN11" s="30"/>
      <c r="CO11" s="30">
        <f t="shared" si="2"/>
        <v>1</v>
      </c>
      <c r="CP11" s="31">
        <f t="shared" si="0"/>
        <v>0</v>
      </c>
    </row>
    <row r="12" spans="1:94" x14ac:dyDescent="0.2">
      <c r="A12" s="568" t="s">
        <v>982</v>
      </c>
      <c r="B12" s="6"/>
      <c r="C12" s="612">
        <v>249566.07</v>
      </c>
      <c r="D12" s="612">
        <v>225719.12</v>
      </c>
      <c r="E12" s="612">
        <v>159638.32</v>
      </c>
      <c r="F12" s="612">
        <v>233792.84000000005</v>
      </c>
      <c r="G12" s="612">
        <v>313574.20000000013</v>
      </c>
      <c r="H12" s="612">
        <v>155402.57000000004</v>
      </c>
      <c r="I12" s="612">
        <v>197300.17999999988</v>
      </c>
      <c r="J12" s="612">
        <v>283335.41999999993</v>
      </c>
      <c r="K12" s="612">
        <v>231420.29999999996</v>
      </c>
      <c r="L12" s="612">
        <v>202080.34999999998</v>
      </c>
      <c r="M12" s="612">
        <v>222361.77</v>
      </c>
      <c r="N12" s="612">
        <v>389927.51</v>
      </c>
      <c r="O12" s="612">
        <v>525706.62000000081</v>
      </c>
      <c r="P12" s="612">
        <v>147109.42000000004</v>
      </c>
      <c r="Q12" s="612">
        <v>65574.23000000001</v>
      </c>
      <c r="R12" s="612">
        <v>100650.81000000004</v>
      </c>
      <c r="S12" s="612">
        <v>59735.829999999973</v>
      </c>
      <c r="T12" s="612">
        <v>55511.8</v>
      </c>
      <c r="U12" s="612">
        <v>93089.02999999997</v>
      </c>
      <c r="V12" s="612">
        <v>71604.140000000058</v>
      </c>
      <c r="W12" s="612">
        <v>54808.880000000005</v>
      </c>
      <c r="X12" s="612">
        <v>94009.179999999906</v>
      </c>
      <c r="Y12" s="612">
        <v>54008.669999999976</v>
      </c>
      <c r="Z12" s="612">
        <v>97006.240000000049</v>
      </c>
      <c r="AA12" s="612">
        <v>72375.95</v>
      </c>
      <c r="AB12" s="612">
        <v>117515.27000000003</v>
      </c>
      <c r="AC12" s="612">
        <v>144581.30999999997</v>
      </c>
      <c r="AD12" s="612">
        <v>82527.359999999986</v>
      </c>
      <c r="AE12" s="612">
        <v>94653.21</v>
      </c>
      <c r="AF12" s="612">
        <v>80601.77999999997</v>
      </c>
      <c r="AG12" s="612">
        <v>175276.6399999999</v>
      </c>
      <c r="AH12" s="612">
        <v>100495.20000000001</v>
      </c>
      <c r="AI12" s="612">
        <v>0</v>
      </c>
      <c r="AJ12" s="612">
        <v>0</v>
      </c>
      <c r="AK12" s="612">
        <v>0</v>
      </c>
      <c r="AL12" s="612">
        <v>0</v>
      </c>
      <c r="AM12" s="4"/>
      <c r="AN12" s="40">
        <f t="shared" si="25"/>
        <v>45231</v>
      </c>
      <c r="AO12" s="6">
        <v>142616</v>
      </c>
      <c r="AP12" s="6"/>
      <c r="AQ12" s="6">
        <v>0</v>
      </c>
      <c r="AR12" s="6">
        <v>0</v>
      </c>
      <c r="AS12" s="184">
        <v>0</v>
      </c>
      <c r="AT12" s="2">
        <f t="shared" si="3"/>
        <v>1</v>
      </c>
      <c r="AU12" s="2">
        <f>IF((AND(AT12=0,SUM(AT$8:AT12)=0)),1,0)</f>
        <v>0</v>
      </c>
      <c r="AV12" s="371">
        <f t="shared" si="26"/>
        <v>45231</v>
      </c>
      <c r="AW12" s="372">
        <f t="shared" si="4"/>
        <v>0.95356844093311832</v>
      </c>
      <c r="AX12" s="372">
        <f t="shared" si="5"/>
        <v>0.94777800665301637</v>
      </c>
      <c r="AY12" s="372">
        <f t="shared" si="6"/>
        <v>0.94524790181229301</v>
      </c>
      <c r="AZ12" s="372">
        <f t="shared" si="7"/>
        <v>0.90617230927349479</v>
      </c>
      <c r="BA12" s="372">
        <f t="shared" si="8"/>
        <v>0.9503565314888569</v>
      </c>
      <c r="BB12" s="372">
        <f t="shared" si="9"/>
        <v>0.94856143575069685</v>
      </c>
      <c r="BC12" s="373">
        <v>1</v>
      </c>
      <c r="BD12" s="373">
        <v>2</v>
      </c>
      <c r="BE12" s="372">
        <f t="shared" si="10"/>
        <v>0.95356844093311821</v>
      </c>
      <c r="BF12" s="372">
        <f t="shared" si="11"/>
        <v>0.94777800665301615</v>
      </c>
      <c r="BG12" s="372">
        <f t="shared" si="12"/>
        <v>0.94524790181229301</v>
      </c>
      <c r="BH12" s="372">
        <f t="shared" si="13"/>
        <v>0.9061723092734949</v>
      </c>
      <c r="BI12" s="372">
        <f t="shared" si="14"/>
        <v>0.95035653148885679</v>
      </c>
      <c r="BJ12" s="372">
        <f t="shared" si="15"/>
        <v>0.94856143575069707</v>
      </c>
      <c r="BK12" s="7"/>
      <c r="BL12" s="41">
        <f t="shared" si="16"/>
        <v>142616</v>
      </c>
      <c r="BM12" s="41">
        <f>$AH$135</f>
        <v>5691598.2099999804</v>
      </c>
      <c r="BN12" s="15">
        <f t="shared" si="17"/>
        <v>0.94777800665301637</v>
      </c>
      <c r="BO12" s="41">
        <f t="shared" si="27"/>
        <v>6005201.8194632865</v>
      </c>
      <c r="BP12" s="41">
        <f t="shared" si="18"/>
        <v>313603.60946330614</v>
      </c>
      <c r="BQ12" s="73">
        <f t="shared" si="19"/>
        <v>42.107490179666286</v>
      </c>
      <c r="BR12" s="7"/>
      <c r="BS12" s="73">
        <f t="shared" si="20"/>
        <v>41.851797306329573</v>
      </c>
      <c r="BT12" s="73">
        <f t="shared" si="21"/>
        <v>42.107490179666286</v>
      </c>
      <c r="BU12" s="73">
        <f t="shared" si="22"/>
        <v>42.220197507056298</v>
      </c>
      <c r="BV12" s="73">
        <f t="shared" si="23"/>
        <v>44.040799635161484</v>
      </c>
      <c r="BW12" s="73">
        <f t="shared" si="24"/>
        <v>42.072713061607566</v>
      </c>
      <c r="BY12" s="41">
        <f>$AH$135</f>
        <v>5691598.2099999804</v>
      </c>
      <c r="BZ12" s="41">
        <f>$AH$90</f>
        <v>0</v>
      </c>
      <c r="CA12" s="41">
        <f t="shared" si="28"/>
        <v>5691598.2099999804</v>
      </c>
      <c r="CM12" s="170" t="s">
        <v>419</v>
      </c>
      <c r="CN12" s="30"/>
      <c r="CO12" s="30">
        <f t="shared" si="2"/>
        <v>2</v>
      </c>
      <c r="CP12" s="31">
        <f t="shared" si="0"/>
        <v>0</v>
      </c>
    </row>
    <row r="13" spans="1:94" x14ac:dyDescent="0.2">
      <c r="A13" s="568" t="s">
        <v>983</v>
      </c>
      <c r="B13" s="6"/>
      <c r="C13" s="612">
        <v>117950.63000000002</v>
      </c>
      <c r="D13" s="612">
        <v>175195.61000000002</v>
      </c>
      <c r="E13" s="612">
        <v>214118.26000000004</v>
      </c>
      <c r="F13" s="612">
        <v>253619.9200000001</v>
      </c>
      <c r="G13" s="612">
        <v>94808.43</v>
      </c>
      <c r="H13" s="612">
        <v>104640.74999999997</v>
      </c>
      <c r="I13" s="612">
        <v>148557.34000000003</v>
      </c>
      <c r="J13" s="612">
        <v>97611.849999999991</v>
      </c>
      <c r="K13" s="612">
        <v>156945.78000000003</v>
      </c>
      <c r="L13" s="612">
        <v>161177.35000000006</v>
      </c>
      <c r="M13" s="612">
        <v>270225.46999999986</v>
      </c>
      <c r="N13" s="612">
        <v>397715.65000000061</v>
      </c>
      <c r="O13" s="612">
        <v>112856.45</v>
      </c>
      <c r="P13" s="612">
        <v>29926.66</v>
      </c>
      <c r="Q13" s="612">
        <v>46928.47</v>
      </c>
      <c r="R13" s="612">
        <v>37886.569999999992</v>
      </c>
      <c r="S13" s="612">
        <v>34843.109999999993</v>
      </c>
      <c r="T13" s="612">
        <v>76160.38</v>
      </c>
      <c r="U13" s="612">
        <v>37718.999999999993</v>
      </c>
      <c r="V13" s="612">
        <v>26315.17</v>
      </c>
      <c r="W13" s="612">
        <v>50840.420000000006</v>
      </c>
      <c r="X13" s="612">
        <v>26891.380000000008</v>
      </c>
      <c r="Y13" s="612">
        <v>61651.669999999991</v>
      </c>
      <c r="Z13" s="612">
        <v>66017.98000000001</v>
      </c>
      <c r="AA13" s="612">
        <v>52051.299999999988</v>
      </c>
      <c r="AB13" s="612">
        <v>57715.440000000024</v>
      </c>
      <c r="AC13" s="612">
        <v>66361.779999999984</v>
      </c>
      <c r="AD13" s="612">
        <v>28129.430000000004</v>
      </c>
      <c r="AE13" s="612">
        <v>43231.13</v>
      </c>
      <c r="AF13" s="612">
        <v>54993.280000000021</v>
      </c>
      <c r="AG13" s="612">
        <v>58795.200000000019</v>
      </c>
      <c r="AH13" s="612">
        <v>0</v>
      </c>
      <c r="AI13" s="612">
        <v>0</v>
      </c>
      <c r="AJ13" s="612">
        <v>0</v>
      </c>
      <c r="AK13" s="612">
        <v>0</v>
      </c>
      <c r="AL13" s="612">
        <v>0</v>
      </c>
      <c r="AM13" s="4"/>
      <c r="AN13" s="40">
        <f t="shared" si="25"/>
        <v>45200</v>
      </c>
      <c r="AO13" s="6">
        <v>140994</v>
      </c>
      <c r="AP13" s="6"/>
      <c r="AQ13" s="6">
        <v>0</v>
      </c>
      <c r="AR13" s="6">
        <v>0</v>
      </c>
      <c r="AS13" s="184">
        <v>0</v>
      </c>
      <c r="AT13" s="2">
        <f t="shared" si="3"/>
        <v>1</v>
      </c>
      <c r="AU13" s="2">
        <f>IF((AND(AT13=0,SUM(AT$8:AT13)=0)),1,0)</f>
        <v>0</v>
      </c>
      <c r="AV13" s="371">
        <f t="shared" si="26"/>
        <v>45200</v>
      </c>
      <c r="AW13" s="372">
        <f t="shared" si="4"/>
        <v>0.96242769045952814</v>
      </c>
      <c r="AX13" s="372">
        <f t="shared" si="5"/>
        <v>0.95685483322655829</v>
      </c>
      <c r="AY13" s="372">
        <f t="shared" si="6"/>
        <v>0.95442563316371398</v>
      </c>
      <c r="AZ13" s="372">
        <f t="shared" si="7"/>
        <v>0.92793683044965436</v>
      </c>
      <c r="BA13" s="372">
        <f t="shared" si="8"/>
        <v>0.95967013465751694</v>
      </c>
      <c r="BB13" s="372">
        <f t="shared" si="9"/>
        <v>0.95780885209330213</v>
      </c>
      <c r="BC13" s="373">
        <v>1</v>
      </c>
      <c r="BD13" s="373">
        <v>2</v>
      </c>
      <c r="BE13" s="372">
        <f t="shared" si="10"/>
        <v>0.96242769045952803</v>
      </c>
      <c r="BF13" s="372">
        <f t="shared" si="11"/>
        <v>0.95685483322655807</v>
      </c>
      <c r="BG13" s="372">
        <f t="shared" si="12"/>
        <v>0.95442563316371398</v>
      </c>
      <c r="BH13" s="372">
        <f t="shared" si="13"/>
        <v>0.92793683044965447</v>
      </c>
      <c r="BI13" s="372">
        <f t="shared" si="14"/>
        <v>0.95967013465751683</v>
      </c>
      <c r="BJ13" s="372">
        <f t="shared" si="15"/>
        <v>0.95780885209330235</v>
      </c>
      <c r="BK13" s="7"/>
      <c r="BL13" s="41">
        <f t="shared" si="16"/>
        <v>140994</v>
      </c>
      <c r="BM13" s="41">
        <f>$AG$135</f>
        <v>6118778.3800000018</v>
      </c>
      <c r="BN13" s="15">
        <f t="shared" si="17"/>
        <v>0.95685483322655829</v>
      </c>
      <c r="BO13" s="41">
        <f t="shared" si="27"/>
        <v>6394677.8210517066</v>
      </c>
      <c r="BP13" s="41">
        <f t="shared" si="18"/>
        <v>275899.44105170481</v>
      </c>
      <c r="BQ13" s="73">
        <f t="shared" si="19"/>
        <v>45.354254940293252</v>
      </c>
      <c r="BR13" s="7"/>
      <c r="BS13" s="73">
        <f t="shared" si="20"/>
        <v>45.091634911593445</v>
      </c>
      <c r="BT13" s="73">
        <f t="shared" si="21"/>
        <v>45.354254940293252</v>
      </c>
      <c r="BU13" s="73">
        <f t="shared" si="22"/>
        <v>45.469690397098837</v>
      </c>
      <c r="BV13" s="73">
        <f t="shared" si="23"/>
        <v>46.767664158755096</v>
      </c>
      <c r="BW13" s="73">
        <f t="shared" si="24"/>
        <v>45.30908014909604</v>
      </c>
      <c r="BY13" s="41">
        <f>$AG$135</f>
        <v>6118778.3800000018</v>
      </c>
      <c r="BZ13" s="41">
        <f>$AG$90</f>
        <v>0</v>
      </c>
      <c r="CA13" s="41">
        <f t="shared" si="28"/>
        <v>6118778.3800000018</v>
      </c>
      <c r="CM13" s="170" t="s">
        <v>420</v>
      </c>
      <c r="CN13" s="30"/>
      <c r="CO13" s="30">
        <f t="shared" si="2"/>
        <v>3</v>
      </c>
      <c r="CP13" s="31">
        <f t="shared" si="0"/>
        <v>0</v>
      </c>
    </row>
    <row r="14" spans="1:94" x14ac:dyDescent="0.2">
      <c r="A14" s="568" t="s">
        <v>984</v>
      </c>
      <c r="B14" s="6"/>
      <c r="C14" s="612">
        <v>54223.759999999995</v>
      </c>
      <c r="D14" s="612">
        <v>123558.89000000009</v>
      </c>
      <c r="E14" s="612">
        <v>208898.15000000011</v>
      </c>
      <c r="F14" s="612">
        <v>46933.21</v>
      </c>
      <c r="G14" s="612">
        <v>51664.680000000008</v>
      </c>
      <c r="H14" s="612">
        <v>117788.48</v>
      </c>
      <c r="I14" s="612">
        <v>94778.499999999956</v>
      </c>
      <c r="J14" s="612">
        <v>98077.780000000057</v>
      </c>
      <c r="K14" s="612">
        <v>142738.95000000004</v>
      </c>
      <c r="L14" s="612">
        <v>239041.68000000025</v>
      </c>
      <c r="M14" s="612">
        <v>153647.15999999992</v>
      </c>
      <c r="N14" s="612">
        <v>108033.9</v>
      </c>
      <c r="O14" s="612">
        <v>20298.209999999995</v>
      </c>
      <c r="P14" s="612">
        <v>19074.070000000003</v>
      </c>
      <c r="Q14" s="612">
        <v>20266.999999999989</v>
      </c>
      <c r="R14" s="612">
        <v>32849.020000000004</v>
      </c>
      <c r="S14" s="612">
        <v>29688.259999999995</v>
      </c>
      <c r="T14" s="612">
        <v>28897.820000000018</v>
      </c>
      <c r="U14" s="612">
        <v>30750.950000000008</v>
      </c>
      <c r="V14" s="612">
        <v>59013.299999999996</v>
      </c>
      <c r="W14" s="612">
        <v>21873.51999999999</v>
      </c>
      <c r="X14" s="612">
        <v>56267.350000000013</v>
      </c>
      <c r="Y14" s="612">
        <v>40859.609999999971</v>
      </c>
      <c r="Z14" s="612">
        <v>83414.150000000009</v>
      </c>
      <c r="AA14" s="612">
        <v>38585.930000000015</v>
      </c>
      <c r="AB14" s="612">
        <v>26476.789999999986</v>
      </c>
      <c r="AC14" s="612">
        <v>49718.360000000022</v>
      </c>
      <c r="AD14" s="612">
        <v>41756.590000000018</v>
      </c>
      <c r="AE14" s="612">
        <v>44455.12000000001</v>
      </c>
      <c r="AF14" s="612">
        <v>27907.89000000001</v>
      </c>
      <c r="AG14" s="612">
        <v>0</v>
      </c>
      <c r="AH14" s="612">
        <v>0</v>
      </c>
      <c r="AI14" s="612">
        <v>0</v>
      </c>
      <c r="AJ14" s="612">
        <v>0</v>
      </c>
      <c r="AK14" s="612">
        <v>0</v>
      </c>
      <c r="AL14" s="612">
        <v>0</v>
      </c>
      <c r="AM14" s="4"/>
      <c r="AN14" s="40">
        <f t="shared" si="25"/>
        <v>45170</v>
      </c>
      <c r="AO14" s="6">
        <v>138164</v>
      </c>
      <c r="AP14" s="6"/>
      <c r="AQ14" s="6">
        <v>0</v>
      </c>
      <c r="AR14" s="6">
        <v>0</v>
      </c>
      <c r="AS14" s="184">
        <v>0</v>
      </c>
      <c r="AT14" s="2">
        <f t="shared" si="3"/>
        <v>1</v>
      </c>
      <c r="AU14" s="2">
        <f>IF((AND(AT14=0,SUM(AT$8:AT14)=0)),1,0)</f>
        <v>0</v>
      </c>
      <c r="AV14" s="371">
        <f t="shared" si="26"/>
        <v>45170</v>
      </c>
      <c r="AW14" s="372">
        <f t="shared" si="4"/>
        <v>0.96929641614863582</v>
      </c>
      <c r="AX14" s="372">
        <f t="shared" si="5"/>
        <v>0.96398179238062165</v>
      </c>
      <c r="AY14" s="372">
        <f t="shared" si="6"/>
        <v>0.96266732516683329</v>
      </c>
      <c r="AZ14" s="372">
        <f t="shared" si="7"/>
        <v>0.94297653417538729</v>
      </c>
      <c r="BA14" s="372">
        <f t="shared" si="8"/>
        <v>0.96679619254160809</v>
      </c>
      <c r="BB14" s="372">
        <f t="shared" si="9"/>
        <v>0.96587441371815064</v>
      </c>
      <c r="BC14" s="373">
        <v>1</v>
      </c>
      <c r="BD14" s="373">
        <v>2</v>
      </c>
      <c r="BE14" s="372">
        <f t="shared" si="10"/>
        <v>0.96929641614863571</v>
      </c>
      <c r="BF14" s="372">
        <f t="shared" si="11"/>
        <v>0.9641460148233526</v>
      </c>
      <c r="BG14" s="372">
        <f t="shared" si="12"/>
        <v>0.96266732516683329</v>
      </c>
      <c r="BH14" s="372">
        <f t="shared" si="13"/>
        <v>0.9429765341753874</v>
      </c>
      <c r="BI14" s="372">
        <f t="shared" si="14"/>
        <v>0.96679619254160798</v>
      </c>
      <c r="BJ14" s="372">
        <f t="shared" si="15"/>
        <v>0.96587441371815086</v>
      </c>
      <c r="BK14" s="7"/>
      <c r="BL14" s="41">
        <f t="shared" si="16"/>
        <v>138164</v>
      </c>
      <c r="BM14" s="41">
        <f>$AF$135</f>
        <v>5279025.1699999934</v>
      </c>
      <c r="BN14" s="15">
        <f t="shared" si="17"/>
        <v>0.96398179238062165</v>
      </c>
      <c r="BO14" s="41">
        <f t="shared" ref="BO14:BO43" si="29">+BM14/BN14</f>
        <v>5476270.6222521747</v>
      </c>
      <c r="BP14" s="41">
        <f t="shared" si="18"/>
        <v>197245.45225218125</v>
      </c>
      <c r="BQ14" s="73">
        <f t="shared" si="19"/>
        <v>39.636016778988555</v>
      </c>
      <c r="BR14" s="7"/>
      <c r="BS14" s="73">
        <f t="shared" si="20"/>
        <v>39.418693663650927</v>
      </c>
      <c r="BT14" s="73">
        <f t="shared" si="21"/>
        <v>39.636016778988555</v>
      </c>
      <c r="BU14" s="73">
        <f t="shared" si="22"/>
        <v>39.69013749460764</v>
      </c>
      <c r="BV14" s="73">
        <f t="shared" si="23"/>
        <v>40.518928215801473</v>
      </c>
      <c r="BW14" s="73">
        <f t="shared" si="24"/>
        <v>39.558350397081</v>
      </c>
      <c r="BY14" s="41">
        <f>$AF$135</f>
        <v>5279025.1699999934</v>
      </c>
      <c r="BZ14" s="41">
        <f>$AF$90</f>
        <v>0</v>
      </c>
      <c r="CA14" s="41">
        <f t="shared" si="28"/>
        <v>5279025.1699999934</v>
      </c>
      <c r="CM14" s="170" t="s">
        <v>421</v>
      </c>
      <c r="CN14" s="30"/>
      <c r="CO14" s="30">
        <f t="shared" si="2"/>
        <v>4</v>
      </c>
      <c r="CP14" s="31">
        <f t="shared" si="0"/>
        <v>0</v>
      </c>
    </row>
    <row r="15" spans="1:94" x14ac:dyDescent="0.2">
      <c r="A15" s="568" t="s">
        <v>985</v>
      </c>
      <c r="B15" s="6"/>
      <c r="C15" s="612">
        <v>128188.39000000007</v>
      </c>
      <c r="D15" s="612">
        <v>112212.3</v>
      </c>
      <c r="E15" s="612">
        <v>30486.81</v>
      </c>
      <c r="F15" s="612">
        <v>37020.420000000013</v>
      </c>
      <c r="G15" s="612">
        <v>49361.599999999991</v>
      </c>
      <c r="H15" s="612">
        <v>60883.489999999969</v>
      </c>
      <c r="I15" s="612">
        <v>82363.310000000012</v>
      </c>
      <c r="J15" s="612">
        <v>133303.22999999998</v>
      </c>
      <c r="K15" s="612">
        <v>209344.98</v>
      </c>
      <c r="L15" s="612">
        <v>100188.18</v>
      </c>
      <c r="M15" s="612">
        <v>101549.13000000003</v>
      </c>
      <c r="N15" s="612">
        <v>21843.860000000004</v>
      </c>
      <c r="O15" s="612">
        <v>15975.530000000002</v>
      </c>
      <c r="P15" s="612">
        <v>41109.17</v>
      </c>
      <c r="Q15" s="612">
        <v>13863.78999999999</v>
      </c>
      <c r="R15" s="612">
        <v>23737.26</v>
      </c>
      <c r="S15" s="612">
        <v>23484</v>
      </c>
      <c r="T15" s="612">
        <v>21460.61</v>
      </c>
      <c r="U15" s="612">
        <v>31121.819999999989</v>
      </c>
      <c r="V15" s="612">
        <v>34143.060000000005</v>
      </c>
      <c r="W15" s="612">
        <v>47401.729999999996</v>
      </c>
      <c r="X15" s="612">
        <v>39284.479999999974</v>
      </c>
      <c r="Y15" s="612">
        <v>31626.389999999992</v>
      </c>
      <c r="Z15" s="612">
        <v>41029.719999999994</v>
      </c>
      <c r="AA15" s="612">
        <v>18895.140000000007</v>
      </c>
      <c r="AB15" s="612">
        <v>70107.609999999986</v>
      </c>
      <c r="AC15" s="612">
        <v>20368.619999999995</v>
      </c>
      <c r="AD15" s="612">
        <v>39862.419999999991</v>
      </c>
      <c r="AE15" s="612">
        <v>53483.43</v>
      </c>
      <c r="AF15" s="612">
        <v>0</v>
      </c>
      <c r="AG15" s="612">
        <v>0</v>
      </c>
      <c r="AH15" s="612">
        <v>0</v>
      </c>
      <c r="AI15" s="612">
        <v>0</v>
      </c>
      <c r="AJ15" s="612">
        <v>0</v>
      </c>
      <c r="AK15" s="612">
        <v>0</v>
      </c>
      <c r="AL15" s="612">
        <v>0</v>
      </c>
      <c r="AM15" s="4"/>
      <c r="AN15" s="40">
        <f t="shared" si="25"/>
        <v>45139</v>
      </c>
      <c r="AO15" s="6">
        <v>136843</v>
      </c>
      <c r="AP15" s="6"/>
      <c r="AQ15" s="6">
        <v>0</v>
      </c>
      <c r="AR15" s="6">
        <v>0</v>
      </c>
      <c r="AS15" s="184">
        <v>0</v>
      </c>
      <c r="AT15" s="2">
        <f t="shared" si="3"/>
        <v>1</v>
      </c>
      <c r="AU15" s="2">
        <f>IF((AND(AT15=0,SUM(AT$8:AT15)=0)),1,0)</f>
        <v>0</v>
      </c>
      <c r="AV15" s="371">
        <f t="shared" si="26"/>
        <v>45139</v>
      </c>
      <c r="AW15" s="372">
        <f t="shared" si="4"/>
        <v>0.97605994987273759</v>
      </c>
      <c r="AX15" s="372">
        <f t="shared" si="5"/>
        <v>0.97132728101712662</v>
      </c>
      <c r="AY15" s="372">
        <f t="shared" si="6"/>
        <v>0.96975398823719716</v>
      </c>
      <c r="AZ15" s="372">
        <f t="shared" si="7"/>
        <v>0.95481421391443222</v>
      </c>
      <c r="BA15" s="372">
        <f t="shared" si="8"/>
        <v>0.97366947266372528</v>
      </c>
      <c r="BB15" s="372">
        <f t="shared" si="9"/>
        <v>0.97273756151259516</v>
      </c>
      <c r="BC15" s="373">
        <v>1</v>
      </c>
      <c r="BD15" s="373">
        <v>2</v>
      </c>
      <c r="BE15" s="372">
        <f t="shared" si="10"/>
        <v>0.97605994987273748</v>
      </c>
      <c r="BF15" s="372">
        <f t="shared" si="11"/>
        <v>0.9713272810171264</v>
      </c>
      <c r="BG15" s="372">
        <f t="shared" si="12"/>
        <v>0.96975398823719716</v>
      </c>
      <c r="BH15" s="372">
        <f t="shared" si="13"/>
        <v>0.95481421391443233</v>
      </c>
      <c r="BI15" s="372">
        <f t="shared" si="14"/>
        <v>0.97366947266372517</v>
      </c>
      <c r="BJ15" s="372">
        <f t="shared" si="15"/>
        <v>0.97273756151259538</v>
      </c>
      <c r="BK15" s="7"/>
      <c r="BL15" s="41">
        <f t="shared" si="16"/>
        <v>136843</v>
      </c>
      <c r="BM15" s="41">
        <f>$AE$135</f>
        <v>5836334.2899999823</v>
      </c>
      <c r="BN15" s="15">
        <f t="shared" si="17"/>
        <v>0.97132728101712662</v>
      </c>
      <c r="BO15" s="41">
        <f t="shared" si="29"/>
        <v>6008617.6966927741</v>
      </c>
      <c r="BP15" s="41">
        <f t="shared" si="18"/>
        <v>172283.40669279173</v>
      </c>
      <c r="BQ15" s="73">
        <f t="shared" si="19"/>
        <v>43.908842225709563</v>
      </c>
      <c r="BR15" s="7"/>
      <c r="BS15" s="73">
        <f t="shared" si="20"/>
        <v>43.695939309126786</v>
      </c>
      <c r="BT15" s="73">
        <f t="shared" si="21"/>
        <v>43.908842225709563</v>
      </c>
      <c r="BU15" s="73">
        <f t="shared" si="22"/>
        <v>43.98007829721503</v>
      </c>
      <c r="BV15" s="73">
        <f t="shared" si="23"/>
        <v>44.668225200437405</v>
      </c>
      <c r="BW15" s="73">
        <f t="shared" si="24"/>
        <v>43.845182934427307</v>
      </c>
      <c r="BY15" s="41">
        <f>$AE$135</f>
        <v>5836334.2899999823</v>
      </c>
      <c r="BZ15" s="41">
        <f>$AE$90</f>
        <v>0</v>
      </c>
      <c r="CA15" s="41">
        <f t="shared" si="28"/>
        <v>5836334.2899999823</v>
      </c>
      <c r="CM15" s="170" t="s">
        <v>422</v>
      </c>
      <c r="CN15" s="30"/>
      <c r="CO15" s="30">
        <f t="shared" si="2"/>
        <v>5</v>
      </c>
      <c r="CP15" s="31">
        <f t="shared" si="0"/>
        <v>0</v>
      </c>
    </row>
    <row r="16" spans="1:94" x14ac:dyDescent="0.2">
      <c r="A16" s="568" t="s">
        <v>986</v>
      </c>
      <c r="B16" s="6"/>
      <c r="C16" s="612">
        <v>66415.799999999959</v>
      </c>
      <c r="D16" s="612">
        <v>28097.889999999996</v>
      </c>
      <c r="E16" s="612">
        <v>21377.98</v>
      </c>
      <c r="F16" s="612">
        <v>40994.459999999985</v>
      </c>
      <c r="G16" s="612">
        <v>31052.66999999998</v>
      </c>
      <c r="H16" s="612">
        <v>60241.620000000024</v>
      </c>
      <c r="I16" s="612">
        <v>35660.079999999973</v>
      </c>
      <c r="J16" s="612">
        <v>86756.910000000018</v>
      </c>
      <c r="K16" s="612">
        <v>79693.540000000095</v>
      </c>
      <c r="L16" s="612">
        <v>62446.819999999992</v>
      </c>
      <c r="M16" s="612">
        <v>12197.890000000001</v>
      </c>
      <c r="N16" s="612">
        <v>30377.980000000007</v>
      </c>
      <c r="O16" s="612">
        <v>16105.650000000003</v>
      </c>
      <c r="P16" s="612">
        <v>21583.53</v>
      </c>
      <c r="Q16" s="612">
        <v>42578.790000000008</v>
      </c>
      <c r="R16" s="612">
        <v>12622.650000000001</v>
      </c>
      <c r="S16" s="612">
        <v>43138.01999999999</v>
      </c>
      <c r="T16" s="612">
        <v>20744.64</v>
      </c>
      <c r="U16" s="612">
        <v>21381.479999999996</v>
      </c>
      <c r="V16" s="612">
        <v>24542.880000000001</v>
      </c>
      <c r="W16" s="612">
        <v>25122.409999999985</v>
      </c>
      <c r="X16" s="612">
        <v>43562.409999999996</v>
      </c>
      <c r="Y16" s="612">
        <v>27009.11</v>
      </c>
      <c r="Z16" s="612">
        <v>12190.289999999999</v>
      </c>
      <c r="AA16" s="612">
        <v>17742.019999999997</v>
      </c>
      <c r="AB16" s="612">
        <v>24300.709999999988</v>
      </c>
      <c r="AC16" s="612">
        <v>29523.310000000005</v>
      </c>
      <c r="AD16" s="612">
        <v>11458.970000000001</v>
      </c>
      <c r="AE16" s="612">
        <v>0</v>
      </c>
      <c r="AF16" s="612">
        <v>0</v>
      </c>
      <c r="AG16" s="612">
        <v>0</v>
      </c>
      <c r="AH16" s="612">
        <v>0</v>
      </c>
      <c r="AI16" s="612">
        <v>0</v>
      </c>
      <c r="AJ16" s="612">
        <v>0</v>
      </c>
      <c r="AK16" s="612">
        <v>0</v>
      </c>
      <c r="AL16" s="612">
        <v>0</v>
      </c>
      <c r="AM16" s="4"/>
      <c r="AN16" s="40">
        <f t="shared" si="25"/>
        <v>45108</v>
      </c>
      <c r="AO16" s="6">
        <v>136235</v>
      </c>
      <c r="AP16" s="6"/>
      <c r="AQ16" s="6">
        <v>0</v>
      </c>
      <c r="AR16" s="6">
        <v>0</v>
      </c>
      <c r="AS16" s="184">
        <v>0</v>
      </c>
      <c r="AT16" s="2">
        <f t="shared" si="3"/>
        <v>1</v>
      </c>
      <c r="AU16" s="2">
        <f>IF((AND(AT16=0,SUM(AT$8:AT16)=0)),1,0)</f>
        <v>0</v>
      </c>
      <c r="AV16" s="371">
        <f t="shared" si="26"/>
        <v>45108</v>
      </c>
      <c r="AW16" s="372">
        <f t="shared" si="4"/>
        <v>0.98008004829088269</v>
      </c>
      <c r="AX16" s="372">
        <f t="shared" si="5"/>
        <v>0.97521571083726688</v>
      </c>
      <c r="AY16" s="372">
        <f t="shared" si="6"/>
        <v>0.97457072439158232</v>
      </c>
      <c r="AZ16" s="372">
        <f t="shared" si="7"/>
        <v>0.96180874690162388</v>
      </c>
      <c r="BA16" s="372">
        <f t="shared" si="8"/>
        <v>0.9775939472766757</v>
      </c>
      <c r="BB16" s="372">
        <f t="shared" si="9"/>
        <v>0.97737831187969959</v>
      </c>
      <c r="BC16" s="373">
        <v>1</v>
      </c>
      <c r="BD16" s="373">
        <v>2</v>
      </c>
      <c r="BE16" s="372">
        <f t="shared" si="10"/>
        <v>0.98008004829088258</v>
      </c>
      <c r="BF16" s="372">
        <f t="shared" si="11"/>
        <v>0.97521571083726666</v>
      </c>
      <c r="BG16" s="372">
        <f t="shared" si="12"/>
        <v>0.97457072439158232</v>
      </c>
      <c r="BH16" s="372">
        <f t="shared" si="13"/>
        <v>0.96180874690162399</v>
      </c>
      <c r="BI16" s="372">
        <f t="shared" si="14"/>
        <v>0.97759394727667559</v>
      </c>
      <c r="BJ16" s="372">
        <f t="shared" si="15"/>
        <v>0.97737831187969981</v>
      </c>
      <c r="BK16" s="7"/>
      <c r="BL16" s="41">
        <f t="shared" si="16"/>
        <v>136235</v>
      </c>
      <c r="BM16" s="41">
        <f>$AD$135</f>
        <v>5091384.0599999884</v>
      </c>
      <c r="BN16" s="15">
        <f t="shared" si="17"/>
        <v>0.97521571083726688</v>
      </c>
      <c r="BO16" s="41">
        <f t="shared" si="29"/>
        <v>5220777.3146197619</v>
      </c>
      <c r="BP16" s="41">
        <f t="shared" si="18"/>
        <v>129393.25461977348</v>
      </c>
      <c r="BQ16" s="73">
        <f t="shared" si="19"/>
        <v>38.321850586264631</v>
      </c>
      <c r="BR16" s="7"/>
      <c r="BS16" s="73">
        <f t="shared" si="20"/>
        <v>38.131651414856428</v>
      </c>
      <c r="BT16" s="73">
        <f t="shared" si="21"/>
        <v>38.321850586264631</v>
      </c>
      <c r="BU16" s="73">
        <f t="shared" si="22"/>
        <v>38.347212598054099</v>
      </c>
      <c r="BV16" s="73">
        <f t="shared" si="23"/>
        <v>38.856031285298862</v>
      </c>
      <c r="BW16" s="73">
        <f t="shared" si="24"/>
        <v>38.237057550631967</v>
      </c>
      <c r="BY16" s="41">
        <f>$AD$135</f>
        <v>5091384.0599999884</v>
      </c>
      <c r="BZ16" s="41">
        <f>$AD$90</f>
        <v>0</v>
      </c>
      <c r="CA16" s="41">
        <f t="shared" si="28"/>
        <v>5091384.0599999884</v>
      </c>
    </row>
    <row r="17" spans="1:79" x14ac:dyDescent="0.2">
      <c r="A17" s="568" t="s">
        <v>987</v>
      </c>
      <c r="B17" s="6"/>
      <c r="C17" s="612">
        <v>24344.220000000008</v>
      </c>
      <c r="D17" s="612">
        <v>25823.470000000005</v>
      </c>
      <c r="E17" s="612">
        <v>24948.419999999991</v>
      </c>
      <c r="F17" s="612">
        <v>20025.669999999991</v>
      </c>
      <c r="G17" s="612">
        <v>37834.15</v>
      </c>
      <c r="H17" s="612">
        <v>32689.249999999993</v>
      </c>
      <c r="I17" s="612">
        <v>83117.080000000016</v>
      </c>
      <c r="J17" s="612">
        <v>38203.630000000005</v>
      </c>
      <c r="K17" s="612">
        <v>137347.60000000003</v>
      </c>
      <c r="L17" s="612">
        <v>14581.309999999998</v>
      </c>
      <c r="M17" s="612">
        <v>39026.58</v>
      </c>
      <c r="N17" s="612">
        <v>19605.010000000002</v>
      </c>
      <c r="O17" s="612">
        <v>25850.3</v>
      </c>
      <c r="P17" s="612">
        <v>33956.580000000009</v>
      </c>
      <c r="Q17" s="612">
        <v>20105.939999999999</v>
      </c>
      <c r="R17" s="612">
        <v>14530.560000000005</v>
      </c>
      <c r="S17" s="612">
        <v>14950.719999999996</v>
      </c>
      <c r="T17" s="612">
        <v>29663.97</v>
      </c>
      <c r="U17" s="612">
        <v>11403.36</v>
      </c>
      <c r="V17" s="612">
        <v>15943.970000000005</v>
      </c>
      <c r="W17" s="612">
        <v>32086.570000000003</v>
      </c>
      <c r="X17" s="612">
        <v>20941.47</v>
      </c>
      <c r="Y17" s="612">
        <v>15265.830000000002</v>
      </c>
      <c r="Z17" s="612">
        <v>20854.799999999996</v>
      </c>
      <c r="AA17" s="612">
        <v>18008.77</v>
      </c>
      <c r="AB17" s="612">
        <v>20346.299999999992</v>
      </c>
      <c r="AC17" s="612">
        <v>7054.3599999999979</v>
      </c>
      <c r="AD17" s="612">
        <v>0</v>
      </c>
      <c r="AE17" s="612">
        <v>0</v>
      </c>
      <c r="AF17" s="612">
        <v>0</v>
      </c>
      <c r="AG17" s="612">
        <v>0</v>
      </c>
      <c r="AH17" s="612">
        <v>0</v>
      </c>
      <c r="AI17" s="612">
        <v>0</v>
      </c>
      <c r="AJ17" s="612">
        <v>0</v>
      </c>
      <c r="AK17" s="612">
        <v>0</v>
      </c>
      <c r="AL17" s="612">
        <v>0</v>
      </c>
      <c r="AM17" s="4"/>
      <c r="AN17" s="40">
        <f t="shared" si="25"/>
        <v>45078</v>
      </c>
      <c r="AO17" s="6">
        <v>135415</v>
      </c>
      <c r="AP17" s="6"/>
      <c r="AQ17" s="6">
        <v>0</v>
      </c>
      <c r="AR17" s="6">
        <v>0</v>
      </c>
      <c r="AS17" s="184">
        <v>0</v>
      </c>
      <c r="AT17" s="2">
        <f t="shared" si="3"/>
        <v>1</v>
      </c>
      <c r="AU17" s="2">
        <f>IF((AND(AT17=0,SUM(AT$8:AT17)=0)),1,0)</f>
        <v>0</v>
      </c>
      <c r="AV17" s="371">
        <f t="shared" si="26"/>
        <v>45078</v>
      </c>
      <c r="AW17" s="372">
        <f t="shared" si="4"/>
        <v>0.98307841292336984</v>
      </c>
      <c r="AX17" s="372">
        <f t="shared" si="5"/>
        <v>0.97861987373546322</v>
      </c>
      <c r="AY17" s="372">
        <f t="shared" si="6"/>
        <v>0.97812221495946883</v>
      </c>
      <c r="AZ17" s="372">
        <f t="shared" si="7"/>
        <v>0.9678020710325459</v>
      </c>
      <c r="BA17" s="372">
        <f t="shared" si="8"/>
        <v>0.98115334904935636</v>
      </c>
      <c r="BB17" s="372">
        <f t="shared" si="9"/>
        <v>0.98089684997822646</v>
      </c>
      <c r="BC17" s="373">
        <v>1</v>
      </c>
      <c r="BD17" s="373">
        <v>2</v>
      </c>
      <c r="BE17" s="372">
        <f t="shared" si="10"/>
        <v>0.98321760122923363</v>
      </c>
      <c r="BF17" s="372">
        <f t="shared" si="11"/>
        <v>0.97875893635359446</v>
      </c>
      <c r="BG17" s="372">
        <f t="shared" si="12"/>
        <v>0.97812221495946883</v>
      </c>
      <c r="BH17" s="372">
        <f t="shared" si="13"/>
        <v>0.96780207103254601</v>
      </c>
      <c r="BI17" s="372">
        <f t="shared" si="14"/>
        <v>0.98115334904935625</v>
      </c>
      <c r="BJ17" s="372">
        <f t="shared" si="15"/>
        <v>0.98089684997822668</v>
      </c>
      <c r="BK17" s="7"/>
      <c r="BL17" s="41">
        <f t="shared" si="16"/>
        <v>135415</v>
      </c>
      <c r="BM17" s="41">
        <f>$AC$135</f>
        <v>5428880.2999999868</v>
      </c>
      <c r="BN17" s="15">
        <f t="shared" si="17"/>
        <v>0.97861987373546322</v>
      </c>
      <c r="BO17" s="41">
        <f t="shared" si="29"/>
        <v>5547486.2566172462</v>
      </c>
      <c r="BP17" s="41">
        <f t="shared" si="18"/>
        <v>118605.95661725942</v>
      </c>
      <c r="BQ17" s="73">
        <f t="shared" si="19"/>
        <v>40.966556560331178</v>
      </c>
      <c r="BR17" s="7"/>
      <c r="BS17" s="73">
        <f t="shared" si="20"/>
        <v>40.780761617204838</v>
      </c>
      <c r="BT17" s="73">
        <f t="shared" si="21"/>
        <v>40.966556560331178</v>
      </c>
      <c r="BU17" s="73">
        <f t="shared" si="22"/>
        <v>40.987399933564816</v>
      </c>
      <c r="BV17" s="73">
        <f t="shared" si="23"/>
        <v>41.424468502816225</v>
      </c>
      <c r="BW17" s="73">
        <f t="shared" si="24"/>
        <v>40.871460041224438</v>
      </c>
      <c r="BY17" s="41">
        <f>$AC$135</f>
        <v>5428880.2999999868</v>
      </c>
      <c r="BZ17" s="41">
        <f>$AC$90</f>
        <v>0</v>
      </c>
      <c r="CA17" s="41">
        <f t="shared" si="28"/>
        <v>5428880.2999999868</v>
      </c>
    </row>
    <row r="18" spans="1:79" x14ac:dyDescent="0.2">
      <c r="A18" s="568" t="s">
        <v>988</v>
      </c>
      <c r="B18" s="6"/>
      <c r="C18" s="612">
        <v>15868.199999999997</v>
      </c>
      <c r="D18" s="612">
        <v>31266.289999999994</v>
      </c>
      <c r="E18" s="612">
        <v>24451.640000000003</v>
      </c>
      <c r="F18" s="612">
        <v>18050.829999999998</v>
      </c>
      <c r="G18" s="612">
        <v>23555.709999999992</v>
      </c>
      <c r="H18" s="612">
        <v>56938.420000000042</v>
      </c>
      <c r="I18" s="612">
        <v>30757.310000000005</v>
      </c>
      <c r="J18" s="612">
        <v>52309.640000000007</v>
      </c>
      <c r="K18" s="612">
        <v>27507.86</v>
      </c>
      <c r="L18" s="612">
        <v>13398.54</v>
      </c>
      <c r="M18" s="612">
        <v>41677.549999999988</v>
      </c>
      <c r="N18" s="612">
        <v>15954.740000000002</v>
      </c>
      <c r="O18" s="612">
        <v>7436.7100000000009</v>
      </c>
      <c r="P18" s="612">
        <v>20842.900000000001</v>
      </c>
      <c r="Q18" s="612">
        <v>15947.260000000004</v>
      </c>
      <c r="R18" s="612">
        <v>24015.000000000004</v>
      </c>
      <c r="S18" s="612">
        <v>26159.89</v>
      </c>
      <c r="T18" s="612">
        <v>10687.910000000002</v>
      </c>
      <c r="U18" s="612">
        <v>11187.35</v>
      </c>
      <c r="V18" s="612">
        <v>19517.450000000004</v>
      </c>
      <c r="W18" s="612">
        <v>21302.16</v>
      </c>
      <c r="X18" s="612">
        <v>24770.159999999996</v>
      </c>
      <c r="Y18" s="612">
        <v>11678.31</v>
      </c>
      <c r="Z18" s="612">
        <v>15028.939999999995</v>
      </c>
      <c r="AA18" s="612">
        <v>11804.01</v>
      </c>
      <c r="AB18" s="612">
        <v>23773.48</v>
      </c>
      <c r="AC18" s="612">
        <v>0</v>
      </c>
      <c r="AD18" s="612">
        <v>0</v>
      </c>
      <c r="AE18" s="612">
        <v>0</v>
      </c>
      <c r="AF18" s="612">
        <v>0</v>
      </c>
      <c r="AG18" s="612">
        <v>0</v>
      </c>
      <c r="AH18" s="612">
        <v>0</v>
      </c>
      <c r="AI18" s="612">
        <v>0</v>
      </c>
      <c r="AJ18" s="612">
        <v>0</v>
      </c>
      <c r="AK18" s="612">
        <v>0</v>
      </c>
      <c r="AL18" s="612">
        <v>0</v>
      </c>
      <c r="AM18" s="4"/>
      <c r="AN18" s="40">
        <f t="shared" si="25"/>
        <v>45047</v>
      </c>
      <c r="AO18" s="6">
        <v>134465</v>
      </c>
      <c r="AP18" s="6"/>
      <c r="AQ18" s="6">
        <v>0</v>
      </c>
      <c r="AR18" s="6">
        <v>0</v>
      </c>
      <c r="AS18" s="184">
        <v>0</v>
      </c>
      <c r="AT18" s="2">
        <f t="shared" si="3"/>
        <v>1</v>
      </c>
      <c r="AU18" s="2">
        <f>IF((AND(AT18=0,SUM(AT$8:AT18)=0)),1,0)</f>
        <v>0</v>
      </c>
      <c r="AV18" s="371">
        <f t="shared" si="26"/>
        <v>45047</v>
      </c>
      <c r="AW18" s="372">
        <f t="shared" si="4"/>
        <v>0.98622556459580313</v>
      </c>
      <c r="AX18" s="372">
        <f t="shared" si="5"/>
        <v>0.98217546750704832</v>
      </c>
      <c r="AY18" s="372">
        <f t="shared" si="6"/>
        <v>0.98158971719507759</v>
      </c>
      <c r="AZ18" s="372">
        <f t="shared" si="7"/>
        <v>0.97264985576250418</v>
      </c>
      <c r="BA18" s="372">
        <f t="shared" si="8"/>
        <v>0.98455128166856321</v>
      </c>
      <c r="BB18" s="372">
        <f t="shared" si="9"/>
        <v>0.98432951543940195</v>
      </c>
      <c r="BC18" s="373">
        <v>1</v>
      </c>
      <c r="BD18" s="373">
        <v>2</v>
      </c>
      <c r="BE18" s="372">
        <f t="shared" si="10"/>
        <v>0.98622556459580302</v>
      </c>
      <c r="BF18" s="372">
        <f t="shared" si="11"/>
        <v>0.98217546750704821</v>
      </c>
      <c r="BG18" s="372">
        <f t="shared" si="12"/>
        <v>0.98158971719507759</v>
      </c>
      <c r="BH18" s="372">
        <f t="shared" si="13"/>
        <v>0.97288358546460241</v>
      </c>
      <c r="BI18" s="372">
        <f t="shared" si="14"/>
        <v>0.98455128166856309</v>
      </c>
      <c r="BJ18" s="372">
        <f t="shared" si="15"/>
        <v>0.98432951543940217</v>
      </c>
      <c r="BK18" s="7"/>
      <c r="BL18" s="41">
        <f t="shared" si="16"/>
        <v>134465</v>
      </c>
      <c r="BM18" s="41">
        <f>$AB$135</f>
        <v>5316008.1099999975</v>
      </c>
      <c r="BN18" s="15">
        <f t="shared" si="17"/>
        <v>0.98217546750704832</v>
      </c>
      <c r="BO18" s="41">
        <f t="shared" si="29"/>
        <v>5412483.0907180533</v>
      </c>
      <c r="BP18" s="41">
        <f t="shared" si="18"/>
        <v>96474.98071805574</v>
      </c>
      <c r="BQ18" s="73">
        <f t="shared" si="19"/>
        <v>40.251984462261952</v>
      </c>
      <c r="BR18" s="7"/>
      <c r="BS18" s="73">
        <f t="shared" si="20"/>
        <v>40.086683084017892</v>
      </c>
      <c r="BT18" s="73">
        <f t="shared" si="21"/>
        <v>40.251984462261952</v>
      </c>
      <c r="BU18" s="73">
        <f t="shared" si="22"/>
        <v>40.276004286474844</v>
      </c>
      <c r="BV18" s="73">
        <f t="shared" si="23"/>
        <v>40.646190839472943</v>
      </c>
      <c r="BW18" s="73">
        <f t="shared" si="24"/>
        <v>40.163899423111864</v>
      </c>
      <c r="BY18" s="41">
        <f>$AB$135</f>
        <v>5316008.1099999975</v>
      </c>
      <c r="BZ18" s="41">
        <f>$AB$90</f>
        <v>0</v>
      </c>
      <c r="CA18" s="41">
        <f t="shared" si="28"/>
        <v>5316008.1099999975</v>
      </c>
    </row>
    <row r="19" spans="1:79" x14ac:dyDescent="0.2">
      <c r="A19" s="568" t="s">
        <v>989</v>
      </c>
      <c r="B19" s="6"/>
      <c r="C19" s="612">
        <v>32242.159999999993</v>
      </c>
      <c r="D19" s="612">
        <v>14035.879999999996</v>
      </c>
      <c r="E19" s="612">
        <v>16756.98</v>
      </c>
      <c r="F19" s="612">
        <v>18770.080000000002</v>
      </c>
      <c r="G19" s="612">
        <v>97767.12</v>
      </c>
      <c r="H19" s="612">
        <v>29816.069999999996</v>
      </c>
      <c r="I19" s="612">
        <v>86055.019999999975</v>
      </c>
      <c r="J19" s="612">
        <v>29314.379999999997</v>
      </c>
      <c r="K19" s="612">
        <v>50206.26999999999</v>
      </c>
      <c r="L19" s="612">
        <v>13822.419999999998</v>
      </c>
      <c r="M19" s="612">
        <v>25399.709999999985</v>
      </c>
      <c r="N19" s="612">
        <v>5793.01</v>
      </c>
      <c r="O19" s="612">
        <v>42191.049999999988</v>
      </c>
      <c r="P19" s="612">
        <v>14593.910000000005</v>
      </c>
      <c r="Q19" s="612">
        <v>10018.140000000001</v>
      </c>
      <c r="R19" s="612">
        <v>11176.979999999998</v>
      </c>
      <c r="S19" s="612">
        <v>5766.56</v>
      </c>
      <c r="T19" s="612">
        <v>34256.400000000001</v>
      </c>
      <c r="U19" s="612">
        <v>25971.610000000004</v>
      </c>
      <c r="V19" s="612">
        <v>10405.67</v>
      </c>
      <c r="W19" s="612">
        <v>8389.8499999999985</v>
      </c>
      <c r="X19" s="612">
        <v>12622.289999999999</v>
      </c>
      <c r="Y19" s="612">
        <v>7231.2100000000019</v>
      </c>
      <c r="Z19" s="612">
        <v>16286.180000000004</v>
      </c>
      <c r="AA19" s="612">
        <v>5396.0700000000006</v>
      </c>
      <c r="AB19" s="612">
        <v>0</v>
      </c>
      <c r="AC19" s="612">
        <v>0</v>
      </c>
      <c r="AD19" s="612">
        <v>0</v>
      </c>
      <c r="AE19" s="612">
        <v>0</v>
      </c>
      <c r="AF19" s="612">
        <v>0</v>
      </c>
      <c r="AG19" s="612">
        <v>0</v>
      </c>
      <c r="AH19" s="612">
        <v>0</v>
      </c>
      <c r="AI19" s="612">
        <v>0</v>
      </c>
      <c r="AJ19" s="612">
        <v>0</v>
      </c>
      <c r="AK19" s="612">
        <v>0</v>
      </c>
      <c r="AL19" s="612">
        <v>0</v>
      </c>
      <c r="AM19" s="4"/>
      <c r="AN19" s="40">
        <f t="shared" si="25"/>
        <v>45017</v>
      </c>
      <c r="AO19" s="6">
        <v>134470</v>
      </c>
      <c r="AP19" s="6"/>
      <c r="AQ19" s="6">
        <v>0</v>
      </c>
      <c r="AR19" s="6">
        <v>0</v>
      </c>
      <c r="AS19" s="184">
        <v>0</v>
      </c>
      <c r="AT19" s="2">
        <f t="shared" si="3"/>
        <v>1</v>
      </c>
      <c r="AU19" s="2">
        <f>IF((AND(AT19=0,SUM(AT$8:AT19)=0)),1,0)</f>
        <v>0</v>
      </c>
      <c r="AV19" s="371">
        <f t="shared" si="26"/>
        <v>45017</v>
      </c>
      <c r="AW19" s="372">
        <f t="shared" si="4"/>
        <v>0.98818794845553182</v>
      </c>
      <c r="AX19" s="372">
        <f t="shared" si="5"/>
        <v>0.98447441318381057</v>
      </c>
      <c r="AY19" s="372">
        <f t="shared" si="6"/>
        <v>0.98418334317359979</v>
      </c>
      <c r="AZ19" s="372">
        <f t="shared" si="7"/>
        <v>0.9777568238372073</v>
      </c>
      <c r="BA19" s="372">
        <f t="shared" si="8"/>
        <v>0.98690570972219016</v>
      </c>
      <c r="BB19" s="372">
        <f t="shared" si="9"/>
        <v>0.98677567309757686</v>
      </c>
      <c r="BC19" s="373">
        <v>1</v>
      </c>
      <c r="BD19" s="373">
        <v>2</v>
      </c>
      <c r="BE19" s="372">
        <f t="shared" si="10"/>
        <v>0.98849877852637147</v>
      </c>
      <c r="BF19" s="372">
        <f t="shared" si="11"/>
        <v>0.98512912697869814</v>
      </c>
      <c r="BG19" s="372">
        <f t="shared" si="12"/>
        <v>0.98418334317359979</v>
      </c>
      <c r="BH19" s="372">
        <f t="shared" si="13"/>
        <v>0.97775682383720741</v>
      </c>
      <c r="BI19" s="372">
        <f t="shared" si="14"/>
        <v>0.98764087904085918</v>
      </c>
      <c r="BJ19" s="372">
        <f t="shared" si="15"/>
        <v>0.98692062346248677</v>
      </c>
      <c r="BK19" s="7"/>
      <c r="BL19" s="41">
        <f t="shared" si="16"/>
        <v>134470</v>
      </c>
      <c r="BM19" s="41">
        <f>$AA$135</f>
        <v>4763552.8999999892</v>
      </c>
      <c r="BN19" s="15">
        <f t="shared" si="17"/>
        <v>0.98447441318381057</v>
      </c>
      <c r="BO19" s="41">
        <f t="shared" si="29"/>
        <v>4838676.1872201031</v>
      </c>
      <c r="BP19" s="41">
        <f t="shared" si="18"/>
        <v>75123.287220113911</v>
      </c>
      <c r="BQ19" s="73">
        <f t="shared" si="19"/>
        <v>35.983313655239854</v>
      </c>
      <c r="BR19" s="7"/>
      <c r="BS19" s="73">
        <f t="shared" si="20"/>
        <v>35.84809109493542</v>
      </c>
      <c r="BT19" s="73">
        <f t="shared" si="21"/>
        <v>35.983313655239854</v>
      </c>
      <c r="BU19" s="73">
        <f t="shared" si="22"/>
        <v>35.993955639323104</v>
      </c>
      <c r="BV19" s="73">
        <f t="shared" si="23"/>
        <v>36.230533739593028</v>
      </c>
      <c r="BW19" s="73">
        <f t="shared" si="24"/>
        <v>35.899396956098556</v>
      </c>
      <c r="BY19" s="41">
        <f>$AA$135</f>
        <v>4763552.8999999892</v>
      </c>
      <c r="BZ19" s="41">
        <f>$AA$90</f>
        <v>0</v>
      </c>
      <c r="CA19" s="41">
        <f t="shared" si="28"/>
        <v>4763552.8999999892</v>
      </c>
    </row>
    <row r="20" spans="1:79" x14ac:dyDescent="0.2">
      <c r="A20" s="568" t="s">
        <v>990</v>
      </c>
      <c r="B20" s="6"/>
      <c r="C20" s="612">
        <v>21921.689999999991</v>
      </c>
      <c r="D20" s="612">
        <v>16662.220000000005</v>
      </c>
      <c r="E20" s="612">
        <v>9790.9300000000021</v>
      </c>
      <c r="F20" s="612">
        <v>17209.240000000002</v>
      </c>
      <c r="G20" s="612">
        <v>31472.850000000002</v>
      </c>
      <c r="H20" s="612">
        <v>67902.66</v>
      </c>
      <c r="I20" s="612">
        <v>32533.949999999993</v>
      </c>
      <c r="J20" s="612">
        <v>44197.440000000002</v>
      </c>
      <c r="K20" s="612">
        <v>34240.469999999994</v>
      </c>
      <c r="L20" s="612">
        <v>59109.930000000015</v>
      </c>
      <c r="M20" s="612">
        <v>17163.22</v>
      </c>
      <c r="N20" s="612">
        <v>11133.549999999997</v>
      </c>
      <c r="O20" s="612">
        <v>12762.67</v>
      </c>
      <c r="P20" s="612">
        <v>4918.38</v>
      </c>
      <c r="Q20" s="612">
        <v>15917.61</v>
      </c>
      <c r="R20" s="612">
        <v>12133.12</v>
      </c>
      <c r="S20" s="612">
        <v>11930.33</v>
      </c>
      <c r="T20" s="612">
        <v>9561.1400000000012</v>
      </c>
      <c r="U20" s="612">
        <v>19427.520000000004</v>
      </c>
      <c r="V20" s="612">
        <v>18842.909999999996</v>
      </c>
      <c r="W20" s="612">
        <v>18311.7</v>
      </c>
      <c r="X20" s="612">
        <v>7708.0500000000011</v>
      </c>
      <c r="Y20" s="612">
        <v>16413.03</v>
      </c>
      <c r="Z20" s="612">
        <v>10176.650000000001</v>
      </c>
      <c r="AA20" s="612">
        <v>0</v>
      </c>
      <c r="AB20" s="612">
        <v>0</v>
      </c>
      <c r="AC20" s="612">
        <v>0</v>
      </c>
      <c r="AD20" s="612">
        <v>0</v>
      </c>
      <c r="AE20" s="612">
        <v>0</v>
      </c>
      <c r="AF20" s="612">
        <v>0</v>
      </c>
      <c r="AG20" s="612">
        <v>0</v>
      </c>
      <c r="AH20" s="612">
        <v>0</v>
      </c>
      <c r="AI20" s="612">
        <v>0</v>
      </c>
      <c r="AJ20" s="612">
        <v>0</v>
      </c>
      <c r="AK20" s="612">
        <v>0</v>
      </c>
      <c r="AL20" s="612">
        <v>0</v>
      </c>
      <c r="AM20" s="4"/>
      <c r="AN20" s="40">
        <f t="shared" si="25"/>
        <v>44986</v>
      </c>
      <c r="AO20" s="6">
        <v>134844</v>
      </c>
      <c r="AP20" s="6"/>
      <c r="AQ20" s="6">
        <v>0</v>
      </c>
      <c r="AR20" s="6">
        <v>0</v>
      </c>
      <c r="AS20" s="184">
        <v>0</v>
      </c>
      <c r="AT20" s="2">
        <f t="shared" si="3"/>
        <v>1</v>
      </c>
      <c r="AU20" s="2">
        <f>IF((AND(AT20=0,SUM(AT$8:AT20)=0)),1,0)</f>
        <v>0</v>
      </c>
      <c r="AV20" s="371">
        <f t="shared" si="26"/>
        <v>44986</v>
      </c>
      <c r="AW20" s="372">
        <f t="shared" si="4"/>
        <v>0.99046568560927273</v>
      </c>
      <c r="AX20" s="372">
        <f t="shared" si="5"/>
        <v>0.98743498618863002</v>
      </c>
      <c r="AY20" s="372">
        <f t="shared" si="6"/>
        <v>0.98673302468878843</v>
      </c>
      <c r="AZ20" s="372">
        <f t="shared" si="7"/>
        <v>0.9822669434208634</v>
      </c>
      <c r="BA20" s="372">
        <f t="shared" si="8"/>
        <v>0.99000269547014852</v>
      </c>
      <c r="BB20" s="372">
        <f t="shared" si="9"/>
        <v>0.98937322028420827</v>
      </c>
      <c r="BC20" s="373">
        <v>1</v>
      </c>
      <c r="BD20" s="373">
        <v>2</v>
      </c>
      <c r="BE20" s="372">
        <f t="shared" si="10"/>
        <v>0.99046568560927273</v>
      </c>
      <c r="BF20" s="372">
        <f t="shared" si="11"/>
        <v>0.98743498618863002</v>
      </c>
      <c r="BG20" s="372">
        <f t="shared" si="12"/>
        <v>0.98673302468878843</v>
      </c>
      <c r="BH20" s="372">
        <f t="shared" si="13"/>
        <v>0.98226694342086351</v>
      </c>
      <c r="BI20" s="372">
        <f t="shared" si="14"/>
        <v>0.99000269547014841</v>
      </c>
      <c r="BJ20" s="372">
        <f t="shared" si="15"/>
        <v>0.98937322028420838</v>
      </c>
      <c r="BK20" s="7"/>
      <c r="BL20" s="41">
        <f t="shared" si="16"/>
        <v>134844</v>
      </c>
      <c r="BM20" s="41">
        <f>$Z$135</f>
        <v>5761664.9499999722</v>
      </c>
      <c r="BN20" s="15">
        <f t="shared" si="17"/>
        <v>0.98743498618863002</v>
      </c>
      <c r="BO20" s="41">
        <f t="shared" si="29"/>
        <v>5834981.5740672164</v>
      </c>
      <c r="BP20" s="41">
        <f t="shared" si="18"/>
        <v>73316.62406724412</v>
      </c>
      <c r="BQ20" s="73">
        <f t="shared" si="19"/>
        <v>43.272089036718107</v>
      </c>
      <c r="BR20" s="7"/>
      <c r="BS20" s="73">
        <f t="shared" si="20"/>
        <v>43.139681930566915</v>
      </c>
      <c r="BT20" s="73">
        <f t="shared" si="21"/>
        <v>43.272089036718107</v>
      </c>
      <c r="BU20" s="73">
        <f t="shared" si="22"/>
        <v>43.302872784460888</v>
      </c>
      <c r="BV20" s="73">
        <f t="shared" si="23"/>
        <v>43.499758315716271</v>
      </c>
      <c r="BW20" s="73">
        <f t="shared" si="24"/>
        <v>43.187316741856748</v>
      </c>
      <c r="BY20" s="41">
        <f>$Z$135</f>
        <v>5761664.9499999722</v>
      </c>
      <c r="BZ20" s="41">
        <f>$Z$90</f>
        <v>0</v>
      </c>
      <c r="CA20" s="41">
        <f t="shared" si="28"/>
        <v>5761664.9499999722</v>
      </c>
    </row>
    <row r="21" spans="1:79" x14ac:dyDescent="0.2">
      <c r="A21" s="568" t="s">
        <v>991</v>
      </c>
      <c r="B21" s="6"/>
      <c r="C21" s="612">
        <v>8286.7900000000009</v>
      </c>
      <c r="D21" s="612">
        <v>7078.7900000000009</v>
      </c>
      <c r="E21" s="612">
        <v>21903.879999999997</v>
      </c>
      <c r="F21" s="612">
        <v>23004.050000000003</v>
      </c>
      <c r="G21" s="612">
        <v>72932.25</v>
      </c>
      <c r="H21" s="612">
        <v>13976.450000000003</v>
      </c>
      <c r="I21" s="612">
        <v>26039.040000000001</v>
      </c>
      <c r="J21" s="612">
        <v>31543.49</v>
      </c>
      <c r="K21" s="612">
        <v>10530.88</v>
      </c>
      <c r="L21" s="612">
        <v>7147.7600000000011</v>
      </c>
      <c r="M21" s="612">
        <v>5063.5099999999993</v>
      </c>
      <c r="N21" s="612">
        <v>11068.519999999997</v>
      </c>
      <c r="O21" s="612">
        <v>4233.91</v>
      </c>
      <c r="P21" s="612">
        <v>17353.920000000002</v>
      </c>
      <c r="Q21" s="612">
        <v>2905.21</v>
      </c>
      <c r="R21" s="612">
        <v>12332.37</v>
      </c>
      <c r="S21" s="612">
        <v>4791.46</v>
      </c>
      <c r="T21" s="612">
        <v>5673.1600000000008</v>
      </c>
      <c r="U21" s="612">
        <v>15613.499999999998</v>
      </c>
      <c r="V21" s="612">
        <v>17467.770000000004</v>
      </c>
      <c r="W21" s="612">
        <v>10394.400000000001</v>
      </c>
      <c r="X21" s="612">
        <v>11315.390000000001</v>
      </c>
      <c r="Y21" s="612">
        <v>4904.6799999999994</v>
      </c>
      <c r="Z21" s="612">
        <v>0</v>
      </c>
      <c r="AA21" s="612">
        <v>0</v>
      </c>
      <c r="AB21" s="612">
        <v>0</v>
      </c>
      <c r="AC21" s="612">
        <v>0</v>
      </c>
      <c r="AD21" s="612">
        <v>0</v>
      </c>
      <c r="AE21" s="612">
        <v>0</v>
      </c>
      <c r="AF21" s="612">
        <v>0</v>
      </c>
      <c r="AG21" s="612">
        <v>0</v>
      </c>
      <c r="AH21" s="612">
        <v>0</v>
      </c>
      <c r="AI21" s="612">
        <v>0</v>
      </c>
      <c r="AJ21" s="612">
        <v>0</v>
      </c>
      <c r="AK21" s="612">
        <v>0</v>
      </c>
      <c r="AL21" s="612">
        <v>0</v>
      </c>
      <c r="AM21" s="4"/>
      <c r="AN21" s="40">
        <f t="shared" si="25"/>
        <v>44958</v>
      </c>
      <c r="AO21" s="6">
        <v>135481</v>
      </c>
      <c r="AP21" s="6"/>
      <c r="AQ21" s="6">
        <v>0</v>
      </c>
      <c r="AR21" s="6">
        <v>0</v>
      </c>
      <c r="AS21" s="184">
        <v>0</v>
      </c>
      <c r="AT21" s="2">
        <f t="shared" si="3"/>
        <v>1</v>
      </c>
      <c r="AU21" s="2">
        <f>IF((AND(AT21=0,SUM(AT$8:AT21)=0)),1,0)</f>
        <v>0</v>
      </c>
      <c r="AV21" s="371">
        <f t="shared" si="26"/>
        <v>44958</v>
      </c>
      <c r="AW21" s="372">
        <f t="shared" si="4"/>
        <v>0.99230199181628465</v>
      </c>
      <c r="AX21" s="372">
        <f t="shared" si="5"/>
        <v>0.98959360778579009</v>
      </c>
      <c r="AY21" s="372">
        <f t="shared" si="6"/>
        <v>0.98866043268139026</v>
      </c>
      <c r="AZ21" s="372">
        <f t="shared" si="7"/>
        <v>0.98534653086808754</v>
      </c>
      <c r="BA21" s="372">
        <f t="shared" si="8"/>
        <v>0.99212628164711747</v>
      </c>
      <c r="BB21" s="372">
        <f t="shared" si="9"/>
        <v>0.99128943284453952</v>
      </c>
      <c r="BC21" s="373">
        <v>1</v>
      </c>
      <c r="BD21" s="373">
        <v>2</v>
      </c>
      <c r="BE21" s="372">
        <f t="shared" si="10"/>
        <v>0.99232585644245774</v>
      </c>
      <c r="BF21" s="372">
        <f t="shared" si="11"/>
        <v>0.98959360778579009</v>
      </c>
      <c r="BG21" s="372">
        <f t="shared" si="12"/>
        <v>0.98866043268139026</v>
      </c>
      <c r="BH21" s="372">
        <f t="shared" si="13"/>
        <v>0.98534653086808766</v>
      </c>
      <c r="BI21" s="372">
        <f t="shared" si="14"/>
        <v>0.99212628164711736</v>
      </c>
      <c r="BJ21" s="372">
        <f t="shared" si="15"/>
        <v>0.99128943284453963</v>
      </c>
      <c r="BK21" s="7"/>
      <c r="BL21" s="41">
        <f t="shared" si="16"/>
        <v>135481</v>
      </c>
      <c r="BM21" s="41">
        <f>$Y$135</f>
        <v>4771663.9699999895</v>
      </c>
      <c r="BN21" s="15">
        <f t="shared" si="17"/>
        <v>0.98959360778579009</v>
      </c>
      <c r="BO21" s="41">
        <f t="shared" si="29"/>
        <v>4821841.9485111265</v>
      </c>
      <c r="BP21" s="41">
        <f t="shared" si="18"/>
        <v>50177.978511136957</v>
      </c>
      <c r="BQ21" s="73">
        <f t="shared" si="19"/>
        <v>35.59053999092955</v>
      </c>
      <c r="BR21" s="7"/>
      <c r="BS21" s="73">
        <f t="shared" si="20"/>
        <v>35.49339935134293</v>
      </c>
      <c r="BT21" s="73">
        <f t="shared" si="21"/>
        <v>35.59053999092955</v>
      </c>
      <c r="BU21" s="73">
        <f t="shared" si="22"/>
        <v>35.624133128445536</v>
      </c>
      <c r="BV21" s="73">
        <f t="shared" si="23"/>
        <v>35.743943647560769</v>
      </c>
      <c r="BW21" s="73">
        <f t="shared" si="24"/>
        <v>35.52965431256834</v>
      </c>
      <c r="BY21" s="41">
        <f>$Y$135</f>
        <v>4771663.9699999895</v>
      </c>
      <c r="BZ21" s="41">
        <f>$Y$90</f>
        <v>0</v>
      </c>
      <c r="CA21" s="41">
        <f t="shared" si="28"/>
        <v>4771663.9699999895</v>
      </c>
    </row>
    <row r="22" spans="1:79" x14ac:dyDescent="0.2">
      <c r="A22" s="568" t="s">
        <v>992</v>
      </c>
      <c r="B22" s="6"/>
      <c r="C22" s="612">
        <v>2439.4399999999996</v>
      </c>
      <c r="D22" s="612">
        <v>27811.909999999993</v>
      </c>
      <c r="E22" s="612">
        <v>10828.06</v>
      </c>
      <c r="F22" s="612">
        <v>28426.829999999994</v>
      </c>
      <c r="G22" s="612">
        <v>6093.96</v>
      </c>
      <c r="H22" s="612">
        <v>10779.7</v>
      </c>
      <c r="I22" s="612">
        <v>20866.430000000004</v>
      </c>
      <c r="J22" s="612">
        <v>7962.7999999999993</v>
      </c>
      <c r="K22" s="612">
        <v>1894.96</v>
      </c>
      <c r="L22" s="612">
        <v>4839.78</v>
      </c>
      <c r="M22" s="612">
        <v>8091.2499999999991</v>
      </c>
      <c r="N22" s="612">
        <v>6901.09</v>
      </c>
      <c r="O22" s="612">
        <v>16507.310000000005</v>
      </c>
      <c r="P22" s="612">
        <v>11336.510000000002</v>
      </c>
      <c r="Q22" s="612">
        <v>13727.87</v>
      </c>
      <c r="R22" s="612">
        <v>3999.91</v>
      </c>
      <c r="S22" s="612">
        <v>1344.6799999999998</v>
      </c>
      <c r="T22" s="612">
        <v>8938.7100000000009</v>
      </c>
      <c r="U22" s="612">
        <v>12559.630000000003</v>
      </c>
      <c r="V22" s="612">
        <v>7431.5500000000011</v>
      </c>
      <c r="W22" s="612">
        <v>3053.45</v>
      </c>
      <c r="X22" s="612">
        <v>4794.5200000000004</v>
      </c>
      <c r="Y22" s="612">
        <v>0</v>
      </c>
      <c r="Z22" s="612">
        <v>0</v>
      </c>
      <c r="AA22" s="612">
        <v>0</v>
      </c>
      <c r="AB22" s="612">
        <v>0</v>
      </c>
      <c r="AC22" s="612">
        <v>0</v>
      </c>
      <c r="AD22" s="612">
        <v>0</v>
      </c>
      <c r="AE22" s="612">
        <v>0</v>
      </c>
      <c r="AF22" s="612">
        <v>0</v>
      </c>
      <c r="AG22" s="612">
        <v>0</v>
      </c>
      <c r="AH22" s="612">
        <v>0</v>
      </c>
      <c r="AI22" s="612">
        <v>0</v>
      </c>
      <c r="AJ22" s="612">
        <v>0</v>
      </c>
      <c r="AK22" s="612">
        <v>0</v>
      </c>
      <c r="AL22" s="612">
        <v>0</v>
      </c>
      <c r="AM22" s="4"/>
      <c r="AN22" s="40">
        <f t="shared" si="25"/>
        <v>44927</v>
      </c>
      <c r="AO22" s="6">
        <v>134089</v>
      </c>
      <c r="AP22" s="6"/>
      <c r="AQ22" s="6">
        <v>0</v>
      </c>
      <c r="AR22" s="6">
        <v>0</v>
      </c>
      <c r="AS22" s="184">
        <v>0</v>
      </c>
      <c r="AT22" s="2">
        <f t="shared" si="3"/>
        <v>1</v>
      </c>
      <c r="AU22" s="2">
        <f>IF((AND(AT22=0,SUM(AT$8:AT22)=0)),1,0)</f>
        <v>0</v>
      </c>
      <c r="AV22" s="371">
        <f t="shared" si="26"/>
        <v>44927</v>
      </c>
      <c r="AW22" s="372">
        <f t="shared" si="4"/>
        <v>0.99361516573464881</v>
      </c>
      <c r="AX22" s="372">
        <f t="shared" si="5"/>
        <v>0.99092526296484351</v>
      </c>
      <c r="AY22" s="372">
        <f t="shared" si="6"/>
        <v>0.99029516267526208</v>
      </c>
      <c r="AZ22" s="372">
        <f t="shared" si="7"/>
        <v>0.98748421001778208</v>
      </c>
      <c r="BA22" s="372">
        <f t="shared" si="8"/>
        <v>0.99345967848968186</v>
      </c>
      <c r="BB22" s="372">
        <f t="shared" si="9"/>
        <v>0.9928990715119913</v>
      </c>
      <c r="BC22" s="373">
        <v>1</v>
      </c>
      <c r="BD22" s="373">
        <v>2</v>
      </c>
      <c r="BE22" s="372">
        <f t="shared" si="10"/>
        <v>0.99416561137394011</v>
      </c>
      <c r="BF22" s="372">
        <f t="shared" si="11"/>
        <v>0.99118167806823909</v>
      </c>
      <c r="BG22" s="372">
        <f t="shared" si="12"/>
        <v>0.99029516267526208</v>
      </c>
      <c r="BH22" s="372">
        <f t="shared" si="13"/>
        <v>0.98748421001778219</v>
      </c>
      <c r="BI22" s="372">
        <f t="shared" si="14"/>
        <v>0.99372176831283765</v>
      </c>
      <c r="BJ22" s="372">
        <f t="shared" si="15"/>
        <v>0.99289907151199142</v>
      </c>
      <c r="BK22" s="7"/>
      <c r="BL22" s="41">
        <f t="shared" si="16"/>
        <v>134089</v>
      </c>
      <c r="BM22" s="41">
        <f>$X$135</f>
        <v>4578453.5399999861</v>
      </c>
      <c r="BN22" s="15">
        <f t="shared" si="17"/>
        <v>0.99092526296484351</v>
      </c>
      <c r="BO22" s="41">
        <f t="shared" si="29"/>
        <v>4620382.2943228586</v>
      </c>
      <c r="BP22" s="41">
        <f t="shared" si="18"/>
        <v>41928.754322872497</v>
      </c>
      <c r="BQ22" s="73">
        <f t="shared" si="19"/>
        <v>34.457578879124007</v>
      </c>
      <c r="BR22" s="7"/>
      <c r="BS22" s="73">
        <f t="shared" si="20"/>
        <v>34.364295744904524</v>
      </c>
      <c r="BT22" s="73">
        <f t="shared" si="21"/>
        <v>34.457578879124007</v>
      </c>
      <c r="BU22" s="73">
        <f t="shared" si="22"/>
        <v>34.479503383300482</v>
      </c>
      <c r="BV22" s="73">
        <f t="shared" si="23"/>
        <v>34.577652042975892</v>
      </c>
      <c r="BW22" s="73">
        <f t="shared" si="24"/>
        <v>34.389079808415779</v>
      </c>
      <c r="BY22" s="41">
        <f>$X$135</f>
        <v>4578453.5399999861</v>
      </c>
      <c r="BZ22" s="41">
        <f>$X$90</f>
        <v>0</v>
      </c>
      <c r="CA22" s="41">
        <f t="shared" si="28"/>
        <v>4578453.5399999861</v>
      </c>
    </row>
    <row r="23" spans="1:79" x14ac:dyDescent="0.2">
      <c r="A23" s="568" t="s">
        <v>993</v>
      </c>
      <c r="B23" s="6"/>
      <c r="C23" s="612">
        <v>15214.87</v>
      </c>
      <c r="D23" s="612">
        <v>7990.2999999999993</v>
      </c>
      <c r="E23" s="612">
        <v>38674.36</v>
      </c>
      <c r="F23" s="612">
        <v>4721.59</v>
      </c>
      <c r="G23" s="612">
        <v>11581.220000000001</v>
      </c>
      <c r="H23" s="612">
        <v>5895.47</v>
      </c>
      <c r="I23" s="612">
        <v>7737.2699999999995</v>
      </c>
      <c r="J23" s="612">
        <v>12420.799999999997</v>
      </c>
      <c r="K23" s="612">
        <v>4925.8499999999995</v>
      </c>
      <c r="L23" s="612">
        <v>8204.2799999999988</v>
      </c>
      <c r="M23" s="612">
        <v>3527.04</v>
      </c>
      <c r="N23" s="612">
        <v>2766.97</v>
      </c>
      <c r="O23" s="612">
        <v>3572.5699999999997</v>
      </c>
      <c r="P23" s="612">
        <v>11682.830000000002</v>
      </c>
      <c r="Q23" s="612">
        <v>1562.8300000000002</v>
      </c>
      <c r="R23" s="612">
        <v>3935.6800000000003</v>
      </c>
      <c r="S23" s="612">
        <v>10798.13</v>
      </c>
      <c r="T23" s="612">
        <v>5409.74</v>
      </c>
      <c r="U23" s="612">
        <v>10640.000000000002</v>
      </c>
      <c r="V23" s="612">
        <v>10466.129999999999</v>
      </c>
      <c r="W23" s="612">
        <v>7783.3899999999985</v>
      </c>
      <c r="X23" s="612">
        <v>0</v>
      </c>
      <c r="Y23" s="612">
        <v>0</v>
      </c>
      <c r="Z23" s="612">
        <v>0</v>
      </c>
      <c r="AA23" s="612">
        <v>0</v>
      </c>
      <c r="AB23" s="612">
        <v>0</v>
      </c>
      <c r="AC23" s="612">
        <v>0</v>
      </c>
      <c r="AD23" s="612">
        <v>0</v>
      </c>
      <c r="AE23" s="612">
        <v>0</v>
      </c>
      <c r="AF23" s="612">
        <v>0</v>
      </c>
      <c r="AG23" s="612">
        <v>0</v>
      </c>
      <c r="AH23" s="612">
        <v>0</v>
      </c>
      <c r="AI23" s="612">
        <v>0</v>
      </c>
      <c r="AJ23" s="612">
        <v>0</v>
      </c>
      <c r="AK23" s="612">
        <v>0</v>
      </c>
      <c r="AL23" s="612">
        <v>0</v>
      </c>
      <c r="AM23" s="4"/>
      <c r="AN23" s="40">
        <f t="shared" si="25"/>
        <v>44896</v>
      </c>
      <c r="AO23" s="6">
        <v>128156</v>
      </c>
      <c r="AP23" s="6"/>
      <c r="AQ23" s="6">
        <v>0</v>
      </c>
      <c r="AR23" s="6">
        <v>0</v>
      </c>
      <c r="AS23" s="184">
        <v>0</v>
      </c>
      <c r="AT23" s="2">
        <f t="shared" si="3"/>
        <v>1</v>
      </c>
      <c r="AU23" s="2">
        <f>IF((AND(AT23=0,SUM(AT$8:AT23)=0)),1,0)</f>
        <v>0</v>
      </c>
      <c r="AV23" s="371">
        <f t="shared" si="26"/>
        <v>44896</v>
      </c>
      <c r="AW23" s="372">
        <f t="shared" si="4"/>
        <v>0.9954812515340502</v>
      </c>
      <c r="AX23" s="372">
        <f t="shared" si="5"/>
        <v>0.99246409817179737</v>
      </c>
      <c r="AY23" s="372">
        <f t="shared" si="6"/>
        <v>0.99161571476401633</v>
      </c>
      <c r="AZ23" s="372">
        <f t="shared" si="7"/>
        <v>0.98941379049132128</v>
      </c>
      <c r="BA23" s="372">
        <f t="shared" si="8"/>
        <v>0.99505730945590287</v>
      </c>
      <c r="BB23" s="372">
        <f t="shared" si="9"/>
        <v>0.99423139336493305</v>
      </c>
      <c r="BC23" s="373">
        <v>1</v>
      </c>
      <c r="BD23" s="373">
        <v>2</v>
      </c>
      <c r="BE23" s="372">
        <f t="shared" si="10"/>
        <v>0.99548125153405032</v>
      </c>
      <c r="BF23" s="372">
        <f t="shared" si="11"/>
        <v>0.99272091146928843</v>
      </c>
      <c r="BG23" s="372">
        <f t="shared" si="12"/>
        <v>0.99161571476401633</v>
      </c>
      <c r="BH23" s="372">
        <f t="shared" si="13"/>
        <v>0.98941379049132139</v>
      </c>
      <c r="BI23" s="372">
        <f t="shared" si="14"/>
        <v>0.99505730945590265</v>
      </c>
      <c r="BJ23" s="372">
        <f t="shared" si="15"/>
        <v>0.99423139336493316</v>
      </c>
      <c r="BK23" s="7"/>
      <c r="BL23" s="41">
        <f t="shared" si="16"/>
        <v>128156</v>
      </c>
      <c r="BM23" s="41">
        <f>$W$135</f>
        <v>5081907.6000000248</v>
      </c>
      <c r="BN23" s="15">
        <f t="shared" si="17"/>
        <v>0.99246409817179737</v>
      </c>
      <c r="BO23" s="41">
        <f t="shared" si="29"/>
        <v>5120495.1487528142</v>
      </c>
      <c r="BP23" s="41">
        <f t="shared" si="18"/>
        <v>38587.548752789386</v>
      </c>
      <c r="BQ23" s="73">
        <f t="shared" si="19"/>
        <v>39.955172982558864</v>
      </c>
      <c r="BR23" s="7"/>
      <c r="BS23" s="73">
        <f t="shared" si="20"/>
        <v>39.834074886218076</v>
      </c>
      <c r="BT23" s="73">
        <f t="shared" si="21"/>
        <v>39.955172982558864</v>
      </c>
      <c r="BU23" s="73">
        <f t="shared" si="22"/>
        <v>39.989356896053508</v>
      </c>
      <c r="BV23" s="73">
        <f t="shared" si="23"/>
        <v>40.078352558379144</v>
      </c>
      <c r="BW23" s="73">
        <f t="shared" si="24"/>
        <v>39.884150697782687</v>
      </c>
      <c r="BY23" s="41">
        <f>$W$135</f>
        <v>5081907.6000000248</v>
      </c>
      <c r="BZ23" s="41">
        <f>$W$90</f>
        <v>0</v>
      </c>
      <c r="CA23" s="41">
        <f t="shared" si="28"/>
        <v>5081907.6000000248</v>
      </c>
    </row>
    <row r="24" spans="1:79" x14ac:dyDescent="0.2">
      <c r="A24" s="568" t="s">
        <v>994</v>
      </c>
      <c r="B24" s="6"/>
      <c r="C24" s="612">
        <v>7534.28</v>
      </c>
      <c r="D24" s="612">
        <v>31834.850000000002</v>
      </c>
      <c r="E24" s="612">
        <v>12177.33</v>
      </c>
      <c r="F24" s="612">
        <v>591.99</v>
      </c>
      <c r="G24" s="612">
        <v>2269.2600000000002</v>
      </c>
      <c r="H24" s="612">
        <v>3211.4</v>
      </c>
      <c r="I24" s="612">
        <v>30224.549999999996</v>
      </c>
      <c r="J24" s="612">
        <v>2816.79</v>
      </c>
      <c r="K24" s="612">
        <v>8587.4500000000007</v>
      </c>
      <c r="L24" s="612">
        <v>2447.58</v>
      </c>
      <c r="M24" s="612">
        <v>1576.0299999999997</v>
      </c>
      <c r="N24" s="612">
        <v>7382.22</v>
      </c>
      <c r="O24" s="612">
        <v>7266.6800000000012</v>
      </c>
      <c r="P24" s="612">
        <v>34470.6</v>
      </c>
      <c r="Q24" s="612">
        <v>1926.83</v>
      </c>
      <c r="R24" s="612">
        <v>3332.1499999999996</v>
      </c>
      <c r="S24" s="612">
        <v>1939.0699999999997</v>
      </c>
      <c r="T24" s="612">
        <v>1707.75</v>
      </c>
      <c r="U24" s="612">
        <v>1647.9299999999998</v>
      </c>
      <c r="V24" s="612">
        <v>709.11</v>
      </c>
      <c r="W24" s="612">
        <v>0</v>
      </c>
      <c r="X24" s="612">
        <v>0</v>
      </c>
      <c r="Y24" s="612">
        <v>0</v>
      </c>
      <c r="Z24" s="612">
        <v>0</v>
      </c>
      <c r="AA24" s="612">
        <v>0</v>
      </c>
      <c r="AB24" s="612">
        <v>0</v>
      </c>
      <c r="AC24" s="612">
        <v>0</v>
      </c>
      <c r="AD24" s="612">
        <v>0</v>
      </c>
      <c r="AE24" s="612">
        <v>0</v>
      </c>
      <c r="AF24" s="612">
        <v>0</v>
      </c>
      <c r="AG24" s="612">
        <v>0</v>
      </c>
      <c r="AH24" s="612">
        <v>0</v>
      </c>
      <c r="AI24" s="612">
        <v>0</v>
      </c>
      <c r="AJ24" s="612">
        <v>0</v>
      </c>
      <c r="AK24" s="612">
        <v>0</v>
      </c>
      <c r="AL24" s="612">
        <v>0</v>
      </c>
      <c r="AM24" s="4"/>
      <c r="AN24" s="40">
        <f t="shared" si="25"/>
        <v>44866</v>
      </c>
      <c r="AO24" s="6">
        <v>128447</v>
      </c>
      <c r="AP24" s="6"/>
      <c r="AQ24" s="6">
        <v>0</v>
      </c>
      <c r="AR24" s="6">
        <v>0</v>
      </c>
      <c r="AS24" s="184">
        <v>0</v>
      </c>
      <c r="AT24" s="2">
        <f t="shared" si="3"/>
        <v>1</v>
      </c>
      <c r="AU24" s="2">
        <f>IF((AND(AT24=0,SUM(AT$8:AT24)=0)),1,0)</f>
        <v>0</v>
      </c>
      <c r="AV24" s="371">
        <f t="shared" si="26"/>
        <v>44866</v>
      </c>
      <c r="AW24" s="372">
        <f t="shared" si="4"/>
        <v>0.99583180633719082</v>
      </c>
      <c r="AX24" s="372">
        <f t="shared" si="5"/>
        <v>0.99302190087320263</v>
      </c>
      <c r="AY24" s="372">
        <f t="shared" si="6"/>
        <v>0.99280001957186592</v>
      </c>
      <c r="AZ24" s="372">
        <f t="shared" si="7"/>
        <v>0.99115924258650667</v>
      </c>
      <c r="BA24" s="372">
        <f t="shared" si="8"/>
        <v>0.99557540077361617</v>
      </c>
      <c r="BB24" s="372">
        <f t="shared" si="9"/>
        <v>0.99500658140663578</v>
      </c>
      <c r="BC24" s="373">
        <v>1</v>
      </c>
      <c r="BD24" s="373">
        <v>2</v>
      </c>
      <c r="BE24" s="372">
        <f t="shared" si="10"/>
        <v>0.99634285123422484</v>
      </c>
      <c r="BF24" s="372">
        <f t="shared" si="11"/>
        <v>0.99405677493153388</v>
      </c>
      <c r="BG24" s="372">
        <f t="shared" si="12"/>
        <v>0.99280001957186592</v>
      </c>
      <c r="BH24" s="372">
        <f t="shared" si="13"/>
        <v>0.99122722875580671</v>
      </c>
      <c r="BI24" s="372">
        <f t="shared" si="14"/>
        <v>0.99594346919562016</v>
      </c>
      <c r="BJ24" s="372">
        <f t="shared" si="15"/>
        <v>0.99511068972032002</v>
      </c>
      <c r="BK24" s="7"/>
      <c r="BL24" s="41">
        <f t="shared" si="16"/>
        <v>128447</v>
      </c>
      <c r="BM24" s="41">
        <f>$V$135</f>
        <v>5011832.2300000172</v>
      </c>
      <c r="BN24" s="15">
        <f t="shared" si="17"/>
        <v>0.99302190087320263</v>
      </c>
      <c r="BO24" s="41">
        <f t="shared" si="29"/>
        <v>5047051.0525426669</v>
      </c>
      <c r="BP24" s="41">
        <f t="shared" si="18"/>
        <v>35218.822542649694</v>
      </c>
      <c r="BQ24" s="73">
        <f t="shared" si="19"/>
        <v>39.292868284527216</v>
      </c>
      <c r="BR24" s="7"/>
      <c r="BS24" s="73">
        <f t="shared" si="20"/>
        <v>39.181996905860807</v>
      </c>
      <c r="BT24" s="73">
        <f t="shared" si="21"/>
        <v>39.292868284527216</v>
      </c>
      <c r="BU24" s="73">
        <f t="shared" si="22"/>
        <v>39.301649864479216</v>
      </c>
      <c r="BV24" s="73">
        <f t="shared" si="23"/>
        <v>39.366710290507235</v>
      </c>
      <c r="BW24" s="73">
        <f t="shared" si="24"/>
        <v>39.214493133805284</v>
      </c>
      <c r="BY24" s="41">
        <f>$V$135</f>
        <v>5011832.2300000172</v>
      </c>
      <c r="BZ24" s="41">
        <f>$V$90</f>
        <v>0</v>
      </c>
      <c r="CA24" s="41">
        <f t="shared" si="28"/>
        <v>5011832.2300000172</v>
      </c>
    </row>
    <row r="25" spans="1:79" x14ac:dyDescent="0.2">
      <c r="A25" s="568" t="s">
        <v>995</v>
      </c>
      <c r="B25" s="6"/>
      <c r="C25" s="612">
        <v>21961.5</v>
      </c>
      <c r="D25" s="612">
        <v>11229.78</v>
      </c>
      <c r="E25" s="612">
        <v>924.21</v>
      </c>
      <c r="F25" s="612">
        <v>1165.9799999999998</v>
      </c>
      <c r="G25" s="612">
        <v>4390.46</v>
      </c>
      <c r="H25" s="612">
        <v>8245.4500000000025</v>
      </c>
      <c r="I25" s="612">
        <v>3038.98</v>
      </c>
      <c r="J25" s="612">
        <v>2642.62</v>
      </c>
      <c r="K25" s="612">
        <v>6025.9699999999993</v>
      </c>
      <c r="L25" s="612">
        <v>2621.35</v>
      </c>
      <c r="M25" s="612">
        <v>7024.8700000000008</v>
      </c>
      <c r="N25" s="612">
        <v>2245.5300000000002</v>
      </c>
      <c r="O25" s="612">
        <v>1986.5600000000004</v>
      </c>
      <c r="P25" s="612">
        <v>8941.1</v>
      </c>
      <c r="Q25" s="612">
        <v>3060.55</v>
      </c>
      <c r="R25" s="612">
        <v>9296.8499999999985</v>
      </c>
      <c r="S25" s="612">
        <v>4436.7000000000007</v>
      </c>
      <c r="T25" s="612">
        <v>2499.8199999999997</v>
      </c>
      <c r="U25" s="612">
        <v>1995.8600000000001</v>
      </c>
      <c r="V25" s="612">
        <v>0</v>
      </c>
      <c r="W25" s="612">
        <v>0</v>
      </c>
      <c r="X25" s="612">
        <v>0</v>
      </c>
      <c r="Y25" s="612">
        <v>0</v>
      </c>
      <c r="Z25" s="612">
        <v>0</v>
      </c>
      <c r="AA25" s="612">
        <v>0</v>
      </c>
      <c r="AB25" s="612">
        <v>0</v>
      </c>
      <c r="AC25" s="612">
        <v>0</v>
      </c>
      <c r="AD25" s="612">
        <v>0</v>
      </c>
      <c r="AE25" s="612">
        <v>0</v>
      </c>
      <c r="AF25" s="612">
        <v>0</v>
      </c>
      <c r="AG25" s="612">
        <v>0</v>
      </c>
      <c r="AH25" s="612">
        <v>0</v>
      </c>
      <c r="AI25" s="612">
        <v>0</v>
      </c>
      <c r="AJ25" s="612">
        <v>0</v>
      </c>
      <c r="AK25" s="612">
        <v>0</v>
      </c>
      <c r="AL25" s="612">
        <v>0</v>
      </c>
      <c r="AM25" s="4"/>
      <c r="AN25" s="40">
        <f t="shared" si="25"/>
        <v>44835</v>
      </c>
      <c r="AO25" s="6">
        <v>128887</v>
      </c>
      <c r="AP25" s="6"/>
      <c r="AQ25" s="6">
        <v>0</v>
      </c>
      <c r="AR25" s="6">
        <v>0</v>
      </c>
      <c r="AS25" s="184">
        <v>0</v>
      </c>
      <c r="AT25" s="2">
        <f t="shared" si="3"/>
        <v>1</v>
      </c>
      <c r="AU25" s="2">
        <f>IF((AND(AT25=0,SUM(AT$8:AT25)=0)),1,0)</f>
        <v>0</v>
      </c>
      <c r="AV25" s="371">
        <f t="shared" si="26"/>
        <v>44835</v>
      </c>
      <c r="AW25" s="372">
        <f t="shared" si="4"/>
        <v>0.99636767591128361</v>
      </c>
      <c r="AX25" s="372">
        <f t="shared" si="5"/>
        <v>0.99398298188557066</v>
      </c>
      <c r="AY25" s="372">
        <f t="shared" si="6"/>
        <v>0.99368976333277237</v>
      </c>
      <c r="AZ25" s="372">
        <f t="shared" si="7"/>
        <v>0.992562234342654</v>
      </c>
      <c r="BA25" s="372">
        <f t="shared" si="8"/>
        <v>0.99646202190551969</v>
      </c>
      <c r="BB25" s="372">
        <f t="shared" si="9"/>
        <v>0.99585572447734771</v>
      </c>
      <c r="BC25" s="373">
        <v>1</v>
      </c>
      <c r="BD25" s="373">
        <v>2</v>
      </c>
      <c r="BE25" s="372">
        <f t="shared" si="10"/>
        <v>0.99687899580798089</v>
      </c>
      <c r="BF25" s="372">
        <f t="shared" si="11"/>
        <v>0.99505055101257567</v>
      </c>
      <c r="BG25" s="372">
        <f t="shared" si="12"/>
        <v>0.99375997291221108</v>
      </c>
      <c r="BH25" s="372">
        <f t="shared" si="13"/>
        <v>0.99297587998733794</v>
      </c>
      <c r="BI25" s="372">
        <f t="shared" si="14"/>
        <v>0.996711210946579</v>
      </c>
      <c r="BJ25" s="372">
        <f t="shared" si="15"/>
        <v>0.99595992163753289</v>
      </c>
      <c r="BK25" s="7"/>
      <c r="BL25" s="41">
        <f t="shared" si="16"/>
        <v>128887</v>
      </c>
      <c r="BM25" s="41">
        <f>$U$135</f>
        <v>5314346.360000018</v>
      </c>
      <c r="BN25" s="15">
        <f t="shared" si="17"/>
        <v>0.99398298188557066</v>
      </c>
      <c r="BO25" s="41">
        <f t="shared" si="29"/>
        <v>5346516.4463065388</v>
      </c>
      <c r="BP25" s="41">
        <f t="shared" si="18"/>
        <v>32170.086306520738</v>
      </c>
      <c r="BQ25" s="73">
        <f t="shared" si="19"/>
        <v>41.482201046704006</v>
      </c>
      <c r="BR25" s="7"/>
      <c r="BS25" s="73">
        <f t="shared" si="20"/>
        <v>41.382918061716538</v>
      </c>
      <c r="BT25" s="73">
        <f t="shared" si="21"/>
        <v>41.482201046704006</v>
      </c>
      <c r="BU25" s="73">
        <f t="shared" si="22"/>
        <v>41.494441638694212</v>
      </c>
      <c r="BV25" s="73">
        <f t="shared" si="23"/>
        <v>41.541578416880604</v>
      </c>
      <c r="BW25" s="73">
        <f t="shared" si="24"/>
        <v>41.404192272148236</v>
      </c>
      <c r="BY25" s="41">
        <f>$U$135</f>
        <v>5314346.360000018</v>
      </c>
      <c r="BZ25" s="41">
        <f>$U$90</f>
        <v>0</v>
      </c>
      <c r="CA25" s="41">
        <f t="shared" si="28"/>
        <v>5314346.360000018</v>
      </c>
    </row>
    <row r="26" spans="1:79" x14ac:dyDescent="0.2">
      <c r="A26" s="568" t="s">
        <v>996</v>
      </c>
      <c r="B26" s="6"/>
      <c r="C26" s="612">
        <v>14569.62</v>
      </c>
      <c r="D26" s="612">
        <v>17031.61</v>
      </c>
      <c r="E26" s="612">
        <v>1463.46</v>
      </c>
      <c r="F26" s="612">
        <v>3038.48</v>
      </c>
      <c r="G26" s="612">
        <v>60837.689999999981</v>
      </c>
      <c r="H26" s="612">
        <v>3913.1899999999996</v>
      </c>
      <c r="I26" s="612">
        <v>2376.2999999999997</v>
      </c>
      <c r="J26" s="612">
        <v>7971.0499999999993</v>
      </c>
      <c r="K26" s="612">
        <v>1019.1800000000001</v>
      </c>
      <c r="L26" s="612">
        <v>4373.54</v>
      </c>
      <c r="M26" s="612">
        <v>4381.16</v>
      </c>
      <c r="N26" s="612">
        <v>7332.7</v>
      </c>
      <c r="O26" s="612">
        <v>5789.03</v>
      </c>
      <c r="P26" s="612">
        <v>8045.91</v>
      </c>
      <c r="Q26" s="612">
        <v>11135.9</v>
      </c>
      <c r="R26" s="612">
        <v>482.43</v>
      </c>
      <c r="S26" s="612">
        <v>1490.59</v>
      </c>
      <c r="T26" s="612">
        <v>80.180000000000007</v>
      </c>
      <c r="U26" s="612">
        <v>0</v>
      </c>
      <c r="V26" s="612">
        <v>0</v>
      </c>
      <c r="W26" s="612">
        <v>0</v>
      </c>
      <c r="X26" s="612">
        <v>0</v>
      </c>
      <c r="Y26" s="612">
        <v>0</v>
      </c>
      <c r="Z26" s="612">
        <v>0</v>
      </c>
      <c r="AA26" s="612">
        <v>0</v>
      </c>
      <c r="AB26" s="612">
        <v>0</v>
      </c>
      <c r="AC26" s="612">
        <v>0</v>
      </c>
      <c r="AD26" s="612">
        <v>0</v>
      </c>
      <c r="AE26" s="612">
        <v>0</v>
      </c>
      <c r="AF26" s="612">
        <v>0</v>
      </c>
      <c r="AG26" s="612">
        <v>0</v>
      </c>
      <c r="AH26" s="612">
        <v>0</v>
      </c>
      <c r="AI26" s="612">
        <v>0</v>
      </c>
      <c r="AJ26" s="612">
        <v>0</v>
      </c>
      <c r="AK26" s="612">
        <v>0</v>
      </c>
      <c r="AL26" s="612">
        <v>0</v>
      </c>
      <c r="AM26" s="4"/>
      <c r="AN26" s="40">
        <f t="shared" si="25"/>
        <v>44805</v>
      </c>
      <c r="AO26" s="6">
        <v>129309</v>
      </c>
      <c r="AP26" s="6"/>
      <c r="AQ26" s="6">
        <v>0</v>
      </c>
      <c r="AR26" s="6">
        <v>0</v>
      </c>
      <c r="AS26" s="184">
        <v>0</v>
      </c>
      <c r="AT26" s="2">
        <f t="shared" si="3"/>
        <v>1</v>
      </c>
      <c r="AU26" s="2">
        <f>IF((AND(AT26=0,SUM(AT$8:AT26)=0)),1,0)</f>
        <v>0</v>
      </c>
      <c r="AV26" s="371">
        <f t="shared" si="26"/>
        <v>44805</v>
      </c>
      <c r="AW26" s="372">
        <f t="shared" si="4"/>
        <v>0.99651700030546342</v>
      </c>
      <c r="AX26" s="372">
        <f t="shared" si="5"/>
        <v>0.99485353616260019</v>
      </c>
      <c r="AY26" s="372">
        <f t="shared" si="6"/>
        <v>0.99460193038420153</v>
      </c>
      <c r="AZ26" s="372">
        <f t="shared" si="7"/>
        <v>0.99438144320444499</v>
      </c>
      <c r="BA26" s="372">
        <f t="shared" si="8"/>
        <v>0.99723016339258574</v>
      </c>
      <c r="BB26" s="372">
        <f t="shared" si="9"/>
        <v>0.99673645738808436</v>
      </c>
      <c r="BC26" s="373">
        <v>1</v>
      </c>
      <c r="BD26" s="373">
        <v>2</v>
      </c>
      <c r="BE26" s="372">
        <f t="shared" si="10"/>
        <v>0.99731007934130145</v>
      </c>
      <c r="BF26" s="372">
        <f t="shared" si="11"/>
        <v>0.99601359542285861</v>
      </c>
      <c r="BG26" s="372">
        <f t="shared" si="12"/>
        <v>0.99467220441319726</v>
      </c>
      <c r="BH26" s="372">
        <f t="shared" si="13"/>
        <v>0.9943814432044451</v>
      </c>
      <c r="BI26" s="372">
        <f t="shared" si="14"/>
        <v>0.99723016339258563</v>
      </c>
      <c r="BJ26" s="372">
        <f t="shared" si="15"/>
        <v>0.99673645738808447</v>
      </c>
      <c r="BK26" s="7"/>
      <c r="BL26" s="41">
        <f t="shared" si="16"/>
        <v>129309</v>
      </c>
      <c r="BM26" s="41">
        <f>$T$135</f>
        <v>5247006.4900000235</v>
      </c>
      <c r="BN26" s="15">
        <f t="shared" si="17"/>
        <v>0.99485353616260019</v>
      </c>
      <c r="BO26" s="41">
        <f t="shared" si="29"/>
        <v>5274149.7107594796</v>
      </c>
      <c r="BP26" s="41">
        <f t="shared" si="18"/>
        <v>27143.220759456046</v>
      </c>
      <c r="BQ26" s="73">
        <f t="shared" si="19"/>
        <v>40.787181949898923</v>
      </c>
      <c r="BR26" s="7"/>
      <c r="BS26" s="73">
        <f t="shared" si="20"/>
        <v>40.719096794661937</v>
      </c>
      <c r="BT26" s="73">
        <f t="shared" si="21"/>
        <v>40.787181949898923</v>
      </c>
      <c r="BU26" s="73">
        <f t="shared" si="22"/>
        <v>40.797499937778987</v>
      </c>
      <c r="BV26" s="73">
        <f t="shared" si="23"/>
        <v>40.8065460898003</v>
      </c>
      <c r="BW26" s="73">
        <f t="shared" si="24"/>
        <v>40.71013144166087</v>
      </c>
      <c r="BY26" s="41">
        <f>$T$135</f>
        <v>5247006.4900000235</v>
      </c>
      <c r="BZ26" s="41">
        <f>$T$90</f>
        <v>0</v>
      </c>
      <c r="CA26" s="41">
        <f t="shared" si="28"/>
        <v>5247006.4900000235</v>
      </c>
    </row>
    <row r="27" spans="1:79" x14ac:dyDescent="0.2">
      <c r="A27" s="568" t="s">
        <v>997</v>
      </c>
      <c r="B27" s="6"/>
      <c r="C27" s="612">
        <v>1008.28</v>
      </c>
      <c r="D27" s="612">
        <v>1044.51</v>
      </c>
      <c r="E27" s="612">
        <v>2756.5299999999997</v>
      </c>
      <c r="F27" s="612">
        <v>17209.079999999998</v>
      </c>
      <c r="G27" s="612">
        <v>2355.64</v>
      </c>
      <c r="H27" s="612">
        <v>1762.77</v>
      </c>
      <c r="I27" s="612">
        <v>12744.29</v>
      </c>
      <c r="J27" s="612">
        <v>480.54</v>
      </c>
      <c r="K27" s="612">
        <v>3808.05</v>
      </c>
      <c r="L27" s="612">
        <v>8534.029999999997</v>
      </c>
      <c r="M27" s="612">
        <v>2822.6200000000003</v>
      </c>
      <c r="N27" s="612">
        <v>4487.59</v>
      </c>
      <c r="O27" s="612">
        <v>2242.1099999999997</v>
      </c>
      <c r="P27" s="612">
        <v>938.85</v>
      </c>
      <c r="Q27" s="612">
        <v>721.08</v>
      </c>
      <c r="R27" s="612">
        <v>2047.0600000000002</v>
      </c>
      <c r="S27" s="612">
        <v>364.34</v>
      </c>
      <c r="T27" s="612">
        <v>0</v>
      </c>
      <c r="U27" s="612">
        <v>0</v>
      </c>
      <c r="V27" s="612">
        <v>0</v>
      </c>
      <c r="W27" s="612">
        <v>0</v>
      </c>
      <c r="X27" s="612">
        <v>0</v>
      </c>
      <c r="Y27" s="612">
        <v>0</v>
      </c>
      <c r="Z27" s="612">
        <v>0</v>
      </c>
      <c r="AA27" s="612">
        <v>0</v>
      </c>
      <c r="AB27" s="612">
        <v>0</v>
      </c>
      <c r="AC27" s="612">
        <v>0</v>
      </c>
      <c r="AD27" s="612">
        <v>0</v>
      </c>
      <c r="AE27" s="612">
        <v>0</v>
      </c>
      <c r="AF27" s="612">
        <v>0</v>
      </c>
      <c r="AG27" s="612">
        <v>0</v>
      </c>
      <c r="AH27" s="612">
        <v>0</v>
      </c>
      <c r="AI27" s="612">
        <v>0</v>
      </c>
      <c r="AJ27" s="612">
        <v>0</v>
      </c>
      <c r="AK27" s="612">
        <v>0</v>
      </c>
      <c r="AL27" s="612">
        <v>0</v>
      </c>
      <c r="AM27" s="4"/>
      <c r="AN27" s="40">
        <f t="shared" si="25"/>
        <v>44774</v>
      </c>
      <c r="AO27" s="6">
        <v>130970</v>
      </c>
      <c r="AP27" s="6"/>
      <c r="AQ27" s="6">
        <v>0</v>
      </c>
      <c r="AR27" s="6">
        <v>0</v>
      </c>
      <c r="AS27" s="184">
        <v>0</v>
      </c>
      <c r="AT27" s="2">
        <f t="shared" si="3"/>
        <v>1</v>
      </c>
      <c r="AU27" s="2">
        <f>IF((AND(AT27=0,SUM(AT$8:AT27)=0)),1,0)</f>
        <v>0</v>
      </c>
      <c r="AV27" s="371">
        <f t="shared" si="26"/>
        <v>44774</v>
      </c>
      <c r="AW27" s="372">
        <f t="shared" si="4"/>
        <v>0.99672446837448281</v>
      </c>
      <c r="AX27" s="372">
        <f t="shared" si="5"/>
        <v>0.99525531193654615</v>
      </c>
      <c r="AY27" s="372">
        <f t="shared" si="6"/>
        <v>0.99530655873700502</v>
      </c>
      <c r="AZ27" s="372">
        <f t="shared" si="7"/>
        <v>0.99520939176505718</v>
      </c>
      <c r="BA27" s="372">
        <f t="shared" si="8"/>
        <v>0.99753456694643461</v>
      </c>
      <c r="BB27" s="372">
        <f t="shared" si="9"/>
        <v>0.99732902356122322</v>
      </c>
      <c r="BC27" s="373">
        <v>1</v>
      </c>
      <c r="BD27" s="373">
        <v>2</v>
      </c>
      <c r="BE27" s="372">
        <f t="shared" si="10"/>
        <v>0.99767848421994321</v>
      </c>
      <c r="BF27" s="372">
        <f t="shared" si="11"/>
        <v>0.99688592816021593</v>
      </c>
      <c r="BG27" s="372">
        <f t="shared" si="12"/>
        <v>0.99556362601933834</v>
      </c>
      <c r="BH27" s="372">
        <f t="shared" si="13"/>
        <v>0.9953285256955362</v>
      </c>
      <c r="BI27" s="372">
        <f t="shared" si="14"/>
        <v>0.99768110082011685</v>
      </c>
      <c r="BJ27" s="372">
        <f t="shared" si="15"/>
        <v>0.99732902356122333</v>
      </c>
      <c r="BK27" s="7"/>
      <c r="BL27" s="41">
        <f t="shared" si="16"/>
        <v>130970</v>
      </c>
      <c r="BM27" s="41">
        <f>$S$135</f>
        <v>5828321.8600000264</v>
      </c>
      <c r="BN27" s="15">
        <f t="shared" si="17"/>
        <v>0.99525531193654615</v>
      </c>
      <c r="BO27" s="41">
        <f t="shared" si="29"/>
        <v>5856107.2622254128</v>
      </c>
      <c r="BP27" s="41">
        <f t="shared" si="18"/>
        <v>27785.402225386351</v>
      </c>
      <c r="BQ27" s="73">
        <f t="shared" si="19"/>
        <v>44.71334857009554</v>
      </c>
      <c r="BR27" s="7"/>
      <c r="BS27" s="73">
        <f t="shared" si="20"/>
        <v>44.647441786427841</v>
      </c>
      <c r="BT27" s="73">
        <f t="shared" si="21"/>
        <v>44.71334857009554</v>
      </c>
      <c r="BU27" s="73">
        <f t="shared" si="22"/>
        <v>44.711046348702638</v>
      </c>
      <c r="BV27" s="73">
        <f t="shared" si="23"/>
        <v>44.715411698369024</v>
      </c>
      <c r="BW27" s="73">
        <f t="shared" si="24"/>
        <v>44.620377656267166</v>
      </c>
      <c r="BY27" s="41">
        <f>$S$135</f>
        <v>5828321.8600000264</v>
      </c>
      <c r="BZ27" s="41">
        <f>$S$90</f>
        <v>0</v>
      </c>
      <c r="CA27" s="41">
        <f t="shared" si="28"/>
        <v>5828321.8600000264</v>
      </c>
    </row>
    <row r="28" spans="1:79" x14ac:dyDescent="0.2">
      <c r="A28" s="568" t="s">
        <v>998</v>
      </c>
      <c r="B28" s="6"/>
      <c r="C28" s="612">
        <v>780.62</v>
      </c>
      <c r="D28" s="612">
        <v>7286.68</v>
      </c>
      <c r="E28" s="612">
        <v>6082.77</v>
      </c>
      <c r="F28" s="612">
        <v>1556.7000000000003</v>
      </c>
      <c r="G28" s="612">
        <v>875.63</v>
      </c>
      <c r="H28" s="612">
        <v>1391.16</v>
      </c>
      <c r="I28" s="612">
        <v>1519.01</v>
      </c>
      <c r="J28" s="612">
        <v>1984.37</v>
      </c>
      <c r="K28" s="612">
        <v>391.49</v>
      </c>
      <c r="L28" s="612">
        <v>14972.720000000001</v>
      </c>
      <c r="M28" s="612">
        <v>662.2</v>
      </c>
      <c r="N28" s="612">
        <v>2472.35</v>
      </c>
      <c r="O28" s="612">
        <v>8554.5300000000007</v>
      </c>
      <c r="P28" s="612">
        <v>425</v>
      </c>
      <c r="Q28" s="612">
        <v>2927.07</v>
      </c>
      <c r="R28" s="612">
        <v>0</v>
      </c>
      <c r="S28" s="612">
        <v>0</v>
      </c>
      <c r="T28" s="612">
        <v>0</v>
      </c>
      <c r="U28" s="612">
        <v>0</v>
      </c>
      <c r="V28" s="612">
        <v>0</v>
      </c>
      <c r="W28" s="612">
        <v>0</v>
      </c>
      <c r="X28" s="612">
        <v>0</v>
      </c>
      <c r="Y28" s="612">
        <v>0</v>
      </c>
      <c r="Z28" s="612">
        <v>0</v>
      </c>
      <c r="AA28" s="612">
        <v>0</v>
      </c>
      <c r="AB28" s="612">
        <v>0</v>
      </c>
      <c r="AC28" s="612">
        <v>0</v>
      </c>
      <c r="AD28" s="612">
        <v>0</v>
      </c>
      <c r="AE28" s="612">
        <v>0</v>
      </c>
      <c r="AF28" s="612">
        <v>0</v>
      </c>
      <c r="AG28" s="612">
        <v>0</v>
      </c>
      <c r="AH28" s="612">
        <v>0</v>
      </c>
      <c r="AI28" s="612">
        <v>0</v>
      </c>
      <c r="AJ28" s="612">
        <v>0</v>
      </c>
      <c r="AK28" s="612">
        <v>0</v>
      </c>
      <c r="AL28" s="612">
        <v>0</v>
      </c>
      <c r="AM28" s="4"/>
      <c r="AN28" s="40">
        <f t="shared" si="25"/>
        <v>44743</v>
      </c>
      <c r="AO28" s="6">
        <v>131723</v>
      </c>
      <c r="AP28" s="6"/>
      <c r="AQ28" s="6">
        <v>0</v>
      </c>
      <c r="AR28" s="6">
        <v>0</v>
      </c>
      <c r="AS28" s="184">
        <v>0</v>
      </c>
      <c r="AT28" s="2">
        <f t="shared" si="3"/>
        <v>1</v>
      </c>
      <c r="AU28" s="2">
        <f>IF((AND(AT28=0,SUM(AT$8:AT28)=0)),1,0)</f>
        <v>0</v>
      </c>
      <c r="AV28" s="371">
        <f t="shared" si="26"/>
        <v>44743</v>
      </c>
      <c r="AW28" s="372">
        <f t="shared" si="4"/>
        <v>0.99715548508501717</v>
      </c>
      <c r="AX28" s="372">
        <f t="shared" si="5"/>
        <v>0.9958210573764058</v>
      </c>
      <c r="AY28" s="372">
        <f t="shared" si="6"/>
        <v>0.99595419304663724</v>
      </c>
      <c r="AZ28" s="372">
        <f t="shared" si="7"/>
        <v>0.9959381101326531</v>
      </c>
      <c r="BA28" s="372">
        <f t="shared" si="8"/>
        <v>0.99788691701199039</v>
      </c>
      <c r="BB28" s="372">
        <f t="shared" si="9"/>
        <v>0.99777241109372983</v>
      </c>
      <c r="BC28" s="373">
        <v>1</v>
      </c>
      <c r="BD28" s="373">
        <v>2</v>
      </c>
      <c r="BE28" s="372">
        <f t="shared" si="10"/>
        <v>0.99802981276992286</v>
      </c>
      <c r="BF28" s="372">
        <f t="shared" si="11"/>
        <v>0.99745260051167473</v>
      </c>
      <c r="BG28" s="372">
        <f t="shared" si="12"/>
        <v>0.99629321548023264</v>
      </c>
      <c r="BH28" s="372">
        <f t="shared" si="13"/>
        <v>0.99615726282233763</v>
      </c>
      <c r="BI28" s="372">
        <f t="shared" si="14"/>
        <v>0.99810762989105406</v>
      </c>
      <c r="BJ28" s="372">
        <f t="shared" si="15"/>
        <v>0.99781473596067161</v>
      </c>
      <c r="BK28" s="7"/>
      <c r="BL28" s="41">
        <f t="shared" si="16"/>
        <v>131723</v>
      </c>
      <c r="BM28" s="41">
        <f>$R$135</f>
        <v>4982746.6900000153</v>
      </c>
      <c r="BN28" s="15">
        <f t="shared" si="17"/>
        <v>0.9958210573764058</v>
      </c>
      <c r="BO28" s="41">
        <f t="shared" si="29"/>
        <v>5003656.6841914151</v>
      </c>
      <c r="BP28" s="41">
        <f t="shared" si="18"/>
        <v>20909.994191399775</v>
      </c>
      <c r="BQ28" s="73">
        <f t="shared" si="19"/>
        <v>37.986203504258292</v>
      </c>
      <c r="BR28" s="7"/>
      <c r="BS28" s="73">
        <f t="shared" si="20"/>
        <v>37.935369062429281</v>
      </c>
      <c r="BT28" s="73">
        <f t="shared" si="21"/>
        <v>37.986203504258292</v>
      </c>
      <c r="BU28" s="73">
        <f t="shared" si="22"/>
        <v>37.981125641542924</v>
      </c>
      <c r="BV28" s="73">
        <f t="shared" si="23"/>
        <v>37.981738980033036</v>
      </c>
      <c r="BW28" s="73">
        <f t="shared" si="24"/>
        <v>37.911913497247767</v>
      </c>
      <c r="BY28" s="41">
        <f>$R$135</f>
        <v>4982746.6900000153</v>
      </c>
      <c r="BZ28" s="41">
        <f>$R$90</f>
        <v>0</v>
      </c>
      <c r="CA28" s="41">
        <f t="shared" si="28"/>
        <v>4982746.6900000153</v>
      </c>
    </row>
    <row r="29" spans="1:79" x14ac:dyDescent="0.2">
      <c r="A29" s="568" t="s">
        <v>999</v>
      </c>
      <c r="B29" s="6"/>
      <c r="C29" s="612">
        <v>2132.5299999999997</v>
      </c>
      <c r="D29" s="612">
        <v>3872.4399999999996</v>
      </c>
      <c r="E29" s="612">
        <v>1963.4900000000002</v>
      </c>
      <c r="F29" s="612">
        <v>4116.42</v>
      </c>
      <c r="G29" s="612">
        <v>1659.08</v>
      </c>
      <c r="H29" s="612">
        <v>0</v>
      </c>
      <c r="I29" s="612">
        <v>6301.21</v>
      </c>
      <c r="J29" s="612">
        <v>2310.96</v>
      </c>
      <c r="K29" s="612">
        <v>1319.8100000000002</v>
      </c>
      <c r="L29" s="612">
        <v>5116.28</v>
      </c>
      <c r="M29" s="612">
        <v>1507.19</v>
      </c>
      <c r="N29" s="612">
        <v>17.61</v>
      </c>
      <c r="O29" s="612">
        <v>12451.819999999998</v>
      </c>
      <c r="P29" s="612">
        <v>190.67</v>
      </c>
      <c r="Q29" s="612">
        <v>206.59</v>
      </c>
      <c r="R29" s="612">
        <v>0</v>
      </c>
      <c r="S29" s="612">
        <v>0</v>
      </c>
      <c r="T29" s="612">
        <v>0</v>
      </c>
      <c r="U29" s="612">
        <v>0</v>
      </c>
      <c r="V29" s="612">
        <v>0</v>
      </c>
      <c r="W29" s="612">
        <v>0</v>
      </c>
      <c r="X29" s="612">
        <v>0</v>
      </c>
      <c r="Y29" s="612">
        <v>0</v>
      </c>
      <c r="Z29" s="612">
        <v>0</v>
      </c>
      <c r="AA29" s="612">
        <v>0</v>
      </c>
      <c r="AB29" s="612">
        <v>0</v>
      </c>
      <c r="AC29" s="612">
        <v>0</v>
      </c>
      <c r="AD29" s="612">
        <v>0</v>
      </c>
      <c r="AE29" s="612">
        <v>0</v>
      </c>
      <c r="AF29" s="612">
        <v>0</v>
      </c>
      <c r="AG29" s="612">
        <v>0</v>
      </c>
      <c r="AH29" s="612">
        <v>0</v>
      </c>
      <c r="AI29" s="612">
        <v>0</v>
      </c>
      <c r="AJ29" s="612">
        <v>0</v>
      </c>
      <c r="AK29" s="612">
        <v>0</v>
      </c>
      <c r="AL29" s="612">
        <v>0</v>
      </c>
      <c r="AM29" s="4"/>
      <c r="AN29" s="40">
        <f t="shared" si="25"/>
        <v>44713</v>
      </c>
      <c r="AO29" s="6">
        <v>131777</v>
      </c>
      <c r="AP29" s="6"/>
      <c r="AQ29" s="6">
        <v>0</v>
      </c>
      <c r="AR29" s="6">
        <v>0</v>
      </c>
      <c r="AS29" s="184">
        <v>0</v>
      </c>
      <c r="AT29" s="2">
        <f t="shared" si="3"/>
        <v>1</v>
      </c>
      <c r="AU29" s="2">
        <f>IF((AND(AT29=0,SUM(AT$8:AT29)=0)),1,0)</f>
        <v>0</v>
      </c>
      <c r="AV29" s="371">
        <f t="shared" si="26"/>
        <v>44713</v>
      </c>
      <c r="AW29" s="372">
        <f t="shared" si="4"/>
        <v>0.998018533852287</v>
      </c>
      <c r="AX29" s="372">
        <f t="shared" si="5"/>
        <v>0.99681659724170835</v>
      </c>
      <c r="AY29" s="372">
        <f t="shared" si="6"/>
        <v>0.99668406873091242</v>
      </c>
      <c r="AZ29" s="372">
        <f t="shared" si="7"/>
        <v>0.99667105184862093</v>
      </c>
      <c r="BA29" s="372">
        <f t="shared" si="8"/>
        <v>0.99831353407355816</v>
      </c>
      <c r="BB29" s="372">
        <f t="shared" si="9"/>
        <v>0.9982583394287593</v>
      </c>
      <c r="BC29" s="373">
        <v>1</v>
      </c>
      <c r="BD29" s="373">
        <v>2</v>
      </c>
      <c r="BE29" s="372">
        <f t="shared" si="10"/>
        <v>0.99835346677657777</v>
      </c>
      <c r="BF29" s="372">
        <f t="shared" si="11"/>
        <v>0.99801320694178541</v>
      </c>
      <c r="BG29" s="372">
        <f t="shared" si="12"/>
        <v>0.9969990420284095</v>
      </c>
      <c r="BH29" s="372">
        <f t="shared" si="13"/>
        <v>0.99689036581956059</v>
      </c>
      <c r="BI29" s="372">
        <f t="shared" si="14"/>
        <v>0.99846018237442358</v>
      </c>
      <c r="BJ29" s="372">
        <f t="shared" si="15"/>
        <v>0.9982583394287593</v>
      </c>
      <c r="BK29" s="7"/>
      <c r="BL29" s="41">
        <f t="shared" si="16"/>
        <v>131777</v>
      </c>
      <c r="BM29" s="41">
        <f>$Q$135</f>
        <v>5173808.2900000196</v>
      </c>
      <c r="BN29" s="15">
        <f t="shared" si="17"/>
        <v>0.99681659724170835</v>
      </c>
      <c r="BO29" s="41">
        <f t="shared" si="29"/>
        <v>5190331.2046734244</v>
      </c>
      <c r="BP29" s="41">
        <f t="shared" si="18"/>
        <v>16522.914673404768</v>
      </c>
      <c r="BQ29" s="73">
        <f t="shared" si="19"/>
        <v>39.387231494672243</v>
      </c>
      <c r="BR29" s="7"/>
      <c r="BS29" s="73">
        <f t="shared" si="20"/>
        <v>39.339796548409218</v>
      </c>
      <c r="BT29" s="73">
        <f t="shared" si="21"/>
        <v>39.387231494672243</v>
      </c>
      <c r="BU29" s="73">
        <f t="shared" si="22"/>
        <v>39.392468792325658</v>
      </c>
      <c r="BV29" s="73">
        <f t="shared" si="23"/>
        <v>39.392983272131701</v>
      </c>
      <c r="BW29" s="73">
        <f t="shared" si="24"/>
        <v>39.330346186496897</v>
      </c>
      <c r="BY29" s="41">
        <f>$Q$135</f>
        <v>5173808.2900000196</v>
      </c>
      <c r="BZ29" s="41">
        <f>$Q$90</f>
        <v>0</v>
      </c>
      <c r="CA29" s="41">
        <f t="shared" si="28"/>
        <v>5173808.2900000196</v>
      </c>
    </row>
    <row r="30" spans="1:79" x14ac:dyDescent="0.2">
      <c r="A30" s="568" t="s">
        <v>1000</v>
      </c>
      <c r="B30" s="6"/>
      <c r="C30" s="612">
        <v>2562.75</v>
      </c>
      <c r="D30" s="612">
        <v>4138.92</v>
      </c>
      <c r="E30" s="612">
        <v>458.04</v>
      </c>
      <c r="F30" s="612">
        <v>464.34999999999997</v>
      </c>
      <c r="G30" s="612">
        <v>1689.75</v>
      </c>
      <c r="H30" s="612">
        <v>4181.34</v>
      </c>
      <c r="I30" s="612">
        <v>2656</v>
      </c>
      <c r="J30" s="612">
        <v>368.79</v>
      </c>
      <c r="K30" s="612">
        <v>2249.16</v>
      </c>
      <c r="L30" s="612">
        <v>32967.82</v>
      </c>
      <c r="M30" s="612">
        <v>2514.8200000000002</v>
      </c>
      <c r="N30" s="612">
        <v>2463.14</v>
      </c>
      <c r="O30" s="612">
        <v>1504.76</v>
      </c>
      <c r="P30" s="612">
        <v>63.8</v>
      </c>
      <c r="Q30" s="612">
        <v>0</v>
      </c>
      <c r="R30" s="612">
        <v>0</v>
      </c>
      <c r="S30" s="612">
        <v>0</v>
      </c>
      <c r="T30" s="612">
        <v>0</v>
      </c>
      <c r="U30" s="612">
        <v>0</v>
      </c>
      <c r="V30" s="612">
        <v>0</v>
      </c>
      <c r="W30" s="612">
        <v>0</v>
      </c>
      <c r="X30" s="612">
        <v>0</v>
      </c>
      <c r="Y30" s="612">
        <v>0</v>
      </c>
      <c r="Z30" s="612">
        <v>0</v>
      </c>
      <c r="AA30" s="612">
        <v>0</v>
      </c>
      <c r="AB30" s="612">
        <v>0</v>
      </c>
      <c r="AC30" s="612">
        <v>0</v>
      </c>
      <c r="AD30" s="612">
        <v>0</v>
      </c>
      <c r="AE30" s="612">
        <v>0</v>
      </c>
      <c r="AF30" s="612">
        <v>0</v>
      </c>
      <c r="AG30" s="612">
        <v>0</v>
      </c>
      <c r="AH30" s="612">
        <v>0</v>
      </c>
      <c r="AI30" s="612">
        <v>0</v>
      </c>
      <c r="AJ30" s="612">
        <v>0</v>
      </c>
      <c r="AK30" s="612">
        <v>0</v>
      </c>
      <c r="AL30" s="612">
        <v>0</v>
      </c>
      <c r="AM30" s="4"/>
      <c r="AN30" s="40">
        <f t="shared" si="25"/>
        <v>44682</v>
      </c>
      <c r="AO30" s="6">
        <v>132389</v>
      </c>
      <c r="AP30" s="6"/>
      <c r="AQ30" s="6">
        <v>0</v>
      </c>
      <c r="AR30" s="6">
        <v>0</v>
      </c>
      <c r="AS30" s="184">
        <v>0</v>
      </c>
      <c r="AT30" s="2">
        <f t="shared" si="3"/>
        <v>1</v>
      </c>
      <c r="AU30" s="2">
        <f>IF((AND(AT30=0,SUM(AT$8:AT30)=0)),1,0)</f>
        <v>0</v>
      </c>
      <c r="AV30" s="371">
        <f t="shared" si="26"/>
        <v>44682</v>
      </c>
      <c r="AW30" s="372">
        <f t="shared" si="4"/>
        <v>0.99828309105703206</v>
      </c>
      <c r="AX30" s="372">
        <f t="shared" si="5"/>
        <v>0.99841625876203022</v>
      </c>
      <c r="AY30" s="372">
        <f t="shared" si="6"/>
        <v>0.99764777761707824</v>
      </c>
      <c r="AZ30" s="372">
        <f t="shared" si="7"/>
        <v>0.99762031504036086</v>
      </c>
      <c r="BA30" s="372">
        <f t="shared" si="8"/>
        <v>0.99876496139039062</v>
      </c>
      <c r="BB30" s="372">
        <f t="shared" si="9"/>
        <v>0.99863647525462729</v>
      </c>
      <c r="BC30" s="373">
        <v>1</v>
      </c>
      <c r="BD30" s="373">
        <v>2</v>
      </c>
      <c r="BE30" s="372">
        <f t="shared" si="10"/>
        <v>0.99861811276616519</v>
      </c>
      <c r="BF30" s="372">
        <f t="shared" si="11"/>
        <v>0.99841625876203022</v>
      </c>
      <c r="BG30" s="372">
        <f t="shared" si="12"/>
        <v>0.99764777761707824</v>
      </c>
      <c r="BH30" s="372">
        <f t="shared" si="13"/>
        <v>0.99762031504036097</v>
      </c>
      <c r="BI30" s="372">
        <f t="shared" si="14"/>
        <v>0.9987649613903905</v>
      </c>
      <c r="BJ30" s="372">
        <f t="shared" si="15"/>
        <v>0.99863647525462729</v>
      </c>
      <c r="BK30" s="7"/>
      <c r="BL30" s="41">
        <f t="shared" si="16"/>
        <v>132389</v>
      </c>
      <c r="BM30" s="41">
        <f>$P$135</f>
        <v>5184205.140000008</v>
      </c>
      <c r="BN30" s="15">
        <f t="shared" si="17"/>
        <v>0.99841625876203022</v>
      </c>
      <c r="BO30" s="41">
        <f t="shared" si="29"/>
        <v>5192428.6033042753</v>
      </c>
      <c r="BP30" s="41">
        <f t="shared" si="18"/>
        <v>8223.4633042672649</v>
      </c>
      <c r="BQ30" s="73">
        <f t="shared" si="19"/>
        <v>39.220997237718201</v>
      </c>
      <c r="BR30" s="7"/>
      <c r="BS30" s="73">
        <f t="shared" si="20"/>
        <v>39.226229190694944</v>
      </c>
      <c r="BT30" s="73">
        <f t="shared" si="21"/>
        <v>39.220997237718201</v>
      </c>
      <c r="BU30" s="73">
        <f t="shared" si="22"/>
        <v>39.251208899127796</v>
      </c>
      <c r="BV30" s="73">
        <f t="shared" si="23"/>
        <v>39.252289409738282</v>
      </c>
      <c r="BW30" s="73">
        <f t="shared" si="24"/>
        <v>39.212348334276491</v>
      </c>
      <c r="BY30" s="41">
        <f>$P$135</f>
        <v>5184205.140000008</v>
      </c>
      <c r="BZ30" s="41">
        <f>$P$90</f>
        <v>0</v>
      </c>
      <c r="CA30" s="41">
        <f t="shared" si="28"/>
        <v>5184205.140000008</v>
      </c>
    </row>
    <row r="31" spans="1:79" x14ac:dyDescent="0.2">
      <c r="A31" s="568" t="s">
        <v>1001</v>
      </c>
      <c r="B31" s="6"/>
      <c r="C31" s="612">
        <v>2030.34</v>
      </c>
      <c r="D31" s="612">
        <v>1892.8699999999997</v>
      </c>
      <c r="E31" s="612">
        <v>559.61</v>
      </c>
      <c r="F31" s="612">
        <v>325</v>
      </c>
      <c r="G31" s="612">
        <v>2104</v>
      </c>
      <c r="H31" s="612">
        <v>200</v>
      </c>
      <c r="I31" s="612">
        <v>1077.5999999999999</v>
      </c>
      <c r="J31" s="612">
        <v>1691.2200000000003</v>
      </c>
      <c r="K31" s="612">
        <v>519.32999999999993</v>
      </c>
      <c r="L31" s="612">
        <v>505.29</v>
      </c>
      <c r="M31" s="612">
        <v>0</v>
      </c>
      <c r="N31" s="612">
        <v>680.06000000000006</v>
      </c>
      <c r="O31" s="612">
        <v>155.28</v>
      </c>
      <c r="P31" s="612">
        <v>0</v>
      </c>
      <c r="Q31" s="612">
        <v>0</v>
      </c>
      <c r="R31" s="612">
        <v>0</v>
      </c>
      <c r="S31" s="612">
        <v>0</v>
      </c>
      <c r="T31" s="612">
        <v>0</v>
      </c>
      <c r="U31" s="612">
        <v>0</v>
      </c>
      <c r="V31" s="612">
        <v>0</v>
      </c>
      <c r="W31" s="612">
        <v>0</v>
      </c>
      <c r="X31" s="612">
        <v>0</v>
      </c>
      <c r="Y31" s="612">
        <v>0</v>
      </c>
      <c r="Z31" s="612">
        <v>0</v>
      </c>
      <c r="AA31" s="612">
        <v>0</v>
      </c>
      <c r="AB31" s="612">
        <v>0</v>
      </c>
      <c r="AC31" s="612">
        <v>0</v>
      </c>
      <c r="AD31" s="612">
        <v>0</v>
      </c>
      <c r="AE31" s="612">
        <v>0</v>
      </c>
      <c r="AF31" s="612">
        <v>0</v>
      </c>
      <c r="AG31" s="612">
        <v>0</v>
      </c>
      <c r="AH31" s="612">
        <v>0</v>
      </c>
      <c r="AI31" s="612">
        <v>0</v>
      </c>
      <c r="AJ31" s="612">
        <v>0</v>
      </c>
      <c r="AK31" s="612">
        <v>0</v>
      </c>
      <c r="AL31" s="612">
        <v>0</v>
      </c>
      <c r="AM31" s="4"/>
      <c r="AN31" s="40">
        <f t="shared" si="25"/>
        <v>44652</v>
      </c>
      <c r="AO31" s="6">
        <v>132272</v>
      </c>
      <c r="AP31" s="6"/>
      <c r="AQ31" s="6">
        <v>0</v>
      </c>
      <c r="AR31" s="6">
        <v>0</v>
      </c>
      <c r="AS31" s="184">
        <v>0</v>
      </c>
      <c r="AT31" s="2">
        <f t="shared" si="3"/>
        <v>1</v>
      </c>
      <c r="AU31" s="2">
        <f>IF((AND(AT31=0,SUM(AT$8:AT31)=0)),1,0)</f>
        <v>0</v>
      </c>
      <c r="AV31" s="371">
        <f t="shared" si="26"/>
        <v>44652</v>
      </c>
      <c r="AW31" s="372">
        <f t="shared" ref="AW31:AW43" si="30">$E304</f>
        <v>0.99839909249938441</v>
      </c>
      <c r="AX31" s="372">
        <f t="shared" ref="AX31:AX43" si="31">$H304</f>
        <v>0.99855960916974185</v>
      </c>
      <c r="AY31" s="372">
        <f t="shared" ref="AY31:AY43" si="32">$K304</f>
        <v>0.99781957024517764</v>
      </c>
      <c r="AZ31" s="372">
        <f t="shared" ref="AZ31:AZ43" si="33">$N304</f>
        <v>0.99781957024517764</v>
      </c>
      <c r="BA31" s="372">
        <f t="shared" ref="BA31:BA43" si="34">+S304</f>
        <v>0.99888990802774891</v>
      </c>
      <c r="BB31" s="372">
        <f t="shared" ref="BB31:BB43" si="35">$V304</f>
        <v>0.99879441742157193</v>
      </c>
      <c r="BC31" s="373">
        <v>1</v>
      </c>
      <c r="BD31" s="373">
        <v>2</v>
      </c>
      <c r="BE31" s="372">
        <f t="shared" ref="BE31:BE42" si="36">$E372</f>
        <v>0.99885738910167121</v>
      </c>
      <c r="BF31" s="372">
        <f t="shared" ref="BF31:BF42" si="37">$H372</f>
        <v>0.99869284334431696</v>
      </c>
      <c r="BG31" s="372">
        <f t="shared" ref="BG31:BG42" si="38">$K372</f>
        <v>0.99808640950974148</v>
      </c>
      <c r="BH31" s="372">
        <f t="shared" ref="BH31:BH42" si="39">$N372</f>
        <v>0.9980589348586606</v>
      </c>
      <c r="BI31" s="372">
        <f t="shared" ref="BI31:BI42" si="40">$S372</f>
        <v>0.99895036483883171</v>
      </c>
      <c r="BJ31" s="372">
        <f t="shared" ref="BJ31:BJ42" si="41">$V372</f>
        <v>0.99880942415409357</v>
      </c>
      <c r="BK31" s="7"/>
      <c r="BL31" s="41">
        <f t="shared" si="16"/>
        <v>132272</v>
      </c>
      <c r="BM31" s="41">
        <f>$O$135</f>
        <v>4947613.3400000166</v>
      </c>
      <c r="BN31" s="15">
        <f t="shared" si="17"/>
        <v>0.99855960916974185</v>
      </c>
      <c r="BO31" s="41">
        <f t="shared" si="29"/>
        <v>4954750.1166342366</v>
      </c>
      <c r="BP31" s="41">
        <f t="shared" si="18"/>
        <v>7136.7766342200339</v>
      </c>
      <c r="BQ31" s="73">
        <f t="shared" si="19"/>
        <v>37.458797906089245</v>
      </c>
      <c r="BR31" s="7"/>
      <c r="BS31" s="73">
        <f t="shared" si="20"/>
        <v>37.464820308914582</v>
      </c>
      <c r="BT31" s="73">
        <f t="shared" si="21"/>
        <v>37.458797906089245</v>
      </c>
      <c r="BU31" s="73">
        <f t="shared" si="22"/>
        <v>37.486579450312796</v>
      </c>
      <c r="BV31" s="73">
        <f t="shared" si="23"/>
        <v>37.486579450312796</v>
      </c>
      <c r="BW31" s="73">
        <f t="shared" si="24"/>
        <v>37.449991654573857</v>
      </c>
      <c r="BY31" s="41">
        <f>$O$135</f>
        <v>4947613.3400000166</v>
      </c>
      <c r="BZ31" s="41">
        <f>$O$90</f>
        <v>0</v>
      </c>
      <c r="CA31" s="41">
        <f t="shared" si="28"/>
        <v>4947613.3400000166</v>
      </c>
    </row>
    <row r="32" spans="1:79" x14ac:dyDescent="0.2">
      <c r="A32" s="568" t="s">
        <v>1043</v>
      </c>
      <c r="B32" s="6"/>
      <c r="C32" s="612">
        <v>111.62</v>
      </c>
      <c r="D32" s="612">
        <v>700.23</v>
      </c>
      <c r="E32" s="612">
        <v>196.5</v>
      </c>
      <c r="F32" s="612">
        <v>100</v>
      </c>
      <c r="G32" s="612">
        <v>2266.13</v>
      </c>
      <c r="H32" s="612">
        <v>11.18</v>
      </c>
      <c r="I32" s="612">
        <v>982.1099999999999</v>
      </c>
      <c r="J32" s="612">
        <v>1292.28</v>
      </c>
      <c r="K32" s="612">
        <v>0</v>
      </c>
      <c r="L32" s="612">
        <v>1780.88</v>
      </c>
      <c r="M32" s="612">
        <v>1074.72</v>
      </c>
      <c r="N32" s="612">
        <v>196.93</v>
      </c>
      <c r="O32" s="612">
        <v>0</v>
      </c>
      <c r="P32" s="612">
        <v>0</v>
      </c>
      <c r="Q32" s="612">
        <v>0</v>
      </c>
      <c r="R32" s="612">
        <v>0</v>
      </c>
      <c r="S32" s="612">
        <v>0</v>
      </c>
      <c r="T32" s="612">
        <v>0</v>
      </c>
      <c r="U32" s="612">
        <v>0</v>
      </c>
      <c r="V32" s="612">
        <v>0</v>
      </c>
      <c r="W32" s="612">
        <v>0</v>
      </c>
      <c r="X32" s="612">
        <v>0</v>
      </c>
      <c r="Y32" s="612">
        <v>0</v>
      </c>
      <c r="Z32" s="612">
        <v>0</v>
      </c>
      <c r="AA32" s="612">
        <v>0</v>
      </c>
      <c r="AB32" s="612">
        <v>0</v>
      </c>
      <c r="AC32" s="612">
        <v>0</v>
      </c>
      <c r="AD32" s="612">
        <v>0</v>
      </c>
      <c r="AE32" s="612">
        <v>0</v>
      </c>
      <c r="AF32" s="612">
        <v>0</v>
      </c>
      <c r="AG32" s="612">
        <v>0</v>
      </c>
      <c r="AH32" s="612">
        <v>0</v>
      </c>
      <c r="AI32" s="612">
        <v>0</v>
      </c>
      <c r="AJ32" s="612">
        <v>0</v>
      </c>
      <c r="AK32" s="612">
        <v>0</v>
      </c>
      <c r="AL32" s="612">
        <v>0</v>
      </c>
      <c r="AM32" s="4"/>
      <c r="AN32" s="40">
        <f t="shared" si="25"/>
        <v>44621</v>
      </c>
      <c r="AO32" s="6">
        <v>131999</v>
      </c>
      <c r="AP32" s="6"/>
      <c r="AQ32" s="6">
        <v>0</v>
      </c>
      <c r="AR32" s="6">
        <v>0</v>
      </c>
      <c r="AS32" s="184">
        <v>0</v>
      </c>
      <c r="AT32" s="2">
        <f t="shared" si="3"/>
        <v>1</v>
      </c>
      <c r="AU32" s="2">
        <f>IF((AND(AT32=0,SUM(AT$8:AT32)=0)),1,0)</f>
        <v>0</v>
      </c>
      <c r="AV32" s="371">
        <f t="shared" si="26"/>
        <v>44621</v>
      </c>
      <c r="AW32" s="372">
        <f t="shared" si="30"/>
        <v>0.99863831635600375</v>
      </c>
      <c r="AX32" s="372">
        <f t="shared" si="31"/>
        <v>0.99875322259604904</v>
      </c>
      <c r="AY32" s="372">
        <f t="shared" si="32"/>
        <v>0.99800778177093352</v>
      </c>
      <c r="AZ32" s="372">
        <f t="shared" si="33"/>
        <v>0.99800778177093352</v>
      </c>
      <c r="BA32" s="372">
        <f t="shared" si="34"/>
        <v>0.99907533467037335</v>
      </c>
      <c r="BB32" s="372">
        <f t="shared" si="35"/>
        <v>0.99893869678767255</v>
      </c>
      <c r="BC32" s="373">
        <v>1</v>
      </c>
      <c r="BD32" s="373">
        <v>2</v>
      </c>
      <c r="BE32" s="372">
        <f t="shared" si="36"/>
        <v>0.99907289077808115</v>
      </c>
      <c r="BF32" s="372">
        <f t="shared" si="37"/>
        <v>0.99890312252296798</v>
      </c>
      <c r="BG32" s="372">
        <f t="shared" si="38"/>
        <v>0.99836290271609474</v>
      </c>
      <c r="BH32" s="372">
        <f t="shared" si="39"/>
        <v>0.9983354204538949</v>
      </c>
      <c r="BI32" s="372">
        <f t="shared" si="40"/>
        <v>0.99908653851438323</v>
      </c>
      <c r="BJ32" s="372">
        <f t="shared" si="41"/>
        <v>0.99896739367425891</v>
      </c>
      <c r="BK32" s="7"/>
      <c r="BL32" s="41">
        <f t="shared" si="16"/>
        <v>131999</v>
      </c>
      <c r="BM32" s="41">
        <f>$N$135</f>
        <v>5147624.0600000061</v>
      </c>
      <c r="BN32" s="15">
        <f t="shared" si="17"/>
        <v>0.99875322259604904</v>
      </c>
      <c r="BO32" s="41">
        <f t="shared" si="29"/>
        <v>5154050.0130951665</v>
      </c>
      <c r="BP32" s="41">
        <f t="shared" si="18"/>
        <v>6425.9530951604247</v>
      </c>
      <c r="BQ32" s="73">
        <f t="shared" si="19"/>
        <v>39.046129236548509</v>
      </c>
      <c r="BR32" s="7"/>
      <c r="BS32" s="73">
        <f t="shared" si="20"/>
        <v>39.050621998167408</v>
      </c>
      <c r="BT32" s="73">
        <f t="shared" si="21"/>
        <v>39.046129236548509</v>
      </c>
      <c r="BU32" s="73">
        <f t="shared" si="22"/>
        <v>39.075293917753712</v>
      </c>
      <c r="BV32" s="73">
        <f t="shared" si="23"/>
        <v>39.075293917753712</v>
      </c>
      <c r="BW32" s="73">
        <f t="shared" si="24"/>
        <v>39.038879493116333</v>
      </c>
      <c r="BY32" s="41">
        <f>$N$135</f>
        <v>5147624.0600000061</v>
      </c>
      <c r="BZ32" s="41">
        <f>$N$90</f>
        <v>0</v>
      </c>
      <c r="CA32" s="41">
        <f t="shared" si="28"/>
        <v>5147624.0600000061</v>
      </c>
    </row>
    <row r="33" spans="1:79" x14ac:dyDescent="0.2">
      <c r="A33" s="568" t="s">
        <v>1044</v>
      </c>
      <c r="B33" s="6"/>
      <c r="C33" s="612">
        <v>7579.7400000000007</v>
      </c>
      <c r="D33" s="612">
        <v>0</v>
      </c>
      <c r="E33" s="612">
        <v>261.60000000000002</v>
      </c>
      <c r="F33" s="612">
        <v>60</v>
      </c>
      <c r="G33" s="612">
        <v>1399.81</v>
      </c>
      <c r="H33" s="612">
        <v>892.43999999999994</v>
      </c>
      <c r="I33" s="612">
        <v>665.73</v>
      </c>
      <c r="J33" s="612">
        <v>0</v>
      </c>
      <c r="K33" s="612">
        <v>325.31</v>
      </c>
      <c r="L33" s="612">
        <v>304.06</v>
      </c>
      <c r="M33" s="612">
        <v>0</v>
      </c>
      <c r="N33" s="612">
        <v>0</v>
      </c>
      <c r="O33" s="612">
        <v>0</v>
      </c>
      <c r="P33" s="612">
        <v>0</v>
      </c>
      <c r="Q33" s="612">
        <v>0</v>
      </c>
      <c r="R33" s="612">
        <v>0</v>
      </c>
      <c r="S33" s="612">
        <v>0</v>
      </c>
      <c r="T33" s="612">
        <v>0</v>
      </c>
      <c r="U33" s="612">
        <v>0</v>
      </c>
      <c r="V33" s="612">
        <v>0</v>
      </c>
      <c r="W33" s="612">
        <v>0</v>
      </c>
      <c r="X33" s="612">
        <v>0</v>
      </c>
      <c r="Y33" s="612">
        <v>0</v>
      </c>
      <c r="Z33" s="612">
        <v>0</v>
      </c>
      <c r="AA33" s="612">
        <v>0</v>
      </c>
      <c r="AB33" s="612">
        <v>0</v>
      </c>
      <c r="AC33" s="612">
        <v>0</v>
      </c>
      <c r="AD33" s="612">
        <v>0</v>
      </c>
      <c r="AE33" s="612">
        <v>0</v>
      </c>
      <c r="AF33" s="612">
        <v>0</v>
      </c>
      <c r="AG33" s="612">
        <v>0</v>
      </c>
      <c r="AH33" s="612">
        <v>0</v>
      </c>
      <c r="AI33" s="612">
        <v>0</v>
      </c>
      <c r="AJ33" s="612">
        <v>0</v>
      </c>
      <c r="AK33" s="612">
        <v>0</v>
      </c>
      <c r="AL33" s="612">
        <v>0</v>
      </c>
      <c r="AM33" s="4"/>
      <c r="AN33" s="40">
        <f t="shared" si="25"/>
        <v>44593</v>
      </c>
      <c r="AO33" s="6">
        <v>132944</v>
      </c>
      <c r="AP33" s="6"/>
      <c r="AQ33" s="6">
        <v>0</v>
      </c>
      <c r="AR33" s="6">
        <v>0</v>
      </c>
      <c r="AS33" s="184">
        <v>0</v>
      </c>
      <c r="AT33" s="2">
        <f t="shared" si="3"/>
        <v>1</v>
      </c>
      <c r="AU33" s="2">
        <f>IF((AND(AT33=0,SUM(AT$8:AT33)=0)),1,0)</f>
        <v>0</v>
      </c>
      <c r="AV33" s="371">
        <f t="shared" si="26"/>
        <v>44593</v>
      </c>
      <c r="AW33" s="372">
        <f t="shared" si="30"/>
        <v>0.99868232528268597</v>
      </c>
      <c r="AX33" s="372">
        <f t="shared" si="31"/>
        <v>0.99882669871213026</v>
      </c>
      <c r="AY33" s="372">
        <f t="shared" si="32"/>
        <v>0.99825876552868331</v>
      </c>
      <c r="AZ33" s="372">
        <f t="shared" si="33"/>
        <v>0.99825876552868331</v>
      </c>
      <c r="BA33" s="372">
        <f t="shared" si="34"/>
        <v>0.99914479272856738</v>
      </c>
      <c r="BB33" s="372">
        <f t="shared" si="35"/>
        <v>0.99903446531767837</v>
      </c>
      <c r="BC33" s="373">
        <v>1</v>
      </c>
      <c r="BD33" s="373">
        <v>2</v>
      </c>
      <c r="BE33" s="372">
        <f t="shared" si="36"/>
        <v>0.99928089096613193</v>
      </c>
      <c r="BF33" s="372">
        <f t="shared" si="37"/>
        <v>0.99909680255400934</v>
      </c>
      <c r="BG33" s="372">
        <f t="shared" si="38"/>
        <v>0.9986139757813538</v>
      </c>
      <c r="BH33" s="372">
        <f t="shared" si="39"/>
        <v>0.9985864866077836</v>
      </c>
      <c r="BI33" s="372">
        <f t="shared" si="40"/>
        <v>0.99921152538140701</v>
      </c>
      <c r="BJ33" s="372">
        <f t="shared" si="41"/>
        <v>0.99911169802738753</v>
      </c>
      <c r="BK33" s="7"/>
      <c r="BL33" s="41">
        <f t="shared" si="16"/>
        <v>132944</v>
      </c>
      <c r="BM33" s="41">
        <f>$M$135</f>
        <v>4139015.1400000034</v>
      </c>
      <c r="BN33" s="15">
        <f t="shared" si="17"/>
        <v>0.99882669871213026</v>
      </c>
      <c r="BO33" s="41">
        <f t="shared" si="29"/>
        <v>4143877.1564043867</v>
      </c>
      <c r="BP33" s="41">
        <f t="shared" si="18"/>
        <v>4862.0164043833502</v>
      </c>
      <c r="BQ33" s="73">
        <f t="shared" si="19"/>
        <v>31.17009535145916</v>
      </c>
      <c r="BR33" s="7"/>
      <c r="BS33" s="73">
        <f t="shared" si="20"/>
        <v>31.174601422557117</v>
      </c>
      <c r="BT33" s="73">
        <f t="shared" si="21"/>
        <v>31.17009535145916</v>
      </c>
      <c r="BU33" s="73">
        <f t="shared" si="22"/>
        <v>31.187828760964386</v>
      </c>
      <c r="BV33" s="73">
        <f t="shared" si="23"/>
        <v>31.187828760964386</v>
      </c>
      <c r="BW33" s="73">
        <f t="shared" si="24"/>
        <v>31.163612987606253</v>
      </c>
      <c r="BY33" s="41">
        <f>$M$135</f>
        <v>4139015.1400000034</v>
      </c>
      <c r="BZ33" s="41">
        <f>$M$90</f>
        <v>0</v>
      </c>
      <c r="CA33" s="41">
        <f t="shared" si="28"/>
        <v>4139015.1400000034</v>
      </c>
    </row>
    <row r="34" spans="1:79" x14ac:dyDescent="0.2">
      <c r="A34" s="568" t="s">
        <v>1045</v>
      </c>
      <c r="B34" s="6"/>
      <c r="C34" s="612">
        <v>0</v>
      </c>
      <c r="D34" s="612">
        <v>40</v>
      </c>
      <c r="E34" s="612">
        <v>4187.8999999999996</v>
      </c>
      <c r="F34" s="612">
        <v>832.27</v>
      </c>
      <c r="G34" s="612">
        <v>739.43999999999994</v>
      </c>
      <c r="H34" s="612">
        <v>1897.44</v>
      </c>
      <c r="I34" s="612">
        <v>0</v>
      </c>
      <c r="J34" s="612">
        <v>-1459.27</v>
      </c>
      <c r="K34" s="612">
        <v>895.31999999999994</v>
      </c>
      <c r="L34" s="612">
        <v>0</v>
      </c>
      <c r="M34" s="612">
        <v>0</v>
      </c>
      <c r="N34" s="612">
        <v>0</v>
      </c>
      <c r="O34" s="612">
        <v>0</v>
      </c>
      <c r="P34" s="612">
        <v>0</v>
      </c>
      <c r="Q34" s="612">
        <v>0</v>
      </c>
      <c r="R34" s="612">
        <v>0</v>
      </c>
      <c r="S34" s="612">
        <v>0</v>
      </c>
      <c r="T34" s="612">
        <v>0</v>
      </c>
      <c r="U34" s="612">
        <v>0</v>
      </c>
      <c r="V34" s="612">
        <v>0</v>
      </c>
      <c r="W34" s="612">
        <v>0</v>
      </c>
      <c r="X34" s="612">
        <v>0</v>
      </c>
      <c r="Y34" s="612">
        <v>0</v>
      </c>
      <c r="Z34" s="612">
        <v>0</v>
      </c>
      <c r="AA34" s="612">
        <v>0</v>
      </c>
      <c r="AB34" s="612">
        <v>0</v>
      </c>
      <c r="AC34" s="612">
        <v>0</v>
      </c>
      <c r="AD34" s="612">
        <v>0</v>
      </c>
      <c r="AE34" s="612">
        <v>0</v>
      </c>
      <c r="AF34" s="612">
        <v>0</v>
      </c>
      <c r="AG34" s="612">
        <v>0</v>
      </c>
      <c r="AH34" s="612">
        <v>0</v>
      </c>
      <c r="AI34" s="612">
        <v>0</v>
      </c>
      <c r="AJ34" s="612">
        <v>0</v>
      </c>
      <c r="AK34" s="612">
        <v>0</v>
      </c>
      <c r="AL34" s="612">
        <v>0</v>
      </c>
      <c r="AM34" s="4"/>
      <c r="AN34" s="40">
        <f t="shared" si="25"/>
        <v>44562</v>
      </c>
      <c r="AO34" s="6">
        <v>129231</v>
      </c>
      <c r="AP34" s="6"/>
      <c r="AQ34" s="6">
        <v>0</v>
      </c>
      <c r="AR34" s="6">
        <v>0</v>
      </c>
      <c r="AS34" s="184">
        <v>0</v>
      </c>
      <c r="AT34" s="2">
        <f t="shared" si="3"/>
        <v>1</v>
      </c>
      <c r="AU34" s="2">
        <f>IF((AND(AT34=0,SUM(AT$8:AT34)=0)),1,0)</f>
        <v>0</v>
      </c>
      <c r="AV34" s="371">
        <f t="shared" si="26"/>
        <v>44562</v>
      </c>
      <c r="AW34" s="372">
        <f t="shared" si="30"/>
        <v>0.99868232528268597</v>
      </c>
      <c r="AX34" s="372">
        <f t="shared" si="31"/>
        <v>0.99889423617720996</v>
      </c>
      <c r="AY34" s="372">
        <f t="shared" si="32"/>
        <v>0.99842027636537412</v>
      </c>
      <c r="AZ34" s="372">
        <f t="shared" si="33"/>
        <v>0.99842027636537412</v>
      </c>
      <c r="BA34" s="372">
        <f t="shared" si="34"/>
        <v>0.99922362359290762</v>
      </c>
      <c r="BB34" s="372">
        <f t="shared" si="35"/>
        <v>0.9991461465952205</v>
      </c>
      <c r="BC34" s="373">
        <v>1</v>
      </c>
      <c r="BD34" s="373">
        <v>2</v>
      </c>
      <c r="BE34" s="372">
        <f t="shared" si="36"/>
        <v>0.99943065196025738</v>
      </c>
      <c r="BF34" s="372">
        <f t="shared" si="37"/>
        <v>0.99925408391802739</v>
      </c>
      <c r="BG34" s="372">
        <f t="shared" si="38"/>
        <v>0.99882423835409195</v>
      </c>
      <c r="BH34" s="372">
        <f t="shared" si="39"/>
        <v>0.99879674339255509</v>
      </c>
      <c r="BI34" s="372">
        <f t="shared" si="40"/>
        <v>0.99932546245664011</v>
      </c>
      <c r="BJ34" s="372">
        <f t="shared" si="41"/>
        <v>0.99924202853532906</v>
      </c>
      <c r="BK34" s="7"/>
      <c r="BL34" s="41">
        <f t="shared" si="16"/>
        <v>129231</v>
      </c>
      <c r="BM34" s="41">
        <f>$L$135</f>
        <v>4233060.1300000073</v>
      </c>
      <c r="BN34" s="15">
        <f t="shared" si="17"/>
        <v>0.99889423617720996</v>
      </c>
      <c r="BO34" s="41">
        <f t="shared" si="29"/>
        <v>4237746.0763013521</v>
      </c>
      <c r="BP34" s="41">
        <f t="shared" si="18"/>
        <v>4685.9463013447821</v>
      </c>
      <c r="BQ34" s="73">
        <f t="shared" si="19"/>
        <v>32.792024176098245</v>
      </c>
      <c r="BR34" s="7"/>
      <c r="BS34" s="73">
        <f t="shared" si="20"/>
        <v>32.798982331860579</v>
      </c>
      <c r="BT34" s="73">
        <f t="shared" si="21"/>
        <v>32.792024176098245</v>
      </c>
      <c r="BU34" s="73">
        <f t="shared" si="22"/>
        <v>32.807590868778803</v>
      </c>
      <c r="BV34" s="73">
        <f t="shared" si="23"/>
        <v>32.807590868778803</v>
      </c>
      <c r="BW34" s="73">
        <f t="shared" si="24"/>
        <v>32.78375646416665</v>
      </c>
      <c r="BY34" s="41">
        <f>$L$135</f>
        <v>4233060.1300000073</v>
      </c>
      <c r="BZ34" s="41">
        <f>$L$90</f>
        <v>0</v>
      </c>
      <c r="CA34" s="41">
        <f t="shared" si="28"/>
        <v>4233060.1300000073</v>
      </c>
    </row>
    <row r="35" spans="1:79" x14ac:dyDescent="0.2">
      <c r="A35" s="568" t="s">
        <v>1046</v>
      </c>
      <c r="B35" s="6"/>
      <c r="C35" s="612">
        <v>0</v>
      </c>
      <c r="D35" s="612">
        <v>484.66</v>
      </c>
      <c r="E35" s="612">
        <v>162.55000000000001</v>
      </c>
      <c r="F35" s="612">
        <v>277.64</v>
      </c>
      <c r="G35" s="612">
        <v>1345.54</v>
      </c>
      <c r="H35" s="612">
        <v>0</v>
      </c>
      <c r="I35" s="612">
        <v>-2793.31</v>
      </c>
      <c r="J35" s="612">
        <v>2332.7799999999997</v>
      </c>
      <c r="K35" s="612">
        <v>0</v>
      </c>
      <c r="L35" s="612">
        <v>0</v>
      </c>
      <c r="M35" s="612">
        <v>0</v>
      </c>
      <c r="N35" s="612">
        <v>0</v>
      </c>
      <c r="O35" s="612">
        <v>0</v>
      </c>
      <c r="P35" s="612">
        <v>0</v>
      </c>
      <c r="Q35" s="612">
        <v>0</v>
      </c>
      <c r="R35" s="612">
        <v>0</v>
      </c>
      <c r="S35" s="612">
        <v>0</v>
      </c>
      <c r="T35" s="612">
        <v>0</v>
      </c>
      <c r="U35" s="612">
        <v>0</v>
      </c>
      <c r="V35" s="612">
        <v>0</v>
      </c>
      <c r="W35" s="612">
        <v>0</v>
      </c>
      <c r="X35" s="612">
        <v>0</v>
      </c>
      <c r="Y35" s="612">
        <v>0</v>
      </c>
      <c r="Z35" s="612">
        <v>0</v>
      </c>
      <c r="AA35" s="612">
        <v>0</v>
      </c>
      <c r="AB35" s="612">
        <v>0</v>
      </c>
      <c r="AC35" s="612">
        <v>0</v>
      </c>
      <c r="AD35" s="612">
        <v>0</v>
      </c>
      <c r="AE35" s="612">
        <v>0</v>
      </c>
      <c r="AF35" s="612">
        <v>0</v>
      </c>
      <c r="AG35" s="612">
        <v>0</v>
      </c>
      <c r="AH35" s="612">
        <v>0</v>
      </c>
      <c r="AI35" s="612">
        <v>0</v>
      </c>
      <c r="AJ35" s="612">
        <v>0</v>
      </c>
      <c r="AK35" s="612">
        <v>0</v>
      </c>
      <c r="AL35" s="612">
        <v>0</v>
      </c>
      <c r="AM35" s="4"/>
      <c r="AN35" s="40">
        <f t="shared" si="25"/>
        <v>44531</v>
      </c>
      <c r="AO35" s="6">
        <v>110175</v>
      </c>
      <c r="AP35" s="6"/>
      <c r="AQ35" s="6">
        <v>0</v>
      </c>
      <c r="AR35" s="6">
        <v>0</v>
      </c>
      <c r="AS35" s="184">
        <v>0</v>
      </c>
      <c r="AT35" s="2">
        <f t="shared" si="3"/>
        <v>1</v>
      </c>
      <c r="AU35" s="2">
        <f>IF((AND(AT35=0,SUM(AT$8:AT35)=0)),1,0)</f>
        <v>0</v>
      </c>
      <c r="AV35" s="371">
        <f t="shared" si="26"/>
        <v>44531</v>
      </c>
      <c r="AW35" s="372">
        <f t="shared" si="30"/>
        <v>0.99869582598052897</v>
      </c>
      <c r="AX35" s="372">
        <f t="shared" si="31"/>
        <v>0.99895004318100944</v>
      </c>
      <c r="AY35" s="372">
        <f t="shared" si="32"/>
        <v>0.99859625237429195</v>
      </c>
      <c r="AZ35" s="372">
        <f t="shared" si="33"/>
        <v>0.99859625237429195</v>
      </c>
      <c r="BA35" s="372">
        <f t="shared" si="34"/>
        <v>0.99930514719864094</v>
      </c>
      <c r="BB35" s="372">
        <f t="shared" si="35"/>
        <v>0.99922906218545737</v>
      </c>
      <c r="BC35" s="373">
        <v>1</v>
      </c>
      <c r="BD35" s="373">
        <v>2</v>
      </c>
      <c r="BE35" s="372">
        <f t="shared" si="36"/>
        <v>0.99957316448126377</v>
      </c>
      <c r="BF35" s="372">
        <f t="shared" si="37"/>
        <v>0.99940578130750157</v>
      </c>
      <c r="BG35" s="372">
        <f t="shared" si="38"/>
        <v>0.99901263938316409</v>
      </c>
      <c r="BH35" s="372">
        <f t="shared" si="39"/>
        <v>0.99899623356599543</v>
      </c>
      <c r="BI35" s="372">
        <f t="shared" si="40"/>
        <v>0.9994387403770012</v>
      </c>
      <c r="BJ35" s="372">
        <f t="shared" si="41"/>
        <v>0.9993559690887448</v>
      </c>
      <c r="BK35" s="7"/>
      <c r="BL35" s="41">
        <f t="shared" si="16"/>
        <v>110175</v>
      </c>
      <c r="BM35" s="41">
        <f>$K$135</f>
        <v>5389396.6899999995</v>
      </c>
      <c r="BN35" s="15">
        <f t="shared" si="17"/>
        <v>0.99895004318100944</v>
      </c>
      <c r="BO35" s="41">
        <f t="shared" si="29"/>
        <v>5395061.2713707471</v>
      </c>
      <c r="BP35" s="41">
        <f t="shared" si="18"/>
        <v>5664.5813707476482</v>
      </c>
      <c r="BQ35" s="73">
        <f t="shared" si="19"/>
        <v>48.96810775013158</v>
      </c>
      <c r="BR35" s="7"/>
      <c r="BS35" s="73">
        <f t="shared" si="20"/>
        <v>48.980572541653906</v>
      </c>
      <c r="BT35" s="73">
        <f t="shared" si="21"/>
        <v>48.96810775013158</v>
      </c>
      <c r="BU35" s="73">
        <f t="shared" si="22"/>
        <v>48.985456569840409</v>
      </c>
      <c r="BV35" s="73">
        <f t="shared" si="23"/>
        <v>48.985456569840409</v>
      </c>
      <c r="BW35" s="73">
        <f t="shared" si="24"/>
        <v>48.954434175982072</v>
      </c>
      <c r="BY35" s="41">
        <f>$K$135</f>
        <v>5389396.6899999995</v>
      </c>
      <c r="BZ35" s="41">
        <f>$K$90</f>
        <v>0</v>
      </c>
      <c r="CA35" s="41">
        <f t="shared" si="28"/>
        <v>5389396.6899999995</v>
      </c>
    </row>
    <row r="36" spans="1:79" x14ac:dyDescent="0.2">
      <c r="A36" s="568" t="s">
        <v>1047</v>
      </c>
      <c r="B36" s="6"/>
      <c r="C36" s="612">
        <v>478.61</v>
      </c>
      <c r="D36" s="612">
        <v>11210.26</v>
      </c>
      <c r="E36" s="612">
        <v>246.92</v>
      </c>
      <c r="F36" s="612">
        <v>742.63</v>
      </c>
      <c r="G36" s="612">
        <v>0</v>
      </c>
      <c r="H36" s="612">
        <v>0</v>
      </c>
      <c r="I36" s="612">
        <v>1309.46</v>
      </c>
      <c r="J36" s="612">
        <v>219.96</v>
      </c>
      <c r="K36" s="612">
        <v>0</v>
      </c>
      <c r="L36" s="612">
        <v>0</v>
      </c>
      <c r="M36" s="612">
        <v>0</v>
      </c>
      <c r="N36" s="612">
        <v>0</v>
      </c>
      <c r="O36" s="612">
        <v>0</v>
      </c>
      <c r="P36" s="612">
        <v>0</v>
      </c>
      <c r="Q36" s="612">
        <v>0</v>
      </c>
      <c r="R36" s="612">
        <v>0</v>
      </c>
      <c r="S36" s="612">
        <v>0</v>
      </c>
      <c r="T36" s="612">
        <v>0</v>
      </c>
      <c r="U36" s="612">
        <v>0</v>
      </c>
      <c r="V36" s="612">
        <v>0</v>
      </c>
      <c r="W36" s="612">
        <v>0</v>
      </c>
      <c r="X36" s="612">
        <v>0</v>
      </c>
      <c r="Y36" s="612">
        <v>0</v>
      </c>
      <c r="Z36" s="612">
        <v>0</v>
      </c>
      <c r="AA36" s="612">
        <v>0</v>
      </c>
      <c r="AB36" s="612">
        <v>0</v>
      </c>
      <c r="AC36" s="612">
        <v>0</v>
      </c>
      <c r="AD36" s="612">
        <v>0</v>
      </c>
      <c r="AE36" s="612">
        <v>0</v>
      </c>
      <c r="AF36" s="612">
        <v>0</v>
      </c>
      <c r="AG36" s="612">
        <v>0</v>
      </c>
      <c r="AH36" s="612">
        <v>0</v>
      </c>
      <c r="AI36" s="612">
        <v>0</v>
      </c>
      <c r="AJ36" s="612">
        <v>0</v>
      </c>
      <c r="AK36" s="612">
        <v>0</v>
      </c>
      <c r="AL36" s="612">
        <v>0</v>
      </c>
      <c r="AM36" s="4"/>
      <c r="AN36" s="40">
        <f t="shared" si="25"/>
        <v>44501</v>
      </c>
      <c r="AO36" s="6">
        <v>108297</v>
      </c>
      <c r="AP36" s="6"/>
      <c r="AQ36" s="6">
        <v>0</v>
      </c>
      <c r="AR36" s="6">
        <v>0</v>
      </c>
      <c r="AS36" s="184">
        <v>0</v>
      </c>
      <c r="AT36" s="2">
        <f t="shared" si="3"/>
        <v>1</v>
      </c>
      <c r="AU36" s="2">
        <f>IF((AND(AT36=0,SUM(AT$8:AT36)=0)),1,0)</f>
        <v>0</v>
      </c>
      <c r="AV36" s="371">
        <f t="shared" si="26"/>
        <v>44501</v>
      </c>
      <c r="AW36" s="372">
        <f t="shared" si="30"/>
        <v>0.99880451665857073</v>
      </c>
      <c r="AX36" s="372">
        <f t="shared" si="31"/>
        <v>0.99905939582209846</v>
      </c>
      <c r="AY36" s="372">
        <f t="shared" si="32"/>
        <v>0.99903530127913842</v>
      </c>
      <c r="AZ36" s="372">
        <f t="shared" si="33"/>
        <v>0.99903530127913842</v>
      </c>
      <c r="BA36" s="372">
        <f t="shared" si="34"/>
        <v>0.99939624764688262</v>
      </c>
      <c r="BB36" s="372">
        <f t="shared" si="35"/>
        <v>0.99935940800312884</v>
      </c>
      <c r="BC36" s="373">
        <v>1</v>
      </c>
      <c r="BD36" s="373">
        <v>2</v>
      </c>
      <c r="BE36" s="372">
        <f t="shared" si="36"/>
        <v>0.99968931583137211</v>
      </c>
      <c r="BF36" s="372">
        <f t="shared" si="37"/>
        <v>0.99954927378868119</v>
      </c>
      <c r="BG36" s="372">
        <f t="shared" si="38"/>
        <v>0.99918871979869528</v>
      </c>
      <c r="BH36" s="372">
        <f t="shared" si="39"/>
        <v>0.99918466703728681</v>
      </c>
      <c r="BI36" s="372">
        <f t="shared" si="40"/>
        <v>0.99954282080238932</v>
      </c>
      <c r="BJ36" s="372">
        <f t="shared" si="41"/>
        <v>0.99946925046716628</v>
      </c>
      <c r="BK36" s="7"/>
      <c r="BL36" s="41">
        <f t="shared" si="16"/>
        <v>108297</v>
      </c>
      <c r="BM36" s="41">
        <f>$J$135</f>
        <v>5109764.6199999982</v>
      </c>
      <c r="BN36" s="15">
        <f t="shared" si="17"/>
        <v>0.99905939582209846</v>
      </c>
      <c r="BO36" s="41">
        <f t="shared" si="29"/>
        <v>5114575.4109997768</v>
      </c>
      <c r="BP36" s="41">
        <f t="shared" si="18"/>
        <v>4810.7909997785464</v>
      </c>
      <c r="BQ36" s="73">
        <f t="shared" si="19"/>
        <v>47.227304643709218</v>
      </c>
      <c r="BR36" s="7"/>
      <c r="BS36" s="73">
        <f t="shared" si="20"/>
        <v>47.239356307175392</v>
      </c>
      <c r="BT36" s="73">
        <f t="shared" si="21"/>
        <v>47.227304643709218</v>
      </c>
      <c r="BU36" s="73">
        <f t="shared" si="22"/>
        <v>47.228443662840142</v>
      </c>
      <c r="BV36" s="73">
        <f t="shared" si="23"/>
        <v>47.228443662840142</v>
      </c>
      <c r="BW36" s="73">
        <f t="shared" si="24"/>
        <v>47.213126794822344</v>
      </c>
      <c r="BY36" s="41">
        <f>$J$135</f>
        <v>5109764.6199999982</v>
      </c>
      <c r="BZ36" s="41">
        <f>$J$90</f>
        <v>0</v>
      </c>
      <c r="CA36" s="41">
        <f t="shared" si="28"/>
        <v>5109764.6199999982</v>
      </c>
    </row>
    <row r="37" spans="1:79" x14ac:dyDescent="0.2">
      <c r="A37" s="568" t="s">
        <v>1048</v>
      </c>
      <c r="B37" s="6"/>
      <c r="C37" s="612">
        <v>1231.2</v>
      </c>
      <c r="D37" s="612">
        <v>578.97</v>
      </c>
      <c r="E37" s="612">
        <v>1435.75</v>
      </c>
      <c r="F37" s="612">
        <v>149.79</v>
      </c>
      <c r="G37" s="612">
        <v>87.07</v>
      </c>
      <c r="H37" s="612">
        <v>1820.08</v>
      </c>
      <c r="I37" s="612">
        <v>0</v>
      </c>
      <c r="J37" s="612">
        <v>0</v>
      </c>
      <c r="K37" s="612">
        <v>0</v>
      </c>
      <c r="L37" s="612">
        <v>0</v>
      </c>
      <c r="M37" s="612">
        <v>0</v>
      </c>
      <c r="N37" s="612">
        <v>0</v>
      </c>
      <c r="O37" s="612">
        <v>0</v>
      </c>
      <c r="P37" s="612">
        <v>0</v>
      </c>
      <c r="Q37" s="612">
        <v>0</v>
      </c>
      <c r="R37" s="612">
        <v>0</v>
      </c>
      <c r="S37" s="612">
        <v>0</v>
      </c>
      <c r="T37" s="612">
        <v>0</v>
      </c>
      <c r="U37" s="612">
        <v>0</v>
      </c>
      <c r="V37" s="612">
        <v>0</v>
      </c>
      <c r="W37" s="612">
        <v>0</v>
      </c>
      <c r="X37" s="612">
        <v>0</v>
      </c>
      <c r="Y37" s="612">
        <v>0</v>
      </c>
      <c r="Z37" s="612">
        <v>0</v>
      </c>
      <c r="AA37" s="612">
        <v>0</v>
      </c>
      <c r="AB37" s="612">
        <v>0</v>
      </c>
      <c r="AC37" s="612">
        <v>0</v>
      </c>
      <c r="AD37" s="612">
        <v>0</v>
      </c>
      <c r="AE37" s="612">
        <v>0</v>
      </c>
      <c r="AF37" s="612">
        <v>0</v>
      </c>
      <c r="AG37" s="612">
        <v>0</v>
      </c>
      <c r="AH37" s="612">
        <v>0</v>
      </c>
      <c r="AI37" s="612">
        <v>0</v>
      </c>
      <c r="AJ37" s="612">
        <v>0</v>
      </c>
      <c r="AK37" s="612">
        <v>0</v>
      </c>
      <c r="AL37" s="612">
        <v>0</v>
      </c>
      <c r="AM37" s="4"/>
      <c r="AN37" s="40">
        <f t="shared" si="25"/>
        <v>44470</v>
      </c>
      <c r="AO37" s="6">
        <v>107747</v>
      </c>
      <c r="AP37" s="6"/>
      <c r="AQ37" s="6">
        <v>0</v>
      </c>
      <c r="AR37" s="6">
        <v>0</v>
      </c>
      <c r="AS37" s="184">
        <v>0</v>
      </c>
      <c r="AT37" s="2">
        <f t="shared" si="3"/>
        <v>1</v>
      </c>
      <c r="AU37" s="2">
        <f>IF((AND(AT37=0,SUM(AT$8:AT37)=0)),1,0)</f>
        <v>0</v>
      </c>
      <c r="AV37" s="371">
        <f t="shared" si="26"/>
        <v>44470</v>
      </c>
      <c r="AW37" s="372">
        <f t="shared" si="30"/>
        <v>0.99894693989662375</v>
      </c>
      <c r="AX37" s="372">
        <f t="shared" si="31"/>
        <v>0.99921106365585066</v>
      </c>
      <c r="AY37" s="372">
        <f t="shared" si="32"/>
        <v>0.99921106365585066</v>
      </c>
      <c r="AZ37" s="372">
        <f t="shared" si="33"/>
        <v>0.99921106365585066</v>
      </c>
      <c r="BA37" s="372">
        <f t="shared" si="34"/>
        <v>0.99953248210373313</v>
      </c>
      <c r="BB37" s="372">
        <f t="shared" si="35"/>
        <v>0.99953248210373313</v>
      </c>
      <c r="BC37" s="373">
        <v>1</v>
      </c>
      <c r="BD37" s="373">
        <v>2</v>
      </c>
      <c r="BE37" s="372">
        <f t="shared" si="36"/>
        <v>0.99979811463351198</v>
      </c>
      <c r="BF37" s="372">
        <f t="shared" si="37"/>
        <v>0.99965869202609314</v>
      </c>
      <c r="BG37" s="372">
        <f t="shared" si="38"/>
        <v>0.99936450916664954</v>
      </c>
      <c r="BH37" s="372">
        <f t="shared" si="39"/>
        <v>0.99936077777345622</v>
      </c>
      <c r="BI37" s="372">
        <f t="shared" si="40"/>
        <v>0.99963394291785834</v>
      </c>
      <c r="BJ37" s="372">
        <f t="shared" si="41"/>
        <v>0.99958098034899845</v>
      </c>
      <c r="BK37" s="7"/>
      <c r="BL37" s="41">
        <f t="shared" si="16"/>
        <v>107747</v>
      </c>
      <c r="BM37" s="41">
        <f>$I$135</f>
        <v>5127093.0199999968</v>
      </c>
      <c r="BN37" s="15">
        <f t="shared" si="17"/>
        <v>0.99921106365585066</v>
      </c>
      <c r="BO37" s="41">
        <f t="shared" si="29"/>
        <v>5131141.1637510406</v>
      </c>
      <c r="BP37" s="41">
        <f t="shared" si="18"/>
        <v>4048.1437510438263</v>
      </c>
      <c r="BQ37" s="73">
        <f t="shared" si="19"/>
        <v>47.622125569631088</v>
      </c>
      <c r="BR37" s="7"/>
      <c r="BS37" s="73">
        <f t="shared" si="20"/>
        <v>47.63471696395392</v>
      </c>
      <c r="BT37" s="73">
        <f t="shared" si="21"/>
        <v>47.622125569631088</v>
      </c>
      <c r="BU37" s="73">
        <f t="shared" si="22"/>
        <v>47.622125569631088</v>
      </c>
      <c r="BV37" s="73">
        <f t="shared" si="23"/>
        <v>47.622125569631088</v>
      </c>
      <c r="BW37" s="73">
        <f t="shared" si="24"/>
        <v>47.606811780475141</v>
      </c>
      <c r="BY37" s="41">
        <f>$I$135</f>
        <v>5127093.0199999968</v>
      </c>
      <c r="BZ37" s="41">
        <f>$I$90</f>
        <v>0</v>
      </c>
      <c r="CA37" s="41">
        <f t="shared" si="28"/>
        <v>5127093.0199999968</v>
      </c>
    </row>
    <row r="38" spans="1:79" x14ac:dyDescent="0.2">
      <c r="A38" s="568" t="s">
        <v>1049</v>
      </c>
      <c r="B38" s="6"/>
      <c r="C38" s="612">
        <v>516.38</v>
      </c>
      <c r="D38" s="612">
        <v>909.68000000000006</v>
      </c>
      <c r="E38" s="612">
        <v>0</v>
      </c>
      <c r="F38" s="612">
        <v>375.37000000000006</v>
      </c>
      <c r="G38" s="612">
        <v>2215.5499999999997</v>
      </c>
      <c r="H38" s="612">
        <v>0</v>
      </c>
      <c r="I38" s="612">
        <v>0</v>
      </c>
      <c r="J38" s="612">
        <v>0</v>
      </c>
      <c r="K38" s="612">
        <v>0</v>
      </c>
      <c r="L38" s="612">
        <v>0</v>
      </c>
      <c r="M38" s="612">
        <v>0</v>
      </c>
      <c r="N38" s="612">
        <v>0</v>
      </c>
      <c r="O38" s="612">
        <v>0</v>
      </c>
      <c r="P38" s="612">
        <v>0</v>
      </c>
      <c r="Q38" s="612">
        <v>0</v>
      </c>
      <c r="R38" s="612">
        <v>0</v>
      </c>
      <c r="S38" s="612">
        <v>0</v>
      </c>
      <c r="T38" s="612">
        <v>0</v>
      </c>
      <c r="U38" s="612">
        <v>0</v>
      </c>
      <c r="V38" s="612">
        <v>0</v>
      </c>
      <c r="W38" s="612">
        <v>0</v>
      </c>
      <c r="X38" s="612">
        <v>0</v>
      </c>
      <c r="Y38" s="612">
        <v>0</v>
      </c>
      <c r="Z38" s="612">
        <v>0</v>
      </c>
      <c r="AA38" s="612">
        <v>0</v>
      </c>
      <c r="AB38" s="612">
        <v>0</v>
      </c>
      <c r="AC38" s="612">
        <v>0</v>
      </c>
      <c r="AD38" s="612">
        <v>0</v>
      </c>
      <c r="AE38" s="612">
        <v>0</v>
      </c>
      <c r="AF38" s="612">
        <v>0</v>
      </c>
      <c r="AG38" s="612">
        <v>0</v>
      </c>
      <c r="AH38" s="612">
        <v>0</v>
      </c>
      <c r="AI38" s="612">
        <v>0</v>
      </c>
      <c r="AJ38" s="612">
        <v>0</v>
      </c>
      <c r="AK38" s="612">
        <v>0</v>
      </c>
      <c r="AL38" s="612">
        <v>0</v>
      </c>
      <c r="AM38" s="4"/>
      <c r="AN38" s="40">
        <f t="shared" si="25"/>
        <v>44440</v>
      </c>
      <c r="AO38" s="6">
        <v>107756</v>
      </c>
      <c r="AP38" s="6"/>
      <c r="AQ38" s="6">
        <v>0</v>
      </c>
      <c r="AR38" s="6">
        <v>0</v>
      </c>
      <c r="AS38" s="184">
        <v>0</v>
      </c>
      <c r="AT38" s="2">
        <f t="shared" si="3"/>
        <v>1</v>
      </c>
      <c r="AU38" s="2">
        <f>IF((AND(AT38=0,SUM(AT$8:AT38)=0)),1,0)</f>
        <v>0</v>
      </c>
      <c r="AV38" s="371">
        <f t="shared" si="26"/>
        <v>44440</v>
      </c>
      <c r="AW38" s="372">
        <f t="shared" si="30"/>
        <v>0.99916246089345584</v>
      </c>
      <c r="AX38" s="372">
        <f t="shared" si="31"/>
        <v>0.99936836300725684</v>
      </c>
      <c r="AY38" s="372">
        <f t="shared" si="32"/>
        <v>0.99936836300725684</v>
      </c>
      <c r="AZ38" s="372">
        <f t="shared" si="33"/>
        <v>0.99936836300725684</v>
      </c>
      <c r="BA38" s="372">
        <f t="shared" si="34"/>
        <v>0.99964578349067834</v>
      </c>
      <c r="BB38" s="372">
        <f t="shared" si="35"/>
        <v>0.99964578349067834</v>
      </c>
      <c r="BC38" s="373">
        <v>1</v>
      </c>
      <c r="BD38" s="373">
        <v>2</v>
      </c>
      <c r="BE38" s="372">
        <f t="shared" si="36"/>
        <v>0.9998928049137199</v>
      </c>
      <c r="BF38" s="372">
        <f t="shared" si="37"/>
        <v>0.99975336910166945</v>
      </c>
      <c r="BG38" s="372">
        <f t="shared" si="38"/>
        <v>0.99953659741193102</v>
      </c>
      <c r="BH38" s="372">
        <f t="shared" si="39"/>
        <v>0.99953659741193102</v>
      </c>
      <c r="BI38" s="372">
        <f t="shared" si="40"/>
        <v>0.99972042586626897</v>
      </c>
      <c r="BJ38" s="372">
        <f t="shared" si="41"/>
        <v>0.99968507558709718</v>
      </c>
      <c r="BK38" s="7"/>
      <c r="BL38" s="41">
        <f t="shared" si="16"/>
        <v>107756</v>
      </c>
      <c r="BM38" s="41">
        <f>$H$135</f>
        <v>4979252.309999994</v>
      </c>
      <c r="BN38" s="15">
        <f t="shared" si="17"/>
        <v>0.99936836300725684</v>
      </c>
      <c r="BO38" s="41">
        <f t="shared" si="29"/>
        <v>4982399.3777596075</v>
      </c>
      <c r="BP38" s="41">
        <f t="shared" si="18"/>
        <v>3147.0677596135065</v>
      </c>
      <c r="BQ38" s="73">
        <f t="shared" si="19"/>
        <v>46.237790728679677</v>
      </c>
      <c r="BR38" s="7"/>
      <c r="BS38" s="73">
        <f t="shared" si="20"/>
        <v>46.247319167968733</v>
      </c>
      <c r="BT38" s="73">
        <f t="shared" si="21"/>
        <v>46.237790728679677</v>
      </c>
      <c r="BU38" s="73">
        <f t="shared" si="22"/>
        <v>46.237790728679677</v>
      </c>
      <c r="BV38" s="73">
        <f t="shared" si="23"/>
        <v>46.237790728679677</v>
      </c>
      <c r="BW38" s="73">
        <f t="shared" si="24"/>
        <v>46.224958873168319</v>
      </c>
      <c r="BY38" s="41">
        <f>$H$135</f>
        <v>4979252.309999994</v>
      </c>
      <c r="BZ38" s="41">
        <f>$H$90</f>
        <v>0</v>
      </c>
      <c r="CA38" s="41">
        <f t="shared" si="28"/>
        <v>4979252.309999994</v>
      </c>
    </row>
    <row r="39" spans="1:79" x14ac:dyDescent="0.2">
      <c r="A39" s="568" t="s">
        <v>1050</v>
      </c>
      <c r="B39" s="6"/>
      <c r="C39" s="612">
        <v>0</v>
      </c>
      <c r="D39" s="612">
        <v>-72.5</v>
      </c>
      <c r="E39" s="612">
        <v>494.56</v>
      </c>
      <c r="F39" s="612">
        <v>2970.87</v>
      </c>
      <c r="G39" s="612">
        <v>509.32</v>
      </c>
      <c r="H39" s="612">
        <v>0</v>
      </c>
      <c r="I39" s="612">
        <v>0</v>
      </c>
      <c r="J39" s="612">
        <v>0</v>
      </c>
      <c r="K39" s="612">
        <v>0</v>
      </c>
      <c r="L39" s="612">
        <v>0</v>
      </c>
      <c r="M39" s="612">
        <v>0</v>
      </c>
      <c r="N39" s="612">
        <v>0</v>
      </c>
      <c r="O39" s="612">
        <v>0</v>
      </c>
      <c r="P39" s="612">
        <v>0</v>
      </c>
      <c r="Q39" s="612">
        <v>0</v>
      </c>
      <c r="R39" s="612">
        <v>0</v>
      </c>
      <c r="S39" s="612">
        <v>0</v>
      </c>
      <c r="T39" s="612">
        <v>0</v>
      </c>
      <c r="U39" s="612">
        <v>0</v>
      </c>
      <c r="V39" s="612">
        <v>0</v>
      </c>
      <c r="W39" s="612">
        <v>0</v>
      </c>
      <c r="X39" s="612">
        <v>0</v>
      </c>
      <c r="Y39" s="612">
        <v>0</v>
      </c>
      <c r="Z39" s="612">
        <v>0</v>
      </c>
      <c r="AA39" s="612">
        <v>0</v>
      </c>
      <c r="AB39" s="612">
        <v>0</v>
      </c>
      <c r="AC39" s="612">
        <v>0</v>
      </c>
      <c r="AD39" s="612">
        <v>0</v>
      </c>
      <c r="AE39" s="612">
        <v>0</v>
      </c>
      <c r="AF39" s="612">
        <v>0</v>
      </c>
      <c r="AG39" s="612">
        <v>0</v>
      </c>
      <c r="AH39" s="612">
        <v>0</v>
      </c>
      <c r="AI39" s="612">
        <v>0</v>
      </c>
      <c r="AJ39" s="612">
        <v>0</v>
      </c>
      <c r="AK39" s="612">
        <v>0</v>
      </c>
      <c r="AL39" s="612">
        <v>0</v>
      </c>
      <c r="AM39" s="4"/>
      <c r="AN39" s="40">
        <f t="shared" si="25"/>
        <v>44409</v>
      </c>
      <c r="AO39" s="6">
        <v>107513</v>
      </c>
      <c r="AP39" s="6"/>
      <c r="AQ39" s="6">
        <v>0</v>
      </c>
      <c r="AR39" s="6">
        <v>0</v>
      </c>
      <c r="AS39" s="184">
        <v>0</v>
      </c>
      <c r="AT39" s="2">
        <f t="shared" si="3"/>
        <v>1</v>
      </c>
      <c r="AU39" s="2">
        <f>IF((AND(AT39=0,SUM(AT$8:AT39)=0)),1,0)</f>
        <v>0</v>
      </c>
      <c r="AV39" s="371">
        <f t="shared" si="26"/>
        <v>44409</v>
      </c>
      <c r="AW39" s="372">
        <f t="shared" si="30"/>
        <v>0.99948648220988312</v>
      </c>
      <c r="AX39" s="372">
        <f t="shared" si="31"/>
        <v>0.99957878441954939</v>
      </c>
      <c r="AY39" s="372">
        <f t="shared" si="32"/>
        <v>0.99957878441954939</v>
      </c>
      <c r="AZ39" s="372">
        <f t="shared" si="33"/>
        <v>0.99957878441954939</v>
      </c>
      <c r="BA39" s="372">
        <f t="shared" si="34"/>
        <v>0.99973226746347155</v>
      </c>
      <c r="BB39" s="372">
        <f t="shared" si="35"/>
        <v>0.99973226746347155</v>
      </c>
      <c r="BC39" s="373">
        <v>1</v>
      </c>
      <c r="BD39" s="373">
        <v>2</v>
      </c>
      <c r="BE39" s="372">
        <f t="shared" si="36"/>
        <v>0.99993686912437629</v>
      </c>
      <c r="BF39" s="372">
        <f t="shared" si="37"/>
        <v>0.99982691879636754</v>
      </c>
      <c r="BG39" s="372">
        <f t="shared" si="38"/>
        <v>0.99969831499230766</v>
      </c>
      <c r="BH39" s="372">
        <f t="shared" si="39"/>
        <v>0.99969831499230766</v>
      </c>
      <c r="BI39" s="372">
        <f t="shared" si="40"/>
        <v>0.99980199000458347</v>
      </c>
      <c r="BJ39" s="372">
        <f t="shared" si="41"/>
        <v>0.99978091567264549</v>
      </c>
      <c r="BK39" s="7"/>
      <c r="BL39" s="41">
        <f t="shared" si="16"/>
        <v>107513</v>
      </c>
      <c r="BM39" s="41">
        <f>$G$135</f>
        <v>5136808.9499999993</v>
      </c>
      <c r="BN39" s="15">
        <f t="shared" si="17"/>
        <v>0.99957878441954939</v>
      </c>
      <c r="BO39" s="41">
        <f t="shared" si="29"/>
        <v>5138973.5657334104</v>
      </c>
      <c r="BP39" s="41">
        <f t="shared" si="18"/>
        <v>2164.6157334111631</v>
      </c>
      <c r="BQ39" s="73">
        <f t="shared" si="19"/>
        <v>47.798624963803547</v>
      </c>
      <c r="BR39" s="7"/>
      <c r="BS39" s="73">
        <f t="shared" si="20"/>
        <v>47.803039149269473</v>
      </c>
      <c r="BT39" s="73">
        <f t="shared" si="21"/>
        <v>47.798624963803547</v>
      </c>
      <c r="BU39" s="73">
        <f t="shared" si="22"/>
        <v>47.798624963803547</v>
      </c>
      <c r="BV39" s="73">
        <f t="shared" si="23"/>
        <v>47.798624963803547</v>
      </c>
      <c r="BW39" s="73">
        <f t="shared" si="24"/>
        <v>47.791286720662349</v>
      </c>
      <c r="BY39" s="41">
        <f>$G$135</f>
        <v>5136808.9499999993</v>
      </c>
      <c r="BZ39" s="41">
        <f>$G$90</f>
        <v>0</v>
      </c>
      <c r="CA39" s="41">
        <f t="shared" si="28"/>
        <v>5136808.9499999993</v>
      </c>
    </row>
    <row r="40" spans="1:79" x14ac:dyDescent="0.2">
      <c r="A40" s="568" t="s">
        <v>1051</v>
      </c>
      <c r="B40" s="6"/>
      <c r="C40" s="612">
        <v>0</v>
      </c>
      <c r="D40" s="612">
        <v>690.4</v>
      </c>
      <c r="E40" s="612">
        <v>3656.11</v>
      </c>
      <c r="F40" s="612">
        <v>224.55</v>
      </c>
      <c r="G40" s="612">
        <v>0</v>
      </c>
      <c r="H40" s="612">
        <v>0</v>
      </c>
      <c r="I40" s="612">
        <v>0</v>
      </c>
      <c r="J40" s="612">
        <v>0</v>
      </c>
      <c r="K40" s="612">
        <v>0</v>
      </c>
      <c r="L40" s="612">
        <v>0</v>
      </c>
      <c r="M40" s="612">
        <v>0</v>
      </c>
      <c r="N40" s="612">
        <v>0</v>
      </c>
      <c r="O40" s="612">
        <v>0</v>
      </c>
      <c r="P40" s="612">
        <v>0</v>
      </c>
      <c r="Q40" s="612">
        <v>0</v>
      </c>
      <c r="R40" s="612">
        <v>0</v>
      </c>
      <c r="S40" s="612">
        <v>0</v>
      </c>
      <c r="T40" s="612">
        <v>0</v>
      </c>
      <c r="U40" s="612">
        <v>0</v>
      </c>
      <c r="V40" s="612">
        <v>0</v>
      </c>
      <c r="W40" s="612">
        <v>0</v>
      </c>
      <c r="X40" s="612">
        <v>0</v>
      </c>
      <c r="Y40" s="612">
        <v>0</v>
      </c>
      <c r="Z40" s="612">
        <v>0</v>
      </c>
      <c r="AA40" s="612">
        <v>0</v>
      </c>
      <c r="AB40" s="612">
        <v>0</v>
      </c>
      <c r="AC40" s="612">
        <v>0</v>
      </c>
      <c r="AD40" s="612">
        <v>0</v>
      </c>
      <c r="AE40" s="612">
        <v>0</v>
      </c>
      <c r="AF40" s="612">
        <v>0</v>
      </c>
      <c r="AG40" s="612">
        <v>0</v>
      </c>
      <c r="AH40" s="612">
        <v>0</v>
      </c>
      <c r="AI40" s="612">
        <v>0</v>
      </c>
      <c r="AJ40" s="612">
        <v>0</v>
      </c>
      <c r="AK40" s="612">
        <v>0</v>
      </c>
      <c r="AL40" s="612">
        <v>0</v>
      </c>
      <c r="AM40" s="4"/>
      <c r="AN40" s="40">
        <f t="shared" si="25"/>
        <v>44378</v>
      </c>
      <c r="AO40" s="6">
        <v>107241</v>
      </c>
      <c r="AP40" s="6"/>
      <c r="AQ40" s="6">
        <v>0</v>
      </c>
      <c r="AR40" s="6">
        <v>0</v>
      </c>
      <c r="AS40" s="184">
        <v>0</v>
      </c>
      <c r="AT40" s="2">
        <f t="shared" si="3"/>
        <v>1</v>
      </c>
      <c r="AU40" s="2">
        <f>IF((AND(AT40=0,SUM(AT$8:AT40)=0)),1,0)</f>
        <v>0</v>
      </c>
      <c r="AV40" s="371">
        <f t="shared" si="26"/>
        <v>44378</v>
      </c>
      <c r="AW40" s="372">
        <f t="shared" si="30"/>
        <v>0.99985569104854821</v>
      </c>
      <c r="AX40" s="372">
        <f t="shared" si="31"/>
        <v>0.99985569104854821</v>
      </c>
      <c r="AY40" s="372">
        <f t="shared" si="32"/>
        <v>0.99985569104854821</v>
      </c>
      <c r="AZ40" s="372">
        <f t="shared" si="33"/>
        <v>0.99985569104854821</v>
      </c>
      <c r="BA40" s="372">
        <f t="shared" si="34"/>
        <v>0.99984626391735298</v>
      </c>
      <c r="BB40" s="372">
        <f t="shared" si="35"/>
        <v>0.99984626391735298</v>
      </c>
      <c r="BC40" s="373">
        <v>1</v>
      </c>
      <c r="BD40" s="373">
        <v>2</v>
      </c>
      <c r="BE40" s="372">
        <f t="shared" si="36"/>
        <v>0.99996249743371191</v>
      </c>
      <c r="BF40" s="372">
        <f t="shared" si="37"/>
        <v>0.99989452389312861</v>
      </c>
      <c r="BG40" s="372">
        <f t="shared" si="38"/>
        <v>0.99985569104854821</v>
      </c>
      <c r="BH40" s="372">
        <f t="shared" si="39"/>
        <v>0.99985569104854821</v>
      </c>
      <c r="BI40" s="372">
        <f t="shared" si="40"/>
        <v>0.99988087272069714</v>
      </c>
      <c r="BJ40" s="372">
        <f t="shared" si="41"/>
        <v>0.99986741133634771</v>
      </c>
      <c r="BK40" s="7"/>
      <c r="BL40" s="41">
        <f t="shared" si="16"/>
        <v>107241</v>
      </c>
      <c r="BM40" s="41">
        <f>$F$135</f>
        <v>4326591.57</v>
      </c>
      <c r="BN40" s="15">
        <f t="shared" si="17"/>
        <v>0.99985569104854821</v>
      </c>
      <c r="BO40" s="41">
        <f t="shared" si="29"/>
        <v>4327216.0260074185</v>
      </c>
      <c r="BP40" s="41">
        <f t="shared" si="18"/>
        <v>624.45600741822273</v>
      </c>
      <c r="BQ40" s="73">
        <f t="shared" si="19"/>
        <v>40.350388620093234</v>
      </c>
      <c r="BR40" s="7"/>
      <c r="BS40" s="73">
        <f t="shared" si="20"/>
        <v>40.350388620093234</v>
      </c>
      <c r="BT40" s="73">
        <f t="shared" si="21"/>
        <v>40.350388620093234</v>
      </c>
      <c r="BU40" s="73">
        <f t="shared" si="22"/>
        <v>40.350388620093234</v>
      </c>
      <c r="BV40" s="73">
        <f t="shared" si="23"/>
        <v>40.350388620093234</v>
      </c>
      <c r="BW40" s="73">
        <f t="shared" si="24"/>
        <v>40.350769066988953</v>
      </c>
      <c r="BY40" s="41">
        <f>$F$135</f>
        <v>4326591.57</v>
      </c>
      <c r="BZ40" s="41">
        <f>$F$90</f>
        <v>0</v>
      </c>
      <c r="CA40" s="41">
        <f t="shared" si="28"/>
        <v>4326591.57</v>
      </c>
    </row>
    <row r="41" spans="1:79" x14ac:dyDescent="0.2">
      <c r="A41" s="568" t="s">
        <v>1052</v>
      </c>
      <c r="B41" s="6"/>
      <c r="C41" s="612">
        <v>400</v>
      </c>
      <c r="D41" s="612">
        <v>705.6</v>
      </c>
      <c r="E41" s="612">
        <v>0</v>
      </c>
      <c r="F41" s="612">
        <v>0</v>
      </c>
      <c r="G41" s="612">
        <v>0</v>
      </c>
      <c r="H41" s="612">
        <v>0</v>
      </c>
      <c r="I41" s="612">
        <v>0</v>
      </c>
      <c r="J41" s="612">
        <v>0</v>
      </c>
      <c r="K41" s="612">
        <v>0</v>
      </c>
      <c r="L41" s="612">
        <v>0</v>
      </c>
      <c r="M41" s="612">
        <v>0</v>
      </c>
      <c r="N41" s="612">
        <v>0</v>
      </c>
      <c r="O41" s="612">
        <v>0</v>
      </c>
      <c r="P41" s="612">
        <v>0</v>
      </c>
      <c r="Q41" s="612">
        <v>0</v>
      </c>
      <c r="R41" s="612">
        <v>0</v>
      </c>
      <c r="S41" s="612">
        <v>0</v>
      </c>
      <c r="T41" s="612">
        <v>0</v>
      </c>
      <c r="U41" s="612">
        <v>0</v>
      </c>
      <c r="V41" s="612">
        <v>0</v>
      </c>
      <c r="W41" s="612">
        <v>0</v>
      </c>
      <c r="X41" s="612">
        <v>0</v>
      </c>
      <c r="Y41" s="612">
        <v>0</v>
      </c>
      <c r="Z41" s="612">
        <v>0</v>
      </c>
      <c r="AA41" s="612">
        <v>0</v>
      </c>
      <c r="AB41" s="612">
        <v>0</v>
      </c>
      <c r="AC41" s="612">
        <v>0</v>
      </c>
      <c r="AD41" s="612">
        <v>0</v>
      </c>
      <c r="AE41" s="612">
        <v>0</v>
      </c>
      <c r="AF41" s="612">
        <v>0</v>
      </c>
      <c r="AG41" s="612">
        <v>0</v>
      </c>
      <c r="AH41" s="612">
        <v>0</v>
      </c>
      <c r="AI41" s="612">
        <v>0</v>
      </c>
      <c r="AJ41" s="612">
        <v>0</v>
      </c>
      <c r="AK41" s="612">
        <v>0</v>
      </c>
      <c r="AL41" s="612">
        <v>0</v>
      </c>
      <c r="AM41" s="4"/>
      <c r="AN41" s="40">
        <f t="shared" si="25"/>
        <v>44348</v>
      </c>
      <c r="AO41" s="6">
        <v>107140</v>
      </c>
      <c r="AP41" s="6"/>
      <c r="AQ41" s="6">
        <v>0</v>
      </c>
      <c r="AR41" s="6">
        <v>0</v>
      </c>
      <c r="AS41" s="184">
        <v>0</v>
      </c>
      <c r="AT41" s="2">
        <f t="shared" si="3"/>
        <v>1</v>
      </c>
      <c r="AU41" s="2">
        <f>IF((AND(AT41=0,SUM(AT$8:AT41)=0)),1,0)</f>
        <v>0</v>
      </c>
      <c r="AV41" s="371">
        <f t="shared" si="26"/>
        <v>44348</v>
      </c>
      <c r="AW41" s="372">
        <f t="shared" si="30"/>
        <v>0.99995038678178383</v>
      </c>
      <c r="AX41" s="372">
        <f t="shared" si="31"/>
        <v>0.99995038678178383</v>
      </c>
      <c r="AY41" s="372">
        <f t="shared" si="32"/>
        <v>0.99995038678178383</v>
      </c>
      <c r="AZ41" s="372">
        <f t="shared" si="33"/>
        <v>0.99995038678178383</v>
      </c>
      <c r="BA41" s="372">
        <f t="shared" si="34"/>
        <v>0.99995038678178383</v>
      </c>
      <c r="BB41" s="372">
        <f t="shared" si="35"/>
        <v>0.99995038678178383</v>
      </c>
      <c r="BC41" s="373">
        <v>1</v>
      </c>
      <c r="BD41" s="373">
        <v>2</v>
      </c>
      <c r="BE41" s="372">
        <f t="shared" si="36"/>
        <v>0.99998648167190474</v>
      </c>
      <c r="BF41" s="372">
        <f t="shared" si="37"/>
        <v>0.99995038678178383</v>
      </c>
      <c r="BG41" s="372">
        <f t="shared" si="38"/>
        <v>0.99995038678178383</v>
      </c>
      <c r="BH41" s="372">
        <f t="shared" si="39"/>
        <v>0.99995038678178383</v>
      </c>
      <c r="BI41" s="372">
        <f t="shared" si="40"/>
        <v>0.99995038678178383</v>
      </c>
      <c r="BJ41" s="372">
        <f t="shared" si="41"/>
        <v>0.99995038678178383</v>
      </c>
      <c r="BK41" s="7"/>
      <c r="BL41" s="41">
        <f t="shared" si="16"/>
        <v>107140</v>
      </c>
      <c r="BM41" s="41">
        <f>$E$135</f>
        <v>4155811.3399999961</v>
      </c>
      <c r="BN41" s="15">
        <f t="shared" si="17"/>
        <v>0.99995038678178383</v>
      </c>
      <c r="BO41" s="41">
        <f t="shared" si="29"/>
        <v>4156017.5334047913</v>
      </c>
      <c r="BP41" s="41">
        <f t="shared" si="18"/>
        <v>206.1934047951363</v>
      </c>
      <c r="BQ41" s="73">
        <f t="shared" si="19"/>
        <v>38.790531392615186</v>
      </c>
      <c r="BR41" s="7"/>
      <c r="BS41" s="73">
        <f t="shared" si="20"/>
        <v>38.790531392615186</v>
      </c>
      <c r="BT41" s="73">
        <f t="shared" si="21"/>
        <v>38.790531392615186</v>
      </c>
      <c r="BU41" s="73">
        <f t="shared" si="22"/>
        <v>38.790531392615186</v>
      </c>
      <c r="BV41" s="73">
        <f t="shared" si="23"/>
        <v>38.790531392615186</v>
      </c>
      <c r="BW41" s="73">
        <f t="shared" si="24"/>
        <v>38.790531392615186</v>
      </c>
      <c r="BY41" s="41">
        <f>$E$135</f>
        <v>4155811.3399999961</v>
      </c>
      <c r="BZ41" s="41">
        <f>$E$90</f>
        <v>0</v>
      </c>
      <c r="CA41" s="41">
        <f t="shared" si="28"/>
        <v>4155811.3399999961</v>
      </c>
    </row>
    <row r="42" spans="1:79" x14ac:dyDescent="0.2">
      <c r="A42" s="568" t="s">
        <v>1053</v>
      </c>
      <c r="B42" s="6"/>
      <c r="C42" s="612">
        <v>177.96</v>
      </c>
      <c r="D42" s="612">
        <v>0</v>
      </c>
      <c r="E42" s="612">
        <v>0</v>
      </c>
      <c r="F42" s="612">
        <v>0</v>
      </c>
      <c r="G42" s="612">
        <v>0</v>
      </c>
      <c r="H42" s="612">
        <v>0</v>
      </c>
      <c r="I42" s="612">
        <v>0</v>
      </c>
      <c r="J42" s="612">
        <v>0</v>
      </c>
      <c r="K42" s="612">
        <v>0</v>
      </c>
      <c r="L42" s="612">
        <v>0</v>
      </c>
      <c r="M42" s="612">
        <v>0</v>
      </c>
      <c r="N42" s="612">
        <v>0</v>
      </c>
      <c r="O42" s="612">
        <v>0</v>
      </c>
      <c r="P42" s="612">
        <v>0</v>
      </c>
      <c r="Q42" s="612">
        <v>0</v>
      </c>
      <c r="R42" s="612">
        <v>0</v>
      </c>
      <c r="S42" s="612">
        <v>0</v>
      </c>
      <c r="T42" s="612">
        <v>0</v>
      </c>
      <c r="U42" s="612">
        <v>0</v>
      </c>
      <c r="V42" s="612">
        <v>0</v>
      </c>
      <c r="W42" s="612">
        <v>0</v>
      </c>
      <c r="X42" s="612">
        <v>0</v>
      </c>
      <c r="Y42" s="612">
        <v>0</v>
      </c>
      <c r="Z42" s="612">
        <v>0</v>
      </c>
      <c r="AA42" s="612">
        <v>0</v>
      </c>
      <c r="AB42" s="612">
        <v>0</v>
      </c>
      <c r="AC42" s="612">
        <v>0</v>
      </c>
      <c r="AD42" s="612">
        <v>0</v>
      </c>
      <c r="AE42" s="612">
        <v>0</v>
      </c>
      <c r="AF42" s="612">
        <v>0</v>
      </c>
      <c r="AG42" s="612">
        <v>0</v>
      </c>
      <c r="AH42" s="612">
        <v>0</v>
      </c>
      <c r="AI42" s="612">
        <v>0</v>
      </c>
      <c r="AJ42" s="612">
        <v>0</v>
      </c>
      <c r="AK42" s="612">
        <v>0</v>
      </c>
      <c r="AL42" s="612">
        <v>0</v>
      </c>
      <c r="AM42" s="4"/>
      <c r="AN42" s="40">
        <f t="shared" si="25"/>
        <v>44317</v>
      </c>
      <c r="AO42" s="6">
        <v>107146</v>
      </c>
      <c r="AP42" s="6"/>
      <c r="AQ42" s="6">
        <v>0</v>
      </c>
      <c r="AR42" s="6">
        <v>0</v>
      </c>
      <c r="AS42" s="184">
        <v>0</v>
      </c>
      <c r="AT42" s="2">
        <f t="shared" si="3"/>
        <v>1</v>
      </c>
      <c r="AU42" s="2">
        <f>IF((AND(AT42=0,SUM(AT$8:AT42)=0)),1,0)</f>
        <v>0</v>
      </c>
      <c r="AV42" s="371">
        <f t="shared" si="26"/>
        <v>44317</v>
      </c>
      <c r="AW42" s="372">
        <f t="shared" si="30"/>
        <v>0.99997437072950102</v>
      </c>
      <c r="AX42" s="372">
        <f t="shared" si="31"/>
        <v>0.99997437072950102</v>
      </c>
      <c r="AY42" s="372">
        <f t="shared" si="32"/>
        <v>0.99997437072950102</v>
      </c>
      <c r="AZ42" s="372">
        <f t="shared" si="33"/>
        <v>0.99997437072950102</v>
      </c>
      <c r="BA42" s="372">
        <f t="shared" si="34"/>
        <v>0.99997437072950102</v>
      </c>
      <c r="BB42" s="372">
        <f t="shared" si="35"/>
        <v>0.99997437072950102</v>
      </c>
      <c r="BC42" s="373">
        <v>1</v>
      </c>
      <c r="BD42" s="373">
        <v>2</v>
      </c>
      <c r="BE42" s="372">
        <f t="shared" si="36"/>
        <v>0.99584975359959937</v>
      </c>
      <c r="BF42" s="372">
        <f t="shared" si="37"/>
        <v>0.99584975359959937</v>
      </c>
      <c r="BG42" s="372">
        <f t="shared" si="38"/>
        <v>0.99584975359959937</v>
      </c>
      <c r="BH42" s="372">
        <f t="shared" si="39"/>
        <v>0.99584975359959937</v>
      </c>
      <c r="BI42" s="372">
        <f t="shared" si="40"/>
        <v>0.99584975359959937</v>
      </c>
      <c r="BJ42" s="372">
        <f t="shared" si="41"/>
        <v>0.99584975359959937</v>
      </c>
      <c r="BK42" s="7"/>
      <c r="BL42" s="41">
        <f t="shared" si="16"/>
        <v>107146</v>
      </c>
      <c r="BM42" s="41">
        <f>$D$135</f>
        <v>3920582.3300000024</v>
      </c>
      <c r="BN42" s="15">
        <f t="shared" si="17"/>
        <v>0.99997437072950102</v>
      </c>
      <c r="BO42" s="41">
        <f t="shared" si="29"/>
        <v>3920682.8142403895</v>
      </c>
      <c r="BP42" s="41">
        <f t="shared" si="18"/>
        <v>100.48424038710073</v>
      </c>
      <c r="BQ42" s="73">
        <f t="shared" si="19"/>
        <v>36.591966235234068</v>
      </c>
      <c r="BR42" s="7"/>
      <c r="BS42" s="73">
        <f t="shared" si="20"/>
        <v>36.591966235234068</v>
      </c>
      <c r="BT42" s="73">
        <f t="shared" si="21"/>
        <v>36.591966235234068</v>
      </c>
      <c r="BU42" s="73">
        <f t="shared" si="22"/>
        <v>36.591966235234068</v>
      </c>
      <c r="BV42" s="73">
        <f t="shared" si="23"/>
        <v>36.591966235234068</v>
      </c>
      <c r="BW42" s="73">
        <f t="shared" si="24"/>
        <v>36.591966235234068</v>
      </c>
      <c r="BY42" s="41">
        <f>$D$135</f>
        <v>3920582.3300000024</v>
      </c>
      <c r="BZ42" s="41">
        <f>$D$90</f>
        <v>0</v>
      </c>
      <c r="CA42" s="41">
        <f t="shared" si="28"/>
        <v>3920582.3300000024</v>
      </c>
    </row>
    <row r="43" spans="1:79" x14ac:dyDescent="0.2">
      <c r="A43" s="568" t="s">
        <v>1054</v>
      </c>
      <c r="B43" s="6"/>
      <c r="C43" s="612">
        <v>98.46</v>
      </c>
      <c r="D43" s="612">
        <v>0</v>
      </c>
      <c r="E43" s="612">
        <v>0</v>
      </c>
      <c r="F43" s="612">
        <v>0</v>
      </c>
      <c r="G43" s="612">
        <v>0</v>
      </c>
      <c r="H43" s="612">
        <v>0</v>
      </c>
      <c r="I43" s="612">
        <v>0</v>
      </c>
      <c r="J43" s="612">
        <v>0</v>
      </c>
      <c r="K43" s="612">
        <v>0</v>
      </c>
      <c r="L43" s="612">
        <v>0</v>
      </c>
      <c r="M43" s="612">
        <v>0</v>
      </c>
      <c r="N43" s="612">
        <v>0</v>
      </c>
      <c r="O43" s="612">
        <v>0</v>
      </c>
      <c r="P43" s="612">
        <v>0</v>
      </c>
      <c r="Q43" s="612">
        <v>0</v>
      </c>
      <c r="R43" s="612">
        <v>0</v>
      </c>
      <c r="S43" s="612">
        <v>0</v>
      </c>
      <c r="T43" s="612">
        <v>0</v>
      </c>
      <c r="U43" s="612">
        <v>0</v>
      </c>
      <c r="V43" s="612">
        <v>0</v>
      </c>
      <c r="W43" s="612">
        <v>0</v>
      </c>
      <c r="X43" s="612">
        <v>0</v>
      </c>
      <c r="Y43" s="612">
        <v>0</v>
      </c>
      <c r="Z43" s="612">
        <v>0</v>
      </c>
      <c r="AA43" s="612">
        <v>0</v>
      </c>
      <c r="AB43" s="612">
        <v>0</v>
      </c>
      <c r="AC43" s="612">
        <v>0</v>
      </c>
      <c r="AD43" s="612">
        <v>0</v>
      </c>
      <c r="AE43" s="612">
        <v>0</v>
      </c>
      <c r="AF43" s="612">
        <v>0</v>
      </c>
      <c r="AG43" s="612">
        <v>0</v>
      </c>
      <c r="AH43" s="612">
        <v>0</v>
      </c>
      <c r="AI43" s="612">
        <v>0</v>
      </c>
      <c r="AJ43" s="612">
        <v>0</v>
      </c>
      <c r="AK43" s="612">
        <v>0</v>
      </c>
      <c r="AL43" s="612">
        <v>0</v>
      </c>
      <c r="AM43" s="4"/>
      <c r="AN43" s="40">
        <f t="shared" si="25"/>
        <v>44287</v>
      </c>
      <c r="AO43" s="6">
        <v>107101</v>
      </c>
      <c r="AP43" s="6"/>
      <c r="AQ43" s="6">
        <v>0</v>
      </c>
      <c r="AR43" s="6">
        <v>0</v>
      </c>
      <c r="AS43" s="184">
        <v>0</v>
      </c>
      <c r="AT43" s="2">
        <f t="shared" si="3"/>
        <v>1</v>
      </c>
      <c r="AU43" s="29">
        <f>IF((AND(AT43=0,SUM(AT$8:AT43)=0)),1,0)</f>
        <v>0</v>
      </c>
      <c r="AV43" s="371">
        <f t="shared" si="26"/>
        <v>44287</v>
      </c>
      <c r="AW43" s="372">
        <f t="shared" si="30"/>
        <v>1</v>
      </c>
      <c r="AX43" s="372">
        <f t="shared" si="31"/>
        <v>1</v>
      </c>
      <c r="AY43" s="372">
        <f t="shared" si="32"/>
        <v>1</v>
      </c>
      <c r="AZ43" s="372">
        <f t="shared" si="33"/>
        <v>1</v>
      </c>
      <c r="BA43" s="372">
        <f t="shared" si="34"/>
        <v>1</v>
      </c>
      <c r="BB43" s="372">
        <f t="shared" si="35"/>
        <v>1</v>
      </c>
      <c r="BC43" s="373">
        <v>1</v>
      </c>
      <c r="BD43" s="373">
        <v>2</v>
      </c>
      <c r="BE43" s="618">
        <f>+$E$275</f>
        <v>1</v>
      </c>
      <c r="BF43" s="618">
        <f t="shared" ref="BF43:BJ43" si="42">+$E$275</f>
        <v>1</v>
      </c>
      <c r="BG43" s="618">
        <f t="shared" si="42"/>
        <v>1</v>
      </c>
      <c r="BH43" s="618">
        <f t="shared" si="42"/>
        <v>1</v>
      </c>
      <c r="BI43" s="618">
        <f t="shared" si="42"/>
        <v>1</v>
      </c>
      <c r="BJ43" s="618">
        <f t="shared" si="42"/>
        <v>1</v>
      </c>
      <c r="BK43" s="7"/>
      <c r="BL43" s="41">
        <f t="shared" si="16"/>
        <v>107101</v>
      </c>
      <c r="BM43" s="41">
        <f>$C$135</f>
        <v>3841701.2300000014</v>
      </c>
      <c r="BN43" s="15">
        <f t="shared" si="17"/>
        <v>1</v>
      </c>
      <c r="BO43" s="41">
        <f t="shared" si="29"/>
        <v>3841701.2300000014</v>
      </c>
      <c r="BP43" s="41">
        <f t="shared" si="18"/>
        <v>0</v>
      </c>
      <c r="BQ43" s="73">
        <f t="shared" si="19"/>
        <v>35.869891317541402</v>
      </c>
      <c r="BR43" s="7"/>
      <c r="BS43" s="73">
        <f t="shared" si="20"/>
        <v>35.869891317541402</v>
      </c>
      <c r="BT43" s="73">
        <f t="shared" si="21"/>
        <v>35.869891317541402</v>
      </c>
      <c r="BU43" s="73">
        <f t="shared" si="22"/>
        <v>35.869891317541402</v>
      </c>
      <c r="BV43" s="73">
        <f t="shared" si="23"/>
        <v>35.869891317541402</v>
      </c>
      <c r="BW43" s="73">
        <f t="shared" si="24"/>
        <v>35.869891317541402</v>
      </c>
      <c r="BY43" s="41">
        <f>$C$135</f>
        <v>3841701.2300000014</v>
      </c>
      <c r="BZ43" s="41">
        <f>$C$90</f>
        <v>0</v>
      </c>
      <c r="CA43" s="41">
        <f t="shared" si="28"/>
        <v>3841701.2300000014</v>
      </c>
    </row>
    <row r="44" spans="1:79" x14ac:dyDescent="0.2">
      <c r="AM44" s="4"/>
      <c r="AT44" s="2">
        <f>SUM(AT8:AT43)</f>
        <v>36</v>
      </c>
      <c r="AU44" s="2">
        <f>SUM(AU8:AU43)</f>
        <v>0</v>
      </c>
    </row>
    <row r="45" spans="1:79" x14ac:dyDescent="0.2">
      <c r="A45" s="7" t="s">
        <v>86</v>
      </c>
      <c r="B45" s="7"/>
      <c r="C45" s="41">
        <f t="shared" ref="C45:AK45" si="43">SUM(C8:C43)</f>
        <v>3841701.2300000014</v>
      </c>
      <c r="D45" s="41">
        <f t="shared" si="43"/>
        <v>3920582.3300000024</v>
      </c>
      <c r="E45" s="41">
        <f t="shared" si="43"/>
        <v>4155811.3399999961</v>
      </c>
      <c r="F45" s="41">
        <f t="shared" si="43"/>
        <v>4326591.57</v>
      </c>
      <c r="G45" s="41">
        <f t="shared" si="43"/>
        <v>5136808.9499999993</v>
      </c>
      <c r="H45" s="41">
        <f t="shared" si="43"/>
        <v>4979252.309999994</v>
      </c>
      <c r="I45" s="41">
        <f t="shared" si="43"/>
        <v>5127093.0199999968</v>
      </c>
      <c r="J45" s="41">
        <f t="shared" si="43"/>
        <v>5109764.6199999982</v>
      </c>
      <c r="K45" s="41">
        <f t="shared" si="43"/>
        <v>5389396.6899999995</v>
      </c>
      <c r="L45" s="41">
        <f t="shared" si="43"/>
        <v>4233060.1300000073</v>
      </c>
      <c r="M45" s="41">
        <f t="shared" si="43"/>
        <v>4139015.1400000034</v>
      </c>
      <c r="N45" s="41">
        <f t="shared" si="43"/>
        <v>5147624.0600000061</v>
      </c>
      <c r="O45" s="41">
        <f t="shared" si="43"/>
        <v>4947613.3400000166</v>
      </c>
      <c r="P45" s="41">
        <f t="shared" si="43"/>
        <v>5184205.140000008</v>
      </c>
      <c r="Q45" s="41">
        <f t="shared" si="43"/>
        <v>5173808.2900000196</v>
      </c>
      <c r="R45" s="41">
        <f t="shared" si="43"/>
        <v>4982746.6900000153</v>
      </c>
      <c r="S45" s="41">
        <f t="shared" si="43"/>
        <v>5828321.8600000264</v>
      </c>
      <c r="T45" s="41">
        <f t="shared" si="43"/>
        <v>5247006.4900000235</v>
      </c>
      <c r="U45" s="41">
        <f t="shared" si="43"/>
        <v>5314346.360000018</v>
      </c>
      <c r="V45" s="41">
        <f t="shared" si="43"/>
        <v>5011832.2300000172</v>
      </c>
      <c r="W45" s="41">
        <f t="shared" si="43"/>
        <v>5081907.6000000248</v>
      </c>
      <c r="X45" s="41">
        <f t="shared" si="43"/>
        <v>4578453.5399999861</v>
      </c>
      <c r="Y45" s="41">
        <f t="shared" si="43"/>
        <v>4771663.9699999895</v>
      </c>
      <c r="Z45" s="41">
        <f t="shared" si="43"/>
        <v>5761664.9499999722</v>
      </c>
      <c r="AA45" s="41">
        <f t="shared" si="43"/>
        <v>4763552.8999999892</v>
      </c>
      <c r="AB45" s="41">
        <f t="shared" si="43"/>
        <v>5316008.1099999975</v>
      </c>
      <c r="AC45" s="41">
        <f t="shared" si="43"/>
        <v>5428880.2999999868</v>
      </c>
      <c r="AD45" s="41">
        <f t="shared" si="43"/>
        <v>5091384.0599999884</v>
      </c>
      <c r="AE45" s="41">
        <f t="shared" si="43"/>
        <v>5836334.2899999823</v>
      </c>
      <c r="AF45" s="41">
        <f t="shared" si="43"/>
        <v>5279025.1699999934</v>
      </c>
      <c r="AG45" s="41">
        <f t="shared" si="43"/>
        <v>6118778.3800000018</v>
      </c>
      <c r="AH45" s="41">
        <f t="shared" si="43"/>
        <v>5691598.2099999804</v>
      </c>
      <c r="AI45" s="41">
        <f t="shared" si="43"/>
        <v>5294588.3699999973</v>
      </c>
      <c r="AJ45" s="41">
        <f t="shared" si="43"/>
        <v>5174161.2699999912</v>
      </c>
      <c r="AK45" s="41">
        <f t="shared" si="43"/>
        <v>3917198.8800000069</v>
      </c>
      <c r="AL45" s="41">
        <f>SUM(AL8:AL43)</f>
        <v>1157133.2399999991</v>
      </c>
      <c r="AM45" s="4"/>
      <c r="AP45" s="211"/>
    </row>
    <row r="46" spans="1:79" x14ac:dyDescent="0.2">
      <c r="C46" s="7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4"/>
      <c r="AT46" s="7" t="s">
        <v>489</v>
      </c>
      <c r="AU46" s="218">
        <f>+AT44</f>
        <v>36</v>
      </c>
    </row>
    <row r="47" spans="1:79" ht="12.75" x14ac:dyDescent="0.2">
      <c r="C47" s="34" t="str">
        <f>+Name</f>
        <v>Allied Pacific (APC Commerical)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34" t="str">
        <f>+Name</f>
        <v>Allied Pacific (APC Commerical)</v>
      </c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34" t="str">
        <f>+Name</f>
        <v>Allied Pacific (APC Commerical)</v>
      </c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4"/>
      <c r="AT47" s="10" t="s">
        <v>490</v>
      </c>
      <c r="AU47" s="217">
        <f>+ClosedMos</f>
        <v>0</v>
      </c>
    </row>
    <row r="48" spans="1:79" x14ac:dyDescent="0.2">
      <c r="C48" s="514" t="s">
        <v>970</v>
      </c>
      <c r="D48" s="520"/>
      <c r="E48" s="520"/>
      <c r="F48" s="520"/>
      <c r="G48" s="520"/>
      <c r="H48" s="520"/>
      <c r="I48" s="520"/>
      <c r="J48" s="5"/>
      <c r="K48" s="5"/>
      <c r="L48" s="5"/>
      <c r="M48" s="5"/>
      <c r="N48" s="5"/>
      <c r="O48" s="514" t="s">
        <v>970</v>
      </c>
      <c r="P48" s="520"/>
      <c r="Q48" s="520"/>
      <c r="R48" s="520"/>
      <c r="S48" s="520"/>
      <c r="T48" s="520"/>
      <c r="U48" s="520"/>
      <c r="V48" s="5"/>
      <c r="W48" s="5"/>
      <c r="X48" s="5"/>
      <c r="Y48" s="5"/>
      <c r="Z48" s="5"/>
      <c r="AA48" s="514" t="s">
        <v>970</v>
      </c>
      <c r="AB48" s="520"/>
      <c r="AC48" s="520"/>
      <c r="AD48" s="520"/>
      <c r="AE48" s="520"/>
      <c r="AF48" s="520"/>
      <c r="AG48" s="520"/>
      <c r="AH48" s="5"/>
      <c r="AI48" s="5"/>
      <c r="AJ48" s="5"/>
      <c r="AK48" s="5"/>
      <c r="AL48" s="5"/>
      <c r="AM48" s="4"/>
      <c r="AT48" s="10" t="s">
        <v>488</v>
      </c>
      <c r="AU48" s="217">
        <f>SUM(AU46:AU47)</f>
        <v>36</v>
      </c>
    </row>
    <row r="49" spans="1:39" x14ac:dyDescent="0.2">
      <c r="A49" t="s">
        <v>15</v>
      </c>
      <c r="C49" t="s">
        <v>44</v>
      </c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AM49" s="4"/>
    </row>
    <row r="50" spans="1:39" x14ac:dyDescent="0.2">
      <c r="A50" t="s">
        <v>16</v>
      </c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AM50" s="4"/>
    </row>
    <row r="51" spans="1:39" x14ac:dyDescent="0.2">
      <c r="A51" t="s">
        <v>47</v>
      </c>
      <c r="C51" s="72">
        <f>+C$6</f>
        <v>44287</v>
      </c>
      <c r="D51" s="72">
        <f t="shared" ref="D51:AL51" si="44">+D$6</f>
        <v>44317</v>
      </c>
      <c r="E51" s="72">
        <f t="shared" si="44"/>
        <v>44348</v>
      </c>
      <c r="F51" s="72">
        <f t="shared" si="44"/>
        <v>44378</v>
      </c>
      <c r="G51" s="72">
        <f t="shared" si="44"/>
        <v>44409</v>
      </c>
      <c r="H51" s="72">
        <f t="shared" si="44"/>
        <v>44440</v>
      </c>
      <c r="I51" s="72">
        <f t="shared" si="44"/>
        <v>44470</v>
      </c>
      <c r="J51" s="72">
        <f t="shared" si="44"/>
        <v>44501</v>
      </c>
      <c r="K51" s="72">
        <f t="shared" si="44"/>
        <v>44531</v>
      </c>
      <c r="L51" s="72">
        <f t="shared" si="44"/>
        <v>44562</v>
      </c>
      <c r="M51" s="72">
        <f t="shared" si="44"/>
        <v>44593</v>
      </c>
      <c r="N51" s="72">
        <f t="shared" si="44"/>
        <v>44621</v>
      </c>
      <c r="O51" s="72">
        <f t="shared" si="44"/>
        <v>44652</v>
      </c>
      <c r="P51" s="72">
        <f t="shared" si="44"/>
        <v>44682</v>
      </c>
      <c r="Q51" s="72">
        <f t="shared" si="44"/>
        <v>44713</v>
      </c>
      <c r="R51" s="72">
        <f t="shared" si="44"/>
        <v>44743</v>
      </c>
      <c r="S51" s="72">
        <f t="shared" si="44"/>
        <v>44774</v>
      </c>
      <c r="T51" s="72">
        <f t="shared" si="44"/>
        <v>44805</v>
      </c>
      <c r="U51" s="72">
        <f t="shared" si="44"/>
        <v>44835</v>
      </c>
      <c r="V51" s="72">
        <f t="shared" si="44"/>
        <v>44866</v>
      </c>
      <c r="W51" s="72">
        <f t="shared" si="44"/>
        <v>44896</v>
      </c>
      <c r="X51" s="72">
        <f t="shared" si="44"/>
        <v>44927</v>
      </c>
      <c r="Y51" s="72">
        <f t="shared" si="44"/>
        <v>44958</v>
      </c>
      <c r="Z51" s="72">
        <f t="shared" si="44"/>
        <v>44986</v>
      </c>
      <c r="AA51" s="72">
        <f t="shared" si="44"/>
        <v>45017</v>
      </c>
      <c r="AB51" s="72">
        <f t="shared" si="44"/>
        <v>45047</v>
      </c>
      <c r="AC51" s="72">
        <f t="shared" si="44"/>
        <v>45078</v>
      </c>
      <c r="AD51" s="72">
        <f t="shared" si="44"/>
        <v>45108</v>
      </c>
      <c r="AE51" s="72">
        <f t="shared" si="44"/>
        <v>45139</v>
      </c>
      <c r="AF51" s="72">
        <f t="shared" si="44"/>
        <v>45170</v>
      </c>
      <c r="AG51" s="72">
        <f t="shared" si="44"/>
        <v>45200</v>
      </c>
      <c r="AH51" s="72">
        <f t="shared" si="44"/>
        <v>45231</v>
      </c>
      <c r="AI51" s="72">
        <f t="shared" si="44"/>
        <v>45261</v>
      </c>
      <c r="AJ51" s="72">
        <f t="shared" si="44"/>
        <v>45292</v>
      </c>
      <c r="AK51" s="72">
        <f t="shared" si="44"/>
        <v>45323</v>
      </c>
      <c r="AL51" s="72">
        <f t="shared" si="44"/>
        <v>45352</v>
      </c>
      <c r="AM51" s="4"/>
    </row>
    <row r="52" spans="1:39" x14ac:dyDescent="0.2">
      <c r="C52" s="7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4"/>
    </row>
    <row r="53" spans="1:39" x14ac:dyDescent="0.2">
      <c r="A53" s="252" t="s">
        <v>978</v>
      </c>
      <c r="B53" s="6"/>
      <c r="C53" s="6">
        <v>0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S53" s="6">
        <v>0</v>
      </c>
      <c r="T53" s="6">
        <v>0</v>
      </c>
      <c r="U53" s="6">
        <v>0</v>
      </c>
      <c r="V53" s="6">
        <v>0</v>
      </c>
      <c r="W53" s="6">
        <v>0</v>
      </c>
      <c r="X53" s="6">
        <v>0</v>
      </c>
      <c r="Y53" s="6">
        <v>0</v>
      </c>
      <c r="Z53" s="6">
        <v>0</v>
      </c>
      <c r="AA53" s="6">
        <v>0</v>
      </c>
      <c r="AB53" s="6">
        <v>0</v>
      </c>
      <c r="AC53" s="6">
        <v>0</v>
      </c>
      <c r="AD53" s="6">
        <v>0</v>
      </c>
      <c r="AE53" s="6">
        <v>0</v>
      </c>
      <c r="AF53" s="6">
        <v>0</v>
      </c>
      <c r="AG53" s="6">
        <v>0</v>
      </c>
      <c r="AH53" s="6">
        <v>0</v>
      </c>
      <c r="AI53" s="6">
        <v>0</v>
      </c>
      <c r="AJ53" s="6">
        <v>0</v>
      </c>
      <c r="AK53" s="6">
        <v>0</v>
      </c>
      <c r="AL53" s="6">
        <v>0</v>
      </c>
      <c r="AM53" s="4"/>
    </row>
    <row r="54" spans="1:39" x14ac:dyDescent="0.2">
      <c r="A54" s="252" t="s">
        <v>979</v>
      </c>
      <c r="B54" s="6"/>
      <c r="C54" s="6">
        <v>0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  <c r="S54" s="6">
        <v>0</v>
      </c>
      <c r="T54" s="6">
        <v>0</v>
      </c>
      <c r="U54" s="6">
        <v>0</v>
      </c>
      <c r="V54" s="6">
        <v>0</v>
      </c>
      <c r="W54" s="6">
        <v>0</v>
      </c>
      <c r="X54" s="6">
        <v>0</v>
      </c>
      <c r="Y54" s="6">
        <v>0</v>
      </c>
      <c r="Z54" s="6">
        <v>0</v>
      </c>
      <c r="AA54" s="6">
        <v>0</v>
      </c>
      <c r="AB54" s="6">
        <v>0</v>
      </c>
      <c r="AC54" s="6">
        <v>0</v>
      </c>
      <c r="AD54" s="6">
        <v>0</v>
      </c>
      <c r="AE54" s="6">
        <v>0</v>
      </c>
      <c r="AF54" s="6">
        <v>0</v>
      </c>
      <c r="AG54" s="6">
        <v>0</v>
      </c>
      <c r="AH54" s="6">
        <v>0</v>
      </c>
      <c r="AI54" s="6">
        <v>0</v>
      </c>
      <c r="AJ54" s="6">
        <v>0</v>
      </c>
      <c r="AK54" s="6">
        <v>0</v>
      </c>
      <c r="AL54" s="6">
        <v>0</v>
      </c>
      <c r="AM54" s="4"/>
    </row>
    <row r="55" spans="1:39" x14ac:dyDescent="0.2">
      <c r="A55" s="568" t="s">
        <v>980</v>
      </c>
      <c r="B55" s="6"/>
      <c r="C55" s="6">
        <v>0</v>
      </c>
      <c r="D55" s="6">
        <v>0</v>
      </c>
      <c r="E55" s="6">
        <v>0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0</v>
      </c>
      <c r="S55" s="6">
        <v>0</v>
      </c>
      <c r="T55" s="6">
        <v>0</v>
      </c>
      <c r="U55" s="6">
        <v>0</v>
      </c>
      <c r="V55" s="6">
        <v>0</v>
      </c>
      <c r="W55" s="6">
        <v>0</v>
      </c>
      <c r="X55" s="6">
        <v>0</v>
      </c>
      <c r="Y55" s="6">
        <v>0</v>
      </c>
      <c r="Z55" s="6">
        <v>0</v>
      </c>
      <c r="AA55" s="6">
        <v>0</v>
      </c>
      <c r="AB55" s="6">
        <v>0</v>
      </c>
      <c r="AC55" s="6">
        <v>0</v>
      </c>
      <c r="AD55" s="6">
        <v>0</v>
      </c>
      <c r="AE55" s="6">
        <v>0</v>
      </c>
      <c r="AF55" s="6">
        <v>0</v>
      </c>
      <c r="AG55" s="6">
        <v>0</v>
      </c>
      <c r="AH55" s="6">
        <v>0</v>
      </c>
      <c r="AI55" s="6">
        <v>0</v>
      </c>
      <c r="AJ55" s="6">
        <v>0</v>
      </c>
      <c r="AK55" s="6">
        <v>0</v>
      </c>
      <c r="AL55" s="6">
        <v>0</v>
      </c>
      <c r="AM55" s="4"/>
    </row>
    <row r="56" spans="1:39" x14ac:dyDescent="0.2">
      <c r="A56" s="568" t="s">
        <v>981</v>
      </c>
      <c r="B56" s="6"/>
      <c r="C56" s="6">
        <v>0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v>0</v>
      </c>
      <c r="W56" s="6">
        <v>0</v>
      </c>
      <c r="X56" s="6">
        <v>0</v>
      </c>
      <c r="Y56" s="6">
        <v>0</v>
      </c>
      <c r="Z56" s="6">
        <v>0</v>
      </c>
      <c r="AA56" s="6">
        <v>0</v>
      </c>
      <c r="AB56" s="6">
        <v>0</v>
      </c>
      <c r="AC56" s="6">
        <v>0</v>
      </c>
      <c r="AD56" s="6">
        <v>0</v>
      </c>
      <c r="AE56" s="6">
        <v>0</v>
      </c>
      <c r="AF56" s="6">
        <v>0</v>
      </c>
      <c r="AG56" s="6">
        <v>0</v>
      </c>
      <c r="AH56" s="6">
        <v>0</v>
      </c>
      <c r="AI56" s="6">
        <v>0</v>
      </c>
      <c r="AJ56" s="6">
        <v>0</v>
      </c>
      <c r="AK56" s="6">
        <v>0</v>
      </c>
      <c r="AL56" s="6">
        <v>0</v>
      </c>
      <c r="AM56" s="4"/>
    </row>
    <row r="57" spans="1:39" x14ac:dyDescent="0.2">
      <c r="A57" s="568" t="s">
        <v>982</v>
      </c>
      <c r="B57" s="6"/>
      <c r="C57" s="6">
        <v>0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6">
        <v>0</v>
      </c>
      <c r="AE57" s="6">
        <v>0</v>
      </c>
      <c r="AF57" s="6">
        <v>0</v>
      </c>
      <c r="AG57" s="6">
        <v>0</v>
      </c>
      <c r="AH57" s="6">
        <v>0</v>
      </c>
      <c r="AI57" s="6">
        <v>0</v>
      </c>
      <c r="AJ57" s="6">
        <v>0</v>
      </c>
      <c r="AK57" s="6">
        <v>0</v>
      </c>
      <c r="AL57" s="6">
        <v>0</v>
      </c>
      <c r="AM57" s="4"/>
    </row>
    <row r="58" spans="1:39" x14ac:dyDescent="0.2">
      <c r="A58" s="568" t="s">
        <v>983</v>
      </c>
      <c r="B58" s="6"/>
      <c r="C58" s="6">
        <v>0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S58" s="6">
        <v>0</v>
      </c>
      <c r="T58" s="6">
        <v>0</v>
      </c>
      <c r="U58" s="6">
        <v>0</v>
      </c>
      <c r="V58" s="6">
        <v>0</v>
      </c>
      <c r="W58" s="6">
        <v>0</v>
      </c>
      <c r="X58" s="6">
        <v>0</v>
      </c>
      <c r="Y58" s="6">
        <v>0</v>
      </c>
      <c r="Z58" s="6">
        <v>0</v>
      </c>
      <c r="AA58" s="6">
        <v>0</v>
      </c>
      <c r="AB58" s="6">
        <v>0</v>
      </c>
      <c r="AC58" s="6">
        <v>0</v>
      </c>
      <c r="AD58" s="6">
        <v>0</v>
      </c>
      <c r="AE58" s="6">
        <v>0</v>
      </c>
      <c r="AF58" s="6">
        <v>0</v>
      </c>
      <c r="AG58" s="6">
        <v>0</v>
      </c>
      <c r="AH58" s="6">
        <v>0</v>
      </c>
      <c r="AI58" s="6">
        <v>0</v>
      </c>
      <c r="AJ58" s="6">
        <v>0</v>
      </c>
      <c r="AK58" s="6">
        <v>0</v>
      </c>
      <c r="AL58" s="6">
        <v>0</v>
      </c>
      <c r="AM58" s="4"/>
    </row>
    <row r="59" spans="1:39" x14ac:dyDescent="0.2">
      <c r="A59" s="568" t="s">
        <v>984</v>
      </c>
      <c r="B59" s="6"/>
      <c r="C59" s="6">
        <v>0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S59" s="6">
        <v>0</v>
      </c>
      <c r="T59" s="6">
        <v>0</v>
      </c>
      <c r="U59" s="6">
        <v>0</v>
      </c>
      <c r="V59" s="6">
        <v>0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  <c r="AD59" s="6">
        <v>0</v>
      </c>
      <c r="AE59" s="6">
        <v>0</v>
      </c>
      <c r="AF59" s="6">
        <v>0</v>
      </c>
      <c r="AG59" s="6">
        <v>0</v>
      </c>
      <c r="AH59" s="6">
        <v>0</v>
      </c>
      <c r="AI59" s="6">
        <v>0</v>
      </c>
      <c r="AJ59" s="6">
        <v>0</v>
      </c>
      <c r="AK59" s="6">
        <v>0</v>
      </c>
      <c r="AL59" s="6">
        <v>0</v>
      </c>
      <c r="AM59" s="4"/>
    </row>
    <row r="60" spans="1:39" x14ac:dyDescent="0.2">
      <c r="A60" s="568" t="s">
        <v>985</v>
      </c>
      <c r="B60" s="6"/>
      <c r="C60" s="6">
        <v>0</v>
      </c>
      <c r="D60" s="6">
        <v>0</v>
      </c>
      <c r="E60" s="6">
        <v>0</v>
      </c>
      <c r="F60" s="6">
        <v>0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S60" s="6">
        <v>0</v>
      </c>
      <c r="T60" s="6">
        <v>0</v>
      </c>
      <c r="U60" s="6">
        <v>0</v>
      </c>
      <c r="V60" s="6">
        <v>0</v>
      </c>
      <c r="W60" s="6">
        <v>0</v>
      </c>
      <c r="X60" s="6">
        <v>0</v>
      </c>
      <c r="Y60" s="6">
        <v>0</v>
      </c>
      <c r="Z60" s="6">
        <v>0</v>
      </c>
      <c r="AA60" s="6">
        <v>0</v>
      </c>
      <c r="AB60" s="6">
        <v>0</v>
      </c>
      <c r="AC60" s="6">
        <v>0</v>
      </c>
      <c r="AD60" s="6">
        <v>0</v>
      </c>
      <c r="AE60" s="6">
        <v>0</v>
      </c>
      <c r="AF60" s="6">
        <v>0</v>
      </c>
      <c r="AG60" s="6">
        <v>0</v>
      </c>
      <c r="AH60" s="6">
        <v>0</v>
      </c>
      <c r="AI60" s="6">
        <v>0</v>
      </c>
      <c r="AJ60" s="6">
        <v>0</v>
      </c>
      <c r="AK60" s="6">
        <v>0</v>
      </c>
      <c r="AL60" s="6">
        <v>0</v>
      </c>
      <c r="AM60" s="4"/>
    </row>
    <row r="61" spans="1:39" x14ac:dyDescent="0.2">
      <c r="A61" s="568" t="s">
        <v>986</v>
      </c>
      <c r="B61" s="6"/>
      <c r="C61" s="6">
        <v>0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R61" s="6">
        <v>0</v>
      </c>
      <c r="S61" s="6">
        <v>0</v>
      </c>
      <c r="T61" s="6">
        <v>0</v>
      </c>
      <c r="U61" s="6">
        <v>0</v>
      </c>
      <c r="V61" s="6">
        <v>0</v>
      </c>
      <c r="W61" s="6">
        <v>0</v>
      </c>
      <c r="X61" s="6">
        <v>0</v>
      </c>
      <c r="Y61" s="6">
        <v>0</v>
      </c>
      <c r="Z61" s="6">
        <v>0</v>
      </c>
      <c r="AA61" s="6">
        <v>0</v>
      </c>
      <c r="AB61" s="6">
        <v>0</v>
      </c>
      <c r="AC61" s="6">
        <v>0</v>
      </c>
      <c r="AD61" s="6">
        <v>0</v>
      </c>
      <c r="AE61" s="6">
        <v>0</v>
      </c>
      <c r="AF61" s="6">
        <v>0</v>
      </c>
      <c r="AG61" s="6">
        <v>0</v>
      </c>
      <c r="AH61" s="6">
        <v>0</v>
      </c>
      <c r="AI61" s="6">
        <v>0</v>
      </c>
      <c r="AJ61" s="6">
        <v>0</v>
      </c>
      <c r="AK61" s="6">
        <v>0</v>
      </c>
      <c r="AL61" s="6">
        <v>0</v>
      </c>
      <c r="AM61" s="4"/>
    </row>
    <row r="62" spans="1:39" x14ac:dyDescent="0.2">
      <c r="A62" s="568" t="s">
        <v>987</v>
      </c>
      <c r="B62" s="6"/>
      <c r="C62" s="6">
        <v>0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U62" s="6">
        <v>0</v>
      </c>
      <c r="V62" s="6">
        <v>0</v>
      </c>
      <c r="W62" s="6">
        <v>0</v>
      </c>
      <c r="X62" s="6">
        <v>0</v>
      </c>
      <c r="Y62" s="6">
        <v>0</v>
      </c>
      <c r="Z62" s="6">
        <v>0</v>
      </c>
      <c r="AA62" s="6">
        <v>0</v>
      </c>
      <c r="AB62" s="6">
        <v>0</v>
      </c>
      <c r="AC62" s="6">
        <v>0</v>
      </c>
      <c r="AD62" s="6">
        <v>0</v>
      </c>
      <c r="AE62" s="6">
        <v>0</v>
      </c>
      <c r="AF62" s="6">
        <v>0</v>
      </c>
      <c r="AG62" s="6">
        <v>0</v>
      </c>
      <c r="AH62" s="6">
        <v>0</v>
      </c>
      <c r="AI62" s="6">
        <v>0</v>
      </c>
      <c r="AJ62" s="6">
        <v>0</v>
      </c>
      <c r="AK62" s="6">
        <v>0</v>
      </c>
      <c r="AL62" s="6">
        <v>0</v>
      </c>
      <c r="AM62" s="4"/>
    </row>
    <row r="63" spans="1:39" x14ac:dyDescent="0.2">
      <c r="A63" s="568" t="s">
        <v>988</v>
      </c>
      <c r="B63" s="6"/>
      <c r="C63" s="6">
        <v>0</v>
      </c>
      <c r="D63" s="6">
        <v>0</v>
      </c>
      <c r="E63" s="6">
        <v>0</v>
      </c>
      <c r="F63" s="6">
        <v>0</v>
      </c>
      <c r="G63" s="6">
        <v>0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S63" s="6">
        <v>0</v>
      </c>
      <c r="T63" s="6">
        <v>0</v>
      </c>
      <c r="U63" s="6">
        <v>0</v>
      </c>
      <c r="V63" s="6">
        <v>0</v>
      </c>
      <c r="W63" s="6">
        <v>0</v>
      </c>
      <c r="X63" s="6">
        <v>0</v>
      </c>
      <c r="Y63" s="6">
        <v>0</v>
      </c>
      <c r="Z63" s="6">
        <v>0</v>
      </c>
      <c r="AA63" s="6">
        <v>0</v>
      </c>
      <c r="AB63" s="6">
        <v>0</v>
      </c>
      <c r="AC63" s="6">
        <v>0</v>
      </c>
      <c r="AD63" s="6">
        <v>0</v>
      </c>
      <c r="AE63" s="6">
        <v>0</v>
      </c>
      <c r="AF63" s="6">
        <v>0</v>
      </c>
      <c r="AG63" s="6">
        <v>0</v>
      </c>
      <c r="AH63" s="6">
        <v>0</v>
      </c>
      <c r="AI63" s="6">
        <v>0</v>
      </c>
      <c r="AJ63" s="6">
        <v>0</v>
      </c>
      <c r="AK63" s="6">
        <v>0</v>
      </c>
      <c r="AL63" s="6">
        <v>0</v>
      </c>
      <c r="AM63" s="4"/>
    </row>
    <row r="64" spans="1:39" x14ac:dyDescent="0.2">
      <c r="A64" s="568" t="s">
        <v>989</v>
      </c>
      <c r="B64" s="6"/>
      <c r="C64" s="6">
        <v>0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  <c r="T64" s="6">
        <v>0</v>
      </c>
      <c r="U64" s="6">
        <v>0</v>
      </c>
      <c r="V64" s="6">
        <v>0</v>
      </c>
      <c r="W64" s="6">
        <v>0</v>
      </c>
      <c r="X64" s="6">
        <v>0</v>
      </c>
      <c r="Y64" s="6">
        <v>0</v>
      </c>
      <c r="Z64" s="6">
        <v>0</v>
      </c>
      <c r="AA64" s="6">
        <v>0</v>
      </c>
      <c r="AB64" s="6">
        <v>0</v>
      </c>
      <c r="AC64" s="6">
        <v>0</v>
      </c>
      <c r="AD64" s="6">
        <v>0</v>
      </c>
      <c r="AE64" s="6">
        <v>0</v>
      </c>
      <c r="AF64" s="6">
        <v>0</v>
      </c>
      <c r="AG64" s="6">
        <v>0</v>
      </c>
      <c r="AH64" s="6">
        <v>0</v>
      </c>
      <c r="AI64" s="6">
        <v>0</v>
      </c>
      <c r="AJ64" s="6">
        <v>0</v>
      </c>
      <c r="AK64" s="6">
        <v>0</v>
      </c>
      <c r="AL64" s="6">
        <v>0</v>
      </c>
      <c r="AM64" s="4"/>
    </row>
    <row r="65" spans="1:39" x14ac:dyDescent="0.2">
      <c r="A65" s="568" t="s">
        <v>990</v>
      </c>
      <c r="B65" s="6"/>
      <c r="C65" s="6">
        <v>0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R65" s="6">
        <v>0</v>
      </c>
      <c r="S65" s="6">
        <v>0</v>
      </c>
      <c r="T65" s="6">
        <v>0</v>
      </c>
      <c r="U65" s="6">
        <v>0</v>
      </c>
      <c r="V65" s="6">
        <v>0</v>
      </c>
      <c r="W65" s="6">
        <v>0</v>
      </c>
      <c r="X65" s="6">
        <v>0</v>
      </c>
      <c r="Y65" s="6">
        <v>0</v>
      </c>
      <c r="Z65" s="6">
        <v>0</v>
      </c>
      <c r="AA65" s="6">
        <v>0</v>
      </c>
      <c r="AB65" s="6">
        <v>0</v>
      </c>
      <c r="AC65" s="6">
        <v>0</v>
      </c>
      <c r="AD65" s="6">
        <v>0</v>
      </c>
      <c r="AE65" s="6">
        <v>0</v>
      </c>
      <c r="AF65" s="6">
        <v>0</v>
      </c>
      <c r="AG65" s="6">
        <v>0</v>
      </c>
      <c r="AH65" s="6">
        <v>0</v>
      </c>
      <c r="AI65" s="6">
        <v>0</v>
      </c>
      <c r="AJ65" s="6">
        <v>0</v>
      </c>
      <c r="AK65" s="6">
        <v>0</v>
      </c>
      <c r="AL65" s="6">
        <v>0</v>
      </c>
      <c r="AM65" s="4"/>
    </row>
    <row r="66" spans="1:39" x14ac:dyDescent="0.2">
      <c r="A66" s="568" t="s">
        <v>991</v>
      </c>
      <c r="B66" s="6"/>
      <c r="C66" s="6">
        <v>0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0</v>
      </c>
      <c r="V66" s="6">
        <v>0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  <c r="AD66" s="6">
        <v>0</v>
      </c>
      <c r="AE66" s="6">
        <v>0</v>
      </c>
      <c r="AF66" s="6">
        <v>0</v>
      </c>
      <c r="AG66" s="6">
        <v>0</v>
      </c>
      <c r="AH66" s="6">
        <v>0</v>
      </c>
      <c r="AI66" s="6">
        <v>0</v>
      </c>
      <c r="AJ66" s="6">
        <v>0</v>
      </c>
      <c r="AK66" s="6">
        <v>0</v>
      </c>
      <c r="AL66" s="6">
        <v>0</v>
      </c>
      <c r="AM66" s="4"/>
    </row>
    <row r="67" spans="1:39" x14ac:dyDescent="0.2">
      <c r="A67" s="568" t="s">
        <v>992</v>
      </c>
      <c r="B67" s="6"/>
      <c r="C67" s="6">
        <v>0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6">
        <v>0</v>
      </c>
      <c r="S67" s="6">
        <v>0</v>
      </c>
      <c r="T67" s="6">
        <v>0</v>
      </c>
      <c r="U67" s="6">
        <v>0</v>
      </c>
      <c r="V67" s="6">
        <v>0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6">
        <v>0</v>
      </c>
      <c r="AC67" s="6">
        <v>0</v>
      </c>
      <c r="AD67" s="6">
        <v>0</v>
      </c>
      <c r="AE67" s="6">
        <v>0</v>
      </c>
      <c r="AF67" s="6">
        <v>0</v>
      </c>
      <c r="AG67" s="6">
        <v>0</v>
      </c>
      <c r="AH67" s="6">
        <v>0</v>
      </c>
      <c r="AI67" s="6">
        <v>0</v>
      </c>
      <c r="AJ67" s="6">
        <v>0</v>
      </c>
      <c r="AK67" s="6">
        <v>0</v>
      </c>
      <c r="AL67" s="6">
        <v>0</v>
      </c>
      <c r="AM67" s="4"/>
    </row>
    <row r="68" spans="1:39" x14ac:dyDescent="0.2">
      <c r="A68" s="568" t="s">
        <v>993</v>
      </c>
      <c r="B68" s="6"/>
      <c r="C68" s="6">
        <v>0</v>
      </c>
      <c r="D68" s="6">
        <v>0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S68" s="6">
        <v>0</v>
      </c>
      <c r="T68" s="6">
        <v>0</v>
      </c>
      <c r="U68" s="6">
        <v>0</v>
      </c>
      <c r="V68" s="6">
        <v>0</v>
      </c>
      <c r="W68" s="6">
        <v>0</v>
      </c>
      <c r="X68" s="6">
        <v>0</v>
      </c>
      <c r="Y68" s="6">
        <v>0</v>
      </c>
      <c r="Z68" s="6">
        <v>0</v>
      </c>
      <c r="AA68" s="6">
        <v>0</v>
      </c>
      <c r="AB68" s="6">
        <v>0</v>
      </c>
      <c r="AC68" s="6">
        <v>0</v>
      </c>
      <c r="AD68" s="6">
        <v>0</v>
      </c>
      <c r="AE68" s="6">
        <v>0</v>
      </c>
      <c r="AF68" s="6">
        <v>0</v>
      </c>
      <c r="AG68" s="6">
        <v>0</v>
      </c>
      <c r="AH68" s="6">
        <v>0</v>
      </c>
      <c r="AI68" s="6">
        <v>0</v>
      </c>
      <c r="AJ68" s="6">
        <v>0</v>
      </c>
      <c r="AK68" s="6">
        <v>0</v>
      </c>
      <c r="AL68" s="6">
        <v>0</v>
      </c>
      <c r="AM68" s="4"/>
    </row>
    <row r="69" spans="1:39" x14ac:dyDescent="0.2">
      <c r="A69" s="568" t="s">
        <v>994</v>
      </c>
      <c r="B69" s="6"/>
      <c r="C69" s="6">
        <v>0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  <c r="T69" s="6">
        <v>0</v>
      </c>
      <c r="U69" s="6">
        <v>0</v>
      </c>
      <c r="V69" s="6">
        <v>0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6">
        <v>0</v>
      </c>
      <c r="AC69" s="6">
        <v>0</v>
      </c>
      <c r="AD69" s="6">
        <v>0</v>
      </c>
      <c r="AE69" s="6">
        <v>0</v>
      </c>
      <c r="AF69" s="6">
        <v>0</v>
      </c>
      <c r="AG69" s="6">
        <v>0</v>
      </c>
      <c r="AH69" s="6">
        <v>0</v>
      </c>
      <c r="AI69" s="6">
        <v>0</v>
      </c>
      <c r="AJ69" s="6">
        <v>0</v>
      </c>
      <c r="AK69" s="6">
        <v>0</v>
      </c>
      <c r="AL69" s="6">
        <v>0</v>
      </c>
      <c r="AM69" s="4"/>
    </row>
    <row r="70" spans="1:39" x14ac:dyDescent="0.2">
      <c r="A70" s="568" t="s">
        <v>995</v>
      </c>
      <c r="B70" s="6"/>
      <c r="C70" s="6">
        <v>0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v>0</v>
      </c>
      <c r="W70" s="6">
        <v>0</v>
      </c>
      <c r="X70" s="6">
        <v>0</v>
      </c>
      <c r="Y70" s="6">
        <v>0</v>
      </c>
      <c r="Z70" s="6">
        <v>0</v>
      </c>
      <c r="AA70" s="6">
        <v>0</v>
      </c>
      <c r="AB70" s="6">
        <v>0</v>
      </c>
      <c r="AC70" s="6">
        <v>0</v>
      </c>
      <c r="AD70" s="6">
        <v>0</v>
      </c>
      <c r="AE70" s="6">
        <v>0</v>
      </c>
      <c r="AF70" s="6">
        <v>0</v>
      </c>
      <c r="AG70" s="6">
        <v>0</v>
      </c>
      <c r="AH70" s="6">
        <v>0</v>
      </c>
      <c r="AI70" s="6">
        <v>0</v>
      </c>
      <c r="AJ70" s="6">
        <v>0</v>
      </c>
      <c r="AK70" s="6">
        <v>0</v>
      </c>
      <c r="AL70" s="6">
        <v>0</v>
      </c>
      <c r="AM70" s="4"/>
    </row>
    <row r="71" spans="1:39" x14ac:dyDescent="0.2">
      <c r="A71" s="568" t="s">
        <v>996</v>
      </c>
      <c r="B71" s="6"/>
      <c r="C71" s="6">
        <v>0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S71" s="6">
        <v>0</v>
      </c>
      <c r="T71" s="6">
        <v>0</v>
      </c>
      <c r="U71" s="6">
        <v>0</v>
      </c>
      <c r="V71" s="6">
        <v>0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6">
        <v>0</v>
      </c>
      <c r="AC71" s="6">
        <v>0</v>
      </c>
      <c r="AD71" s="6">
        <v>0</v>
      </c>
      <c r="AE71" s="6">
        <v>0</v>
      </c>
      <c r="AF71" s="6">
        <v>0</v>
      </c>
      <c r="AG71" s="6">
        <v>0</v>
      </c>
      <c r="AH71" s="6">
        <v>0</v>
      </c>
      <c r="AI71" s="6">
        <v>0</v>
      </c>
      <c r="AJ71" s="6">
        <v>0</v>
      </c>
      <c r="AK71" s="6">
        <v>0</v>
      </c>
      <c r="AL71" s="6">
        <v>0</v>
      </c>
      <c r="AM71" s="4"/>
    </row>
    <row r="72" spans="1:39" x14ac:dyDescent="0.2">
      <c r="A72" s="568" t="s">
        <v>997</v>
      </c>
      <c r="B72" s="6"/>
      <c r="C72" s="6">
        <v>0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v>0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  <c r="AC72" s="6">
        <v>0</v>
      </c>
      <c r="AD72" s="6">
        <v>0</v>
      </c>
      <c r="AE72" s="6">
        <v>0</v>
      </c>
      <c r="AF72" s="6">
        <v>0</v>
      </c>
      <c r="AG72" s="6">
        <v>0</v>
      </c>
      <c r="AH72" s="6">
        <v>0</v>
      </c>
      <c r="AI72" s="6">
        <v>0</v>
      </c>
      <c r="AJ72" s="6">
        <v>0</v>
      </c>
      <c r="AK72" s="6">
        <v>0</v>
      </c>
      <c r="AL72" s="6">
        <v>0</v>
      </c>
      <c r="AM72" s="4"/>
    </row>
    <row r="73" spans="1:39" x14ac:dyDescent="0.2">
      <c r="A73" s="568" t="s">
        <v>998</v>
      </c>
      <c r="B73" s="6"/>
      <c r="C73" s="6">
        <v>0</v>
      </c>
      <c r="D73" s="6">
        <v>0</v>
      </c>
      <c r="E73" s="6">
        <v>0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S73" s="6">
        <v>0</v>
      </c>
      <c r="T73" s="6">
        <v>0</v>
      </c>
      <c r="U73" s="6">
        <v>0</v>
      </c>
      <c r="V73" s="6">
        <v>0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  <c r="AD73" s="6">
        <v>0</v>
      </c>
      <c r="AE73" s="6">
        <v>0</v>
      </c>
      <c r="AF73" s="6">
        <v>0</v>
      </c>
      <c r="AG73" s="6">
        <v>0</v>
      </c>
      <c r="AH73" s="6">
        <v>0</v>
      </c>
      <c r="AI73" s="6">
        <v>0</v>
      </c>
      <c r="AJ73" s="6">
        <v>0</v>
      </c>
      <c r="AK73" s="6">
        <v>0</v>
      </c>
      <c r="AL73" s="6">
        <v>0</v>
      </c>
      <c r="AM73" s="4"/>
    </row>
    <row r="74" spans="1:39" x14ac:dyDescent="0.2">
      <c r="A74" s="568" t="s">
        <v>999</v>
      </c>
      <c r="B74" s="6"/>
      <c r="C74" s="6">
        <v>0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v>0</v>
      </c>
      <c r="W74" s="6">
        <v>0</v>
      </c>
      <c r="X74" s="6">
        <v>0</v>
      </c>
      <c r="Y74" s="6">
        <v>0</v>
      </c>
      <c r="Z74" s="6">
        <v>0</v>
      </c>
      <c r="AA74" s="6">
        <v>0</v>
      </c>
      <c r="AB74" s="6">
        <v>0</v>
      </c>
      <c r="AC74" s="6">
        <v>0</v>
      </c>
      <c r="AD74" s="6">
        <v>0</v>
      </c>
      <c r="AE74" s="6">
        <v>0</v>
      </c>
      <c r="AF74" s="6">
        <v>0</v>
      </c>
      <c r="AG74" s="6">
        <v>0</v>
      </c>
      <c r="AH74" s="6">
        <v>0</v>
      </c>
      <c r="AI74" s="6">
        <v>0</v>
      </c>
      <c r="AJ74" s="6">
        <v>0</v>
      </c>
      <c r="AK74" s="6">
        <v>0</v>
      </c>
      <c r="AL74" s="6">
        <v>0</v>
      </c>
      <c r="AM74" s="4"/>
    </row>
    <row r="75" spans="1:39" x14ac:dyDescent="0.2">
      <c r="A75" s="568" t="s">
        <v>1000</v>
      </c>
      <c r="B75" s="6"/>
      <c r="C75" s="6">
        <v>0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S75" s="6">
        <v>0</v>
      </c>
      <c r="T75" s="6">
        <v>0</v>
      </c>
      <c r="U75" s="6">
        <v>0</v>
      </c>
      <c r="V75" s="6">
        <v>0</v>
      </c>
      <c r="W75" s="6">
        <v>0</v>
      </c>
      <c r="X75" s="6">
        <v>0</v>
      </c>
      <c r="Y75" s="6">
        <v>0</v>
      </c>
      <c r="Z75" s="6">
        <v>0</v>
      </c>
      <c r="AA75" s="6">
        <v>0</v>
      </c>
      <c r="AB75" s="6">
        <v>0</v>
      </c>
      <c r="AC75" s="6">
        <v>0</v>
      </c>
      <c r="AD75" s="6">
        <v>0</v>
      </c>
      <c r="AE75" s="6">
        <v>0</v>
      </c>
      <c r="AF75" s="6">
        <v>0</v>
      </c>
      <c r="AG75" s="6">
        <v>0</v>
      </c>
      <c r="AH75" s="6">
        <v>0</v>
      </c>
      <c r="AI75" s="6">
        <v>0</v>
      </c>
      <c r="AJ75" s="6">
        <v>0</v>
      </c>
      <c r="AK75" s="6">
        <v>0</v>
      </c>
      <c r="AL75" s="6">
        <v>0</v>
      </c>
      <c r="AM75" s="4"/>
    </row>
    <row r="76" spans="1:39" x14ac:dyDescent="0.2">
      <c r="A76" s="568" t="s">
        <v>1001</v>
      </c>
      <c r="B76" s="6"/>
      <c r="C76" s="6">
        <v>0</v>
      </c>
      <c r="D76" s="6">
        <v>0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S76" s="6">
        <v>0</v>
      </c>
      <c r="T76" s="6">
        <v>0</v>
      </c>
      <c r="U76" s="6">
        <v>0</v>
      </c>
      <c r="V76" s="6">
        <v>0</v>
      </c>
      <c r="W76" s="6">
        <v>0</v>
      </c>
      <c r="X76" s="6">
        <v>0</v>
      </c>
      <c r="Y76" s="6">
        <v>0</v>
      </c>
      <c r="Z76" s="6">
        <v>0</v>
      </c>
      <c r="AA76" s="6">
        <v>0</v>
      </c>
      <c r="AB76" s="6">
        <v>0</v>
      </c>
      <c r="AC76" s="6">
        <v>0</v>
      </c>
      <c r="AD76" s="6">
        <v>0</v>
      </c>
      <c r="AE76" s="6">
        <v>0</v>
      </c>
      <c r="AF76" s="6">
        <v>0</v>
      </c>
      <c r="AG76" s="6">
        <v>0</v>
      </c>
      <c r="AH76" s="6">
        <v>0</v>
      </c>
      <c r="AI76" s="6">
        <v>0</v>
      </c>
      <c r="AJ76" s="6">
        <v>0</v>
      </c>
      <c r="AK76" s="6">
        <v>0</v>
      </c>
      <c r="AL76" s="6">
        <v>0</v>
      </c>
      <c r="AM76" s="4"/>
    </row>
    <row r="77" spans="1:39" x14ac:dyDescent="0.2">
      <c r="A77" s="568" t="s">
        <v>1043</v>
      </c>
      <c r="B77" s="6"/>
      <c r="C77" s="6">
        <v>0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R77" s="6">
        <v>0</v>
      </c>
      <c r="S77" s="6">
        <v>0</v>
      </c>
      <c r="T77" s="6">
        <v>0</v>
      </c>
      <c r="U77" s="6">
        <v>0</v>
      </c>
      <c r="V77" s="6">
        <v>0</v>
      </c>
      <c r="W77" s="6">
        <v>0</v>
      </c>
      <c r="X77" s="6">
        <v>0</v>
      </c>
      <c r="Y77" s="6">
        <v>0</v>
      </c>
      <c r="Z77" s="6">
        <v>0</v>
      </c>
      <c r="AA77" s="6">
        <v>0</v>
      </c>
      <c r="AB77" s="6">
        <v>0</v>
      </c>
      <c r="AC77" s="6">
        <v>0</v>
      </c>
      <c r="AD77" s="6">
        <v>0</v>
      </c>
      <c r="AE77" s="6">
        <v>0</v>
      </c>
      <c r="AF77" s="6">
        <v>0</v>
      </c>
      <c r="AG77" s="6">
        <v>0</v>
      </c>
      <c r="AH77" s="6">
        <v>0</v>
      </c>
      <c r="AI77" s="6">
        <v>0</v>
      </c>
      <c r="AJ77" s="6">
        <v>0</v>
      </c>
      <c r="AK77" s="6">
        <v>0</v>
      </c>
      <c r="AL77" s="6">
        <v>0</v>
      </c>
      <c r="AM77" s="4"/>
    </row>
    <row r="78" spans="1:39" x14ac:dyDescent="0.2">
      <c r="A78" s="568" t="s">
        <v>1044</v>
      </c>
      <c r="B78" s="6"/>
      <c r="C78" s="6">
        <v>0</v>
      </c>
      <c r="D78" s="6">
        <v>0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S78" s="6">
        <v>0</v>
      </c>
      <c r="T78" s="6">
        <v>0</v>
      </c>
      <c r="U78" s="6">
        <v>0</v>
      </c>
      <c r="V78" s="6">
        <v>0</v>
      </c>
      <c r="W78" s="6">
        <v>0</v>
      </c>
      <c r="X78" s="6">
        <v>0</v>
      </c>
      <c r="Y78" s="6">
        <v>0</v>
      </c>
      <c r="Z78" s="6">
        <v>0</v>
      </c>
      <c r="AA78" s="6">
        <v>0</v>
      </c>
      <c r="AB78" s="6">
        <v>0</v>
      </c>
      <c r="AC78" s="6">
        <v>0</v>
      </c>
      <c r="AD78" s="6">
        <v>0</v>
      </c>
      <c r="AE78" s="6">
        <v>0</v>
      </c>
      <c r="AF78" s="6">
        <v>0</v>
      </c>
      <c r="AG78" s="6">
        <v>0</v>
      </c>
      <c r="AH78" s="6">
        <v>0</v>
      </c>
      <c r="AI78" s="6">
        <v>0</v>
      </c>
      <c r="AJ78" s="6">
        <v>0</v>
      </c>
      <c r="AK78" s="6">
        <v>0</v>
      </c>
      <c r="AL78" s="6">
        <v>0</v>
      </c>
      <c r="AM78" s="4"/>
    </row>
    <row r="79" spans="1:39" x14ac:dyDescent="0.2">
      <c r="A79" s="568" t="s">
        <v>1045</v>
      </c>
      <c r="B79" s="6"/>
      <c r="C79" s="6">
        <v>0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  <c r="S79" s="6">
        <v>0</v>
      </c>
      <c r="T79" s="6">
        <v>0</v>
      </c>
      <c r="U79" s="6">
        <v>0</v>
      </c>
      <c r="V79" s="6">
        <v>0</v>
      </c>
      <c r="W79" s="6">
        <v>0</v>
      </c>
      <c r="X79" s="6">
        <v>0</v>
      </c>
      <c r="Y79" s="6">
        <v>0</v>
      </c>
      <c r="Z79" s="6">
        <v>0</v>
      </c>
      <c r="AA79" s="6">
        <v>0</v>
      </c>
      <c r="AB79" s="6">
        <v>0</v>
      </c>
      <c r="AC79" s="6">
        <v>0</v>
      </c>
      <c r="AD79" s="6">
        <v>0</v>
      </c>
      <c r="AE79" s="6">
        <v>0</v>
      </c>
      <c r="AF79" s="6">
        <v>0</v>
      </c>
      <c r="AG79" s="6">
        <v>0</v>
      </c>
      <c r="AH79" s="6">
        <v>0</v>
      </c>
      <c r="AI79" s="6">
        <v>0</v>
      </c>
      <c r="AJ79" s="6">
        <v>0</v>
      </c>
      <c r="AK79" s="6">
        <v>0</v>
      </c>
      <c r="AL79" s="6">
        <v>0</v>
      </c>
      <c r="AM79" s="4"/>
    </row>
    <row r="80" spans="1:39" x14ac:dyDescent="0.2">
      <c r="A80" s="568" t="s">
        <v>1046</v>
      </c>
      <c r="B80" s="6"/>
      <c r="C80" s="6">
        <v>0</v>
      </c>
      <c r="D80" s="6">
        <v>0</v>
      </c>
      <c r="E80" s="6">
        <v>0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U80" s="6">
        <v>0</v>
      </c>
      <c r="V80" s="6">
        <v>0</v>
      </c>
      <c r="W80" s="6">
        <v>0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6">
        <v>0</v>
      </c>
      <c r="AD80" s="6">
        <v>0</v>
      </c>
      <c r="AE80" s="6">
        <v>0</v>
      </c>
      <c r="AF80" s="6">
        <v>0</v>
      </c>
      <c r="AG80" s="6">
        <v>0</v>
      </c>
      <c r="AH80" s="6">
        <v>0</v>
      </c>
      <c r="AI80" s="6">
        <v>0</v>
      </c>
      <c r="AJ80" s="6">
        <v>0</v>
      </c>
      <c r="AK80" s="6">
        <v>0</v>
      </c>
      <c r="AL80" s="6">
        <v>0</v>
      </c>
      <c r="AM80" s="4"/>
    </row>
    <row r="81" spans="1:39" x14ac:dyDescent="0.2">
      <c r="A81" s="568" t="s">
        <v>1047</v>
      </c>
      <c r="B81" s="6"/>
      <c r="C81" s="6">
        <v>0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6">
        <v>0</v>
      </c>
      <c r="S81" s="6">
        <v>0</v>
      </c>
      <c r="T81" s="6">
        <v>0</v>
      </c>
      <c r="U81" s="6">
        <v>0</v>
      </c>
      <c r="V81" s="6">
        <v>0</v>
      </c>
      <c r="W81" s="6">
        <v>0</v>
      </c>
      <c r="X81" s="6">
        <v>0</v>
      </c>
      <c r="Y81" s="6">
        <v>0</v>
      </c>
      <c r="Z81" s="6">
        <v>0</v>
      </c>
      <c r="AA81" s="6">
        <v>0</v>
      </c>
      <c r="AB81" s="6">
        <v>0</v>
      </c>
      <c r="AC81" s="6">
        <v>0</v>
      </c>
      <c r="AD81" s="6">
        <v>0</v>
      </c>
      <c r="AE81" s="6">
        <v>0</v>
      </c>
      <c r="AF81" s="6">
        <v>0</v>
      </c>
      <c r="AG81" s="6">
        <v>0</v>
      </c>
      <c r="AH81" s="6">
        <v>0</v>
      </c>
      <c r="AI81" s="6">
        <v>0</v>
      </c>
      <c r="AJ81" s="6">
        <v>0</v>
      </c>
      <c r="AK81" s="6">
        <v>0</v>
      </c>
      <c r="AL81" s="6">
        <v>0</v>
      </c>
      <c r="AM81" s="4"/>
    </row>
    <row r="82" spans="1:39" x14ac:dyDescent="0.2">
      <c r="A82" s="568" t="s">
        <v>1048</v>
      </c>
      <c r="B82" s="6"/>
      <c r="C82" s="6">
        <v>0</v>
      </c>
      <c r="D82" s="6">
        <v>0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  <c r="R82" s="6">
        <v>0</v>
      </c>
      <c r="S82" s="6">
        <v>0</v>
      </c>
      <c r="T82" s="6">
        <v>0</v>
      </c>
      <c r="U82" s="6">
        <v>0</v>
      </c>
      <c r="V82" s="6">
        <v>0</v>
      </c>
      <c r="W82" s="6">
        <v>0</v>
      </c>
      <c r="X82" s="6">
        <v>0</v>
      </c>
      <c r="Y82" s="6">
        <v>0</v>
      </c>
      <c r="Z82" s="6">
        <v>0</v>
      </c>
      <c r="AA82" s="6">
        <v>0</v>
      </c>
      <c r="AB82" s="6">
        <v>0</v>
      </c>
      <c r="AC82" s="6">
        <v>0</v>
      </c>
      <c r="AD82" s="6">
        <v>0</v>
      </c>
      <c r="AE82" s="6">
        <v>0</v>
      </c>
      <c r="AF82" s="6">
        <v>0</v>
      </c>
      <c r="AG82" s="6">
        <v>0</v>
      </c>
      <c r="AH82" s="6">
        <v>0</v>
      </c>
      <c r="AI82" s="6">
        <v>0</v>
      </c>
      <c r="AJ82" s="6">
        <v>0</v>
      </c>
      <c r="AK82" s="6">
        <v>0</v>
      </c>
      <c r="AL82" s="6">
        <v>0</v>
      </c>
      <c r="AM82" s="4"/>
    </row>
    <row r="83" spans="1:39" x14ac:dyDescent="0.2">
      <c r="A83" s="568" t="s">
        <v>1049</v>
      </c>
      <c r="B83" s="6"/>
      <c r="C83" s="6">
        <v>0</v>
      </c>
      <c r="D83" s="6">
        <v>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0</v>
      </c>
      <c r="Q83" s="6">
        <v>0</v>
      </c>
      <c r="R83" s="6">
        <v>0</v>
      </c>
      <c r="S83" s="6">
        <v>0</v>
      </c>
      <c r="T83" s="6">
        <v>0</v>
      </c>
      <c r="U83" s="6">
        <v>0</v>
      </c>
      <c r="V83" s="6">
        <v>0</v>
      </c>
      <c r="W83" s="6">
        <v>0</v>
      </c>
      <c r="X83" s="6">
        <v>0</v>
      </c>
      <c r="Y83" s="6">
        <v>0</v>
      </c>
      <c r="Z83" s="6">
        <v>0</v>
      </c>
      <c r="AA83" s="6">
        <v>0</v>
      </c>
      <c r="AB83" s="6">
        <v>0</v>
      </c>
      <c r="AC83" s="6">
        <v>0</v>
      </c>
      <c r="AD83" s="6">
        <v>0</v>
      </c>
      <c r="AE83" s="6">
        <v>0</v>
      </c>
      <c r="AF83" s="6">
        <v>0</v>
      </c>
      <c r="AG83" s="6">
        <v>0</v>
      </c>
      <c r="AH83" s="6">
        <v>0</v>
      </c>
      <c r="AI83" s="6">
        <v>0</v>
      </c>
      <c r="AJ83" s="6">
        <v>0</v>
      </c>
      <c r="AK83" s="6">
        <v>0</v>
      </c>
      <c r="AL83" s="6">
        <v>0</v>
      </c>
      <c r="AM83" s="4"/>
    </row>
    <row r="84" spans="1:39" x14ac:dyDescent="0.2">
      <c r="A84" s="568" t="s">
        <v>1050</v>
      </c>
      <c r="B84" s="6"/>
      <c r="C84" s="6">
        <v>0</v>
      </c>
      <c r="D84" s="6">
        <v>0</v>
      </c>
      <c r="E84" s="6">
        <v>0</v>
      </c>
      <c r="F84" s="6">
        <v>0</v>
      </c>
      <c r="G84" s="6">
        <v>0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S84" s="6">
        <v>0</v>
      </c>
      <c r="T84" s="6">
        <v>0</v>
      </c>
      <c r="U84" s="6">
        <v>0</v>
      </c>
      <c r="V84" s="6">
        <v>0</v>
      </c>
      <c r="W84" s="6">
        <v>0</v>
      </c>
      <c r="X84" s="6">
        <v>0</v>
      </c>
      <c r="Y84" s="6">
        <v>0</v>
      </c>
      <c r="Z84" s="6">
        <v>0</v>
      </c>
      <c r="AA84" s="6">
        <v>0</v>
      </c>
      <c r="AB84" s="6">
        <v>0</v>
      </c>
      <c r="AC84" s="6">
        <v>0</v>
      </c>
      <c r="AD84" s="6">
        <v>0</v>
      </c>
      <c r="AE84" s="6">
        <v>0</v>
      </c>
      <c r="AF84" s="6">
        <v>0</v>
      </c>
      <c r="AG84" s="6">
        <v>0</v>
      </c>
      <c r="AH84" s="6">
        <v>0</v>
      </c>
      <c r="AI84" s="6">
        <v>0</v>
      </c>
      <c r="AJ84" s="6">
        <v>0</v>
      </c>
      <c r="AK84" s="6">
        <v>0</v>
      </c>
      <c r="AL84" s="6">
        <v>0</v>
      </c>
      <c r="AM84" s="4"/>
    </row>
    <row r="85" spans="1:39" x14ac:dyDescent="0.2">
      <c r="A85" s="568" t="s">
        <v>1051</v>
      </c>
      <c r="B85" s="6"/>
      <c r="C85" s="6">
        <v>0</v>
      </c>
      <c r="D85" s="6">
        <v>0</v>
      </c>
      <c r="E85" s="6">
        <v>0</v>
      </c>
      <c r="F85" s="6">
        <v>0</v>
      </c>
      <c r="G85" s="6">
        <v>0</v>
      </c>
      <c r="H85" s="6">
        <v>0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 s="6">
        <v>0</v>
      </c>
      <c r="O85" s="6">
        <v>0</v>
      </c>
      <c r="P85" s="6">
        <v>0</v>
      </c>
      <c r="Q85" s="6">
        <v>0</v>
      </c>
      <c r="R85" s="6">
        <v>0</v>
      </c>
      <c r="S85" s="6">
        <v>0</v>
      </c>
      <c r="T85" s="6">
        <v>0</v>
      </c>
      <c r="U85" s="6">
        <v>0</v>
      </c>
      <c r="V85" s="6">
        <v>0</v>
      </c>
      <c r="W85" s="6">
        <v>0</v>
      </c>
      <c r="X85" s="6">
        <v>0</v>
      </c>
      <c r="Y85" s="6">
        <v>0</v>
      </c>
      <c r="Z85" s="6">
        <v>0</v>
      </c>
      <c r="AA85" s="6">
        <v>0</v>
      </c>
      <c r="AB85" s="6">
        <v>0</v>
      </c>
      <c r="AC85" s="6">
        <v>0</v>
      </c>
      <c r="AD85" s="6">
        <v>0</v>
      </c>
      <c r="AE85" s="6">
        <v>0</v>
      </c>
      <c r="AF85" s="6">
        <v>0</v>
      </c>
      <c r="AG85" s="6">
        <v>0</v>
      </c>
      <c r="AH85" s="6">
        <v>0</v>
      </c>
      <c r="AI85" s="6">
        <v>0</v>
      </c>
      <c r="AJ85" s="6">
        <v>0</v>
      </c>
      <c r="AK85" s="6">
        <v>0</v>
      </c>
      <c r="AL85" s="6">
        <v>0</v>
      </c>
      <c r="AM85" s="4"/>
    </row>
    <row r="86" spans="1:39" x14ac:dyDescent="0.2">
      <c r="A86" s="568" t="s">
        <v>1052</v>
      </c>
      <c r="B86" s="6"/>
      <c r="C86" s="6">
        <v>0</v>
      </c>
      <c r="D86" s="6">
        <v>0</v>
      </c>
      <c r="E86" s="6">
        <v>0</v>
      </c>
      <c r="F86" s="6">
        <v>0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0</v>
      </c>
      <c r="Q86" s="6">
        <v>0</v>
      </c>
      <c r="R86" s="6">
        <v>0</v>
      </c>
      <c r="S86" s="6">
        <v>0</v>
      </c>
      <c r="T86" s="6">
        <v>0</v>
      </c>
      <c r="U86" s="6">
        <v>0</v>
      </c>
      <c r="V86" s="6">
        <v>0</v>
      </c>
      <c r="W86" s="6">
        <v>0</v>
      </c>
      <c r="X86" s="6">
        <v>0</v>
      </c>
      <c r="Y86" s="6">
        <v>0</v>
      </c>
      <c r="Z86" s="6">
        <v>0</v>
      </c>
      <c r="AA86" s="6">
        <v>0</v>
      </c>
      <c r="AB86" s="6">
        <v>0</v>
      </c>
      <c r="AC86" s="6">
        <v>0</v>
      </c>
      <c r="AD86" s="6">
        <v>0</v>
      </c>
      <c r="AE86" s="6">
        <v>0</v>
      </c>
      <c r="AF86" s="6">
        <v>0</v>
      </c>
      <c r="AG86" s="6">
        <v>0</v>
      </c>
      <c r="AH86" s="6">
        <v>0</v>
      </c>
      <c r="AI86" s="6">
        <v>0</v>
      </c>
      <c r="AJ86" s="6">
        <v>0</v>
      </c>
      <c r="AK86" s="6">
        <v>0</v>
      </c>
      <c r="AL86" s="6">
        <v>0</v>
      </c>
    </row>
    <row r="87" spans="1:39" x14ac:dyDescent="0.2">
      <c r="A87" s="568" t="s">
        <v>1053</v>
      </c>
      <c r="B87" s="6"/>
      <c r="C87" s="6">
        <v>0</v>
      </c>
      <c r="D87" s="6">
        <v>0</v>
      </c>
      <c r="E87" s="6">
        <v>0</v>
      </c>
      <c r="F87" s="6">
        <v>0</v>
      </c>
      <c r="G87" s="6">
        <v>0</v>
      </c>
      <c r="H87" s="6">
        <v>0</v>
      </c>
      <c r="I87" s="6">
        <v>0</v>
      </c>
      <c r="J87" s="6">
        <v>0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0</v>
      </c>
      <c r="Q87" s="6">
        <v>0</v>
      </c>
      <c r="R87" s="6">
        <v>0</v>
      </c>
      <c r="S87" s="6">
        <v>0</v>
      </c>
      <c r="T87" s="6">
        <v>0</v>
      </c>
      <c r="U87" s="6">
        <v>0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  <c r="AD87" s="6">
        <v>0</v>
      </c>
      <c r="AE87" s="6">
        <v>0</v>
      </c>
      <c r="AF87" s="6">
        <v>0</v>
      </c>
      <c r="AG87" s="6">
        <v>0</v>
      </c>
      <c r="AH87" s="6">
        <v>0</v>
      </c>
      <c r="AI87" s="6">
        <v>0</v>
      </c>
      <c r="AJ87" s="6">
        <v>0</v>
      </c>
      <c r="AK87" s="6">
        <v>0</v>
      </c>
      <c r="AL87" s="6">
        <v>0</v>
      </c>
    </row>
    <row r="88" spans="1:39" x14ac:dyDescent="0.2">
      <c r="A88" s="568" t="s">
        <v>1054</v>
      </c>
      <c r="B88" s="6"/>
      <c r="C88" s="6">
        <v>0</v>
      </c>
      <c r="D88" s="6">
        <v>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0</v>
      </c>
      <c r="R88" s="6">
        <v>0</v>
      </c>
      <c r="S88" s="6">
        <v>0</v>
      </c>
      <c r="T88" s="6">
        <v>0</v>
      </c>
      <c r="U88" s="6">
        <v>0</v>
      </c>
      <c r="V88" s="6">
        <v>0</v>
      </c>
      <c r="W88" s="6">
        <v>0</v>
      </c>
      <c r="X88" s="6">
        <v>0</v>
      </c>
      <c r="Y88" s="6">
        <v>0</v>
      </c>
      <c r="Z88" s="6">
        <v>0</v>
      </c>
      <c r="AA88" s="6">
        <v>0</v>
      </c>
      <c r="AB88" s="6">
        <v>0</v>
      </c>
      <c r="AC88" s="6">
        <v>0</v>
      </c>
      <c r="AD88" s="6">
        <v>0</v>
      </c>
      <c r="AE88" s="6">
        <v>0</v>
      </c>
      <c r="AF88" s="6">
        <v>0</v>
      </c>
      <c r="AG88" s="6">
        <v>0</v>
      </c>
      <c r="AH88" s="6">
        <v>0</v>
      </c>
      <c r="AI88" s="6">
        <v>0</v>
      </c>
      <c r="AJ88" s="6">
        <v>0</v>
      </c>
      <c r="AK88" s="6">
        <v>0</v>
      </c>
      <c r="AL88" s="6">
        <v>0</v>
      </c>
    </row>
    <row r="90" spans="1:39" x14ac:dyDescent="0.2">
      <c r="A90" s="7" t="s">
        <v>86</v>
      </c>
      <c r="B90" s="7"/>
      <c r="C90" s="41">
        <f t="shared" ref="C90:AK90" si="45">SUM(C53:C88)</f>
        <v>0</v>
      </c>
      <c r="D90" s="41">
        <f t="shared" si="45"/>
        <v>0</v>
      </c>
      <c r="E90" s="41">
        <f t="shared" si="45"/>
        <v>0</v>
      </c>
      <c r="F90" s="41">
        <f t="shared" si="45"/>
        <v>0</v>
      </c>
      <c r="G90" s="41">
        <f t="shared" si="45"/>
        <v>0</v>
      </c>
      <c r="H90" s="41">
        <f t="shared" si="45"/>
        <v>0</v>
      </c>
      <c r="I90" s="41">
        <f t="shared" si="45"/>
        <v>0</v>
      </c>
      <c r="J90" s="41">
        <f t="shared" si="45"/>
        <v>0</v>
      </c>
      <c r="K90" s="41">
        <f t="shared" si="45"/>
        <v>0</v>
      </c>
      <c r="L90" s="41">
        <f t="shared" si="45"/>
        <v>0</v>
      </c>
      <c r="M90" s="41">
        <f t="shared" si="45"/>
        <v>0</v>
      </c>
      <c r="N90" s="41">
        <f t="shared" si="45"/>
        <v>0</v>
      </c>
      <c r="O90" s="41">
        <f t="shared" si="45"/>
        <v>0</v>
      </c>
      <c r="P90" s="41">
        <f t="shared" si="45"/>
        <v>0</v>
      </c>
      <c r="Q90" s="41">
        <f t="shared" si="45"/>
        <v>0</v>
      </c>
      <c r="R90" s="41">
        <f t="shared" si="45"/>
        <v>0</v>
      </c>
      <c r="S90" s="41">
        <f t="shared" si="45"/>
        <v>0</v>
      </c>
      <c r="T90" s="41">
        <f t="shared" si="45"/>
        <v>0</v>
      </c>
      <c r="U90" s="41">
        <f t="shared" si="45"/>
        <v>0</v>
      </c>
      <c r="V90" s="41">
        <f t="shared" si="45"/>
        <v>0</v>
      </c>
      <c r="W90" s="41">
        <f t="shared" si="45"/>
        <v>0</v>
      </c>
      <c r="X90" s="41">
        <f t="shared" si="45"/>
        <v>0</v>
      </c>
      <c r="Y90" s="41">
        <f t="shared" si="45"/>
        <v>0</v>
      </c>
      <c r="Z90" s="41">
        <f t="shared" si="45"/>
        <v>0</v>
      </c>
      <c r="AA90" s="41">
        <f t="shared" si="45"/>
        <v>0</v>
      </c>
      <c r="AB90" s="41">
        <f t="shared" si="45"/>
        <v>0</v>
      </c>
      <c r="AC90" s="41">
        <f t="shared" si="45"/>
        <v>0</v>
      </c>
      <c r="AD90" s="41">
        <f t="shared" si="45"/>
        <v>0</v>
      </c>
      <c r="AE90" s="41">
        <f t="shared" si="45"/>
        <v>0</v>
      </c>
      <c r="AF90" s="41">
        <f t="shared" si="45"/>
        <v>0</v>
      </c>
      <c r="AG90" s="41">
        <f t="shared" si="45"/>
        <v>0</v>
      </c>
      <c r="AH90" s="41">
        <f t="shared" si="45"/>
        <v>0</v>
      </c>
      <c r="AI90" s="41">
        <f t="shared" si="45"/>
        <v>0</v>
      </c>
      <c r="AJ90" s="41">
        <f t="shared" si="45"/>
        <v>0</v>
      </c>
      <c r="AK90" s="41">
        <f t="shared" si="45"/>
        <v>0</v>
      </c>
      <c r="AL90" s="41">
        <f>SUM(AL53:AL88)</f>
        <v>0</v>
      </c>
    </row>
    <row r="91" spans="1:39" x14ac:dyDescent="0.2">
      <c r="C91" s="72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</row>
    <row r="92" spans="1:39" ht="12.75" x14ac:dyDescent="0.2">
      <c r="C92" s="34" t="str">
        <f>+Name</f>
        <v>Allied Pacific (APC Commerical)</v>
      </c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34" t="str">
        <f>+Name</f>
        <v>Allied Pacific (APC Commerical)</v>
      </c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34" t="str">
        <f>+Name</f>
        <v>Allied Pacific (APC Commerical)</v>
      </c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</row>
    <row r="93" spans="1:39" x14ac:dyDescent="0.2">
      <c r="C93" s="562" t="s">
        <v>930</v>
      </c>
      <c r="D93" s="563"/>
      <c r="E93" s="563"/>
      <c r="F93" s="563"/>
      <c r="G93" s="563"/>
      <c r="H93" s="5"/>
      <c r="I93" s="5"/>
      <c r="J93" s="5"/>
      <c r="K93" s="5"/>
      <c r="L93" s="5"/>
      <c r="M93" s="5"/>
      <c r="N93" s="5"/>
      <c r="O93" s="562" t="s">
        <v>930</v>
      </c>
      <c r="P93" s="563"/>
      <c r="Q93" s="563"/>
      <c r="R93" s="563"/>
      <c r="S93" s="563"/>
      <c r="T93" s="5"/>
      <c r="U93" s="5"/>
      <c r="V93" s="5"/>
      <c r="W93" s="5"/>
      <c r="X93" s="5"/>
      <c r="Y93" s="5"/>
      <c r="Z93" s="5"/>
      <c r="AA93" s="562" t="s">
        <v>930</v>
      </c>
      <c r="AB93" s="563"/>
      <c r="AC93" s="563"/>
      <c r="AD93" s="563"/>
      <c r="AE93" s="563"/>
      <c r="AF93" s="5"/>
      <c r="AG93" s="5"/>
      <c r="AH93" s="5"/>
      <c r="AI93" s="5"/>
      <c r="AJ93" s="5"/>
      <c r="AK93" s="5"/>
      <c r="AL93" s="5"/>
    </row>
    <row r="94" spans="1:39" x14ac:dyDescent="0.2">
      <c r="A94" t="s">
        <v>15</v>
      </c>
      <c r="C94" t="s">
        <v>44</v>
      </c>
      <c r="D94" s="178"/>
      <c r="E94" s="178"/>
      <c r="F94" s="178"/>
      <c r="G94" s="178"/>
      <c r="H94" s="178"/>
      <c r="I94" s="178"/>
      <c r="J94" s="178"/>
      <c r="K94" s="178"/>
      <c r="L94" s="178"/>
      <c r="M94" s="178"/>
      <c r="N94" s="178"/>
    </row>
    <row r="95" spans="1:39" x14ac:dyDescent="0.2">
      <c r="A95" t="s">
        <v>16</v>
      </c>
      <c r="D95" s="178"/>
      <c r="E95" s="178"/>
      <c r="F95" s="178"/>
      <c r="G95" s="178"/>
      <c r="H95" s="178"/>
      <c r="I95" s="178"/>
      <c r="J95" s="178"/>
      <c r="K95" s="178"/>
      <c r="L95" s="178"/>
      <c r="M95" s="178"/>
      <c r="N95" s="178"/>
    </row>
    <row r="96" spans="1:39" x14ac:dyDescent="0.2">
      <c r="A96" t="s">
        <v>47</v>
      </c>
      <c r="C96" s="72">
        <f>+C$6</f>
        <v>44287</v>
      </c>
      <c r="D96" s="72">
        <f t="shared" ref="D96:AL96" si="46">+D$6</f>
        <v>44317</v>
      </c>
      <c r="E96" s="72">
        <f t="shared" si="46"/>
        <v>44348</v>
      </c>
      <c r="F96" s="72">
        <f t="shared" si="46"/>
        <v>44378</v>
      </c>
      <c r="G96" s="72">
        <f t="shared" si="46"/>
        <v>44409</v>
      </c>
      <c r="H96" s="72">
        <f t="shared" si="46"/>
        <v>44440</v>
      </c>
      <c r="I96" s="72">
        <f t="shared" si="46"/>
        <v>44470</v>
      </c>
      <c r="J96" s="72">
        <f t="shared" si="46"/>
        <v>44501</v>
      </c>
      <c r="K96" s="72">
        <f t="shared" si="46"/>
        <v>44531</v>
      </c>
      <c r="L96" s="72">
        <f t="shared" si="46"/>
        <v>44562</v>
      </c>
      <c r="M96" s="72">
        <f t="shared" si="46"/>
        <v>44593</v>
      </c>
      <c r="N96" s="72">
        <f t="shared" si="46"/>
        <v>44621</v>
      </c>
      <c r="O96" s="72">
        <f t="shared" si="46"/>
        <v>44652</v>
      </c>
      <c r="P96" s="72">
        <f t="shared" si="46"/>
        <v>44682</v>
      </c>
      <c r="Q96" s="72">
        <f t="shared" si="46"/>
        <v>44713</v>
      </c>
      <c r="R96" s="72">
        <f t="shared" si="46"/>
        <v>44743</v>
      </c>
      <c r="S96" s="72">
        <f t="shared" si="46"/>
        <v>44774</v>
      </c>
      <c r="T96" s="72">
        <f t="shared" si="46"/>
        <v>44805</v>
      </c>
      <c r="U96" s="72">
        <f t="shared" si="46"/>
        <v>44835</v>
      </c>
      <c r="V96" s="72">
        <f t="shared" si="46"/>
        <v>44866</v>
      </c>
      <c r="W96" s="72">
        <f t="shared" si="46"/>
        <v>44896</v>
      </c>
      <c r="X96" s="72">
        <f t="shared" si="46"/>
        <v>44927</v>
      </c>
      <c r="Y96" s="72">
        <f t="shared" si="46"/>
        <v>44958</v>
      </c>
      <c r="Z96" s="72">
        <f t="shared" si="46"/>
        <v>44986</v>
      </c>
      <c r="AA96" s="72">
        <f t="shared" si="46"/>
        <v>45017</v>
      </c>
      <c r="AB96" s="72">
        <f t="shared" si="46"/>
        <v>45047</v>
      </c>
      <c r="AC96" s="72">
        <f t="shared" si="46"/>
        <v>45078</v>
      </c>
      <c r="AD96" s="72">
        <f t="shared" si="46"/>
        <v>45108</v>
      </c>
      <c r="AE96" s="72">
        <f t="shared" si="46"/>
        <v>45139</v>
      </c>
      <c r="AF96" s="72">
        <f t="shared" si="46"/>
        <v>45170</v>
      </c>
      <c r="AG96" s="72">
        <f t="shared" si="46"/>
        <v>45200</v>
      </c>
      <c r="AH96" s="72">
        <f t="shared" si="46"/>
        <v>45231</v>
      </c>
      <c r="AI96" s="72">
        <f t="shared" si="46"/>
        <v>45261</v>
      </c>
      <c r="AJ96" s="72">
        <f t="shared" si="46"/>
        <v>45292</v>
      </c>
      <c r="AK96" s="72">
        <f t="shared" si="46"/>
        <v>45323</v>
      </c>
      <c r="AL96" s="72">
        <f t="shared" si="46"/>
        <v>45352</v>
      </c>
    </row>
    <row r="97" spans="1:38" x14ac:dyDescent="0.2">
      <c r="C97" s="72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</row>
    <row r="98" spans="1:38" x14ac:dyDescent="0.2">
      <c r="A98" s="252" t="s">
        <v>978</v>
      </c>
      <c r="B98" s="6"/>
      <c r="C98" s="176">
        <f t="shared" ref="C98:AL98" si="47">+C8+C53</f>
        <v>1171089.2300000009</v>
      </c>
      <c r="D98" s="176">
        <f t="shared" si="47"/>
        <v>579155.90000000119</v>
      </c>
      <c r="E98" s="176">
        <f t="shared" si="47"/>
        <v>262917.34000000008</v>
      </c>
      <c r="F98" s="176">
        <f t="shared" si="47"/>
        <v>346167.9600000013</v>
      </c>
      <c r="G98" s="176">
        <f t="shared" si="47"/>
        <v>871625.33000000322</v>
      </c>
      <c r="H98" s="176">
        <f t="shared" si="47"/>
        <v>1263876.7799999972</v>
      </c>
      <c r="I98" s="176">
        <f t="shared" si="47"/>
        <v>989820.99000000278</v>
      </c>
      <c r="J98" s="176">
        <f t="shared" si="47"/>
        <v>768949.55999999982</v>
      </c>
      <c r="K98" s="176">
        <f t="shared" si="47"/>
        <v>777101.02000000118</v>
      </c>
      <c r="L98" s="176">
        <f t="shared" si="47"/>
        <v>179174.81000000003</v>
      </c>
      <c r="M98" s="176">
        <f t="shared" si="47"/>
        <v>836644.69000000192</v>
      </c>
      <c r="N98" s="176">
        <f t="shared" si="47"/>
        <v>691008.7700000006</v>
      </c>
      <c r="O98" s="176">
        <f t="shared" si="47"/>
        <v>983285.2000000031</v>
      </c>
      <c r="P98" s="176">
        <f t="shared" si="47"/>
        <v>1091266.08</v>
      </c>
      <c r="Q98" s="176">
        <f t="shared" si="47"/>
        <v>1218450.8600000052</v>
      </c>
      <c r="R98" s="176">
        <f t="shared" si="47"/>
        <v>1263028.2200000035</v>
      </c>
      <c r="S98" s="176">
        <f t="shared" si="47"/>
        <v>2107589.4600000144</v>
      </c>
      <c r="T98" s="176">
        <f t="shared" si="47"/>
        <v>1641885.5100000086</v>
      </c>
      <c r="U98" s="176">
        <f t="shared" si="47"/>
        <v>1629313.2200000084</v>
      </c>
      <c r="V98" s="176">
        <f t="shared" si="47"/>
        <v>1127429.7800000033</v>
      </c>
      <c r="W98" s="176">
        <f t="shared" si="47"/>
        <v>1630311.6000000117</v>
      </c>
      <c r="X98" s="176">
        <f t="shared" si="47"/>
        <v>1528822.9999999986</v>
      </c>
      <c r="Y98" s="176">
        <f t="shared" si="47"/>
        <v>1384275.8500000015</v>
      </c>
      <c r="Z98" s="176">
        <f t="shared" si="47"/>
        <v>2114412.0599999824</v>
      </c>
      <c r="AA98" s="176">
        <f t="shared" si="47"/>
        <v>1112952.5799999982</v>
      </c>
      <c r="AB98" s="176">
        <f t="shared" si="47"/>
        <v>1248075.4199999948</v>
      </c>
      <c r="AC98" s="176">
        <f t="shared" si="47"/>
        <v>1362036.8299999912</v>
      </c>
      <c r="AD98" s="176">
        <f t="shared" si="47"/>
        <v>1112870.9599999983</v>
      </c>
      <c r="AE98" s="176">
        <f t="shared" si="47"/>
        <v>1121294.2699999958</v>
      </c>
      <c r="AF98" s="176">
        <f t="shared" si="47"/>
        <v>923783.92999999993</v>
      </c>
      <c r="AG98" s="176">
        <f t="shared" si="47"/>
        <v>1616692.4899999921</v>
      </c>
      <c r="AH98" s="176">
        <f t="shared" si="47"/>
        <v>1255793.5599999924</v>
      </c>
      <c r="AI98" s="176">
        <f t="shared" si="47"/>
        <v>1296415.8899999966</v>
      </c>
      <c r="AJ98" s="176">
        <f t="shared" si="47"/>
        <v>1436799.309999998</v>
      </c>
      <c r="AK98" s="176">
        <f t="shared" si="47"/>
        <v>1061866.1300000008</v>
      </c>
      <c r="AL98" s="176">
        <f t="shared" si="47"/>
        <v>1157133.2399999991</v>
      </c>
    </row>
    <row r="99" spans="1:38" x14ac:dyDescent="0.2">
      <c r="A99" s="252" t="s">
        <v>979</v>
      </c>
      <c r="B99" s="6"/>
      <c r="C99" s="176">
        <f t="shared" ref="C99:AL99" si="48">+C9+C54</f>
        <v>1202191.53</v>
      </c>
      <c r="D99" s="176">
        <f t="shared" si="48"/>
        <v>1206896.089999998</v>
      </c>
      <c r="E99" s="176">
        <f t="shared" si="48"/>
        <v>1957950.7799999951</v>
      </c>
      <c r="F99" s="176">
        <f t="shared" si="48"/>
        <v>1945612.5099999986</v>
      </c>
      <c r="G99" s="176">
        <f t="shared" si="48"/>
        <v>2350193.1899999939</v>
      </c>
      <c r="H99" s="176">
        <f t="shared" si="48"/>
        <v>1739093.7499999946</v>
      </c>
      <c r="I99" s="176">
        <f t="shared" si="48"/>
        <v>2104616.1099999938</v>
      </c>
      <c r="J99" s="176">
        <f t="shared" si="48"/>
        <v>2358057.1799999964</v>
      </c>
      <c r="K99" s="176">
        <f t="shared" si="48"/>
        <v>1378225.9199999964</v>
      </c>
      <c r="L99" s="176">
        <f t="shared" si="48"/>
        <v>2339315.0100000091</v>
      </c>
      <c r="M99" s="176">
        <f t="shared" si="48"/>
        <v>1613576.1800000034</v>
      </c>
      <c r="N99" s="176">
        <f t="shared" si="48"/>
        <v>2325346.4100000076</v>
      </c>
      <c r="O99" s="176">
        <f t="shared" si="48"/>
        <v>2002427.7600000114</v>
      </c>
      <c r="P99" s="176">
        <f t="shared" si="48"/>
        <v>2230950.4700000091</v>
      </c>
      <c r="Q99" s="176">
        <f t="shared" si="48"/>
        <v>2079447.2600000119</v>
      </c>
      <c r="R99" s="176">
        <f t="shared" si="48"/>
        <v>2680376.3300000126</v>
      </c>
      <c r="S99" s="176">
        <f t="shared" si="48"/>
        <v>2430110.5200000126</v>
      </c>
      <c r="T99" s="176">
        <f t="shared" si="48"/>
        <v>2224893.4500000146</v>
      </c>
      <c r="U99" s="176">
        <f t="shared" si="48"/>
        <v>2230264.6400000113</v>
      </c>
      <c r="V99" s="176">
        <f t="shared" si="48"/>
        <v>2686732.5700000152</v>
      </c>
      <c r="W99" s="176">
        <f t="shared" si="48"/>
        <v>2367008.2000000128</v>
      </c>
      <c r="X99" s="176">
        <f t="shared" si="48"/>
        <v>1928253.0199999905</v>
      </c>
      <c r="Y99" s="176">
        <f t="shared" si="48"/>
        <v>2536515.5199999879</v>
      </c>
      <c r="Z99" s="176">
        <f t="shared" si="48"/>
        <v>2268569.549999991</v>
      </c>
      <c r="AA99" s="176">
        <f t="shared" si="48"/>
        <v>2630647.7499999916</v>
      </c>
      <c r="AB99" s="176">
        <f t="shared" si="48"/>
        <v>2753017.0500000035</v>
      </c>
      <c r="AC99" s="176">
        <f t="shared" si="48"/>
        <v>2550785.7799999965</v>
      </c>
      <c r="AD99" s="176">
        <f t="shared" si="48"/>
        <v>2657998.1399999913</v>
      </c>
      <c r="AE99" s="176">
        <f t="shared" si="48"/>
        <v>3168121.8499999875</v>
      </c>
      <c r="AF99" s="176">
        <f t="shared" si="48"/>
        <v>3161461.5299999933</v>
      </c>
      <c r="AG99" s="176">
        <f t="shared" si="48"/>
        <v>3155553.090000011</v>
      </c>
      <c r="AH99" s="176">
        <f t="shared" si="48"/>
        <v>3078569.469999989</v>
      </c>
      <c r="AI99" s="176">
        <f t="shared" si="48"/>
        <v>2944621.2800000003</v>
      </c>
      <c r="AJ99" s="176">
        <f t="shared" si="48"/>
        <v>2855417.7599999928</v>
      </c>
      <c r="AK99" s="176">
        <f t="shared" si="48"/>
        <v>2855332.7500000061</v>
      </c>
      <c r="AL99" s="176">
        <f t="shared" si="48"/>
        <v>0</v>
      </c>
    </row>
    <row r="100" spans="1:38" x14ac:dyDescent="0.2">
      <c r="A100" s="568" t="s">
        <v>980</v>
      </c>
      <c r="B100" s="6"/>
      <c r="C100" s="176">
        <f t="shared" ref="C100:AL100" si="49">+C10+C55</f>
        <v>384948.11000000045</v>
      </c>
      <c r="D100" s="176">
        <f t="shared" si="49"/>
        <v>627407.68000000156</v>
      </c>
      <c r="E100" s="176">
        <f t="shared" si="49"/>
        <v>596715.72999999986</v>
      </c>
      <c r="F100" s="176">
        <f t="shared" si="49"/>
        <v>1001231.430000001</v>
      </c>
      <c r="G100" s="176">
        <f t="shared" si="49"/>
        <v>615885.9500000024</v>
      </c>
      <c r="H100" s="176">
        <f t="shared" si="49"/>
        <v>844754.19999999914</v>
      </c>
      <c r="I100" s="176">
        <f t="shared" si="49"/>
        <v>816425.58000000066</v>
      </c>
      <c r="J100" s="176">
        <f t="shared" si="49"/>
        <v>561903.93000000063</v>
      </c>
      <c r="K100" s="176">
        <f t="shared" si="49"/>
        <v>1496170.3100000024</v>
      </c>
      <c r="L100" s="176">
        <f t="shared" si="49"/>
        <v>533081.02999999851</v>
      </c>
      <c r="M100" s="176">
        <f t="shared" si="49"/>
        <v>531430.7999999983</v>
      </c>
      <c r="N100" s="176">
        <f t="shared" si="49"/>
        <v>641449.8699999993</v>
      </c>
      <c r="O100" s="176">
        <f t="shared" si="49"/>
        <v>745463.93</v>
      </c>
      <c r="P100" s="176">
        <f t="shared" si="49"/>
        <v>582132.38</v>
      </c>
      <c r="Q100" s="176">
        <f t="shared" si="49"/>
        <v>1374305.200000002</v>
      </c>
      <c r="R100" s="176">
        <f t="shared" si="49"/>
        <v>556771.74000000011</v>
      </c>
      <c r="S100" s="176">
        <f t="shared" si="49"/>
        <v>747658.6600000012</v>
      </c>
      <c r="T100" s="176">
        <f t="shared" si="49"/>
        <v>811926.48000000091</v>
      </c>
      <c r="U100" s="176">
        <f t="shared" si="49"/>
        <v>885540.47999999777</v>
      </c>
      <c r="V100" s="176">
        <f t="shared" si="49"/>
        <v>657114.17000000086</v>
      </c>
      <c r="W100" s="176">
        <f t="shared" si="49"/>
        <v>569557.47</v>
      </c>
      <c r="X100" s="176">
        <f t="shared" si="49"/>
        <v>610231.52999999945</v>
      </c>
      <c r="Y100" s="176">
        <f t="shared" si="49"/>
        <v>364210.90999999986</v>
      </c>
      <c r="Z100" s="176">
        <f t="shared" si="49"/>
        <v>808906.15999999794</v>
      </c>
      <c r="AA100" s="176">
        <f t="shared" si="49"/>
        <v>551885.75000000058</v>
      </c>
      <c r="AB100" s="176">
        <f t="shared" si="49"/>
        <v>745197.42999999842</v>
      </c>
      <c r="AC100" s="176">
        <f t="shared" si="49"/>
        <v>870705.03999999864</v>
      </c>
      <c r="AD100" s="176">
        <f t="shared" si="49"/>
        <v>829792.25999999954</v>
      </c>
      <c r="AE100" s="176">
        <f t="shared" si="49"/>
        <v>944303.00999999861</v>
      </c>
      <c r="AF100" s="176">
        <f t="shared" si="49"/>
        <v>770673.78999999992</v>
      </c>
      <c r="AG100" s="176">
        <f t="shared" si="49"/>
        <v>749094.5699999996</v>
      </c>
      <c r="AH100" s="176">
        <f t="shared" si="49"/>
        <v>869260.83999999915</v>
      </c>
      <c r="AI100" s="176">
        <f t="shared" si="49"/>
        <v>816355.15000000014</v>
      </c>
      <c r="AJ100" s="176">
        <f t="shared" si="49"/>
        <v>881944.20000000007</v>
      </c>
      <c r="AK100" s="176">
        <f t="shared" si="49"/>
        <v>0</v>
      </c>
      <c r="AL100" s="176">
        <f t="shared" si="49"/>
        <v>0</v>
      </c>
    </row>
    <row r="101" spans="1:38" x14ac:dyDescent="0.2">
      <c r="A101" s="568" t="s">
        <v>981</v>
      </c>
      <c r="B101" s="6"/>
      <c r="C101" s="176">
        <f t="shared" ref="C101:AL101" si="50">+C11+C56</f>
        <v>283636.45000000048</v>
      </c>
      <c r="D101" s="176">
        <f t="shared" si="50"/>
        <v>618091.03000000096</v>
      </c>
      <c r="E101" s="176">
        <f t="shared" si="50"/>
        <v>519326.37000000104</v>
      </c>
      <c r="F101" s="176">
        <f t="shared" si="50"/>
        <v>256809.41</v>
      </c>
      <c r="G101" s="176">
        <f t="shared" si="50"/>
        <v>392661.27000000031</v>
      </c>
      <c r="H101" s="176">
        <f t="shared" si="50"/>
        <v>387046.20000000024</v>
      </c>
      <c r="I101" s="176">
        <f t="shared" si="50"/>
        <v>310362.90000000043</v>
      </c>
      <c r="J101" s="176">
        <f t="shared" si="50"/>
        <v>483164.49000000051</v>
      </c>
      <c r="K101" s="176">
        <f t="shared" si="50"/>
        <v>625960.93000000063</v>
      </c>
      <c r="L101" s="176">
        <f t="shared" si="50"/>
        <v>221827.32999999975</v>
      </c>
      <c r="M101" s="176">
        <f t="shared" si="50"/>
        <v>235869.58</v>
      </c>
      <c r="N101" s="176">
        <f t="shared" si="50"/>
        <v>441419.09</v>
      </c>
      <c r="O101" s="176">
        <f t="shared" si="50"/>
        <v>372988.69999999995</v>
      </c>
      <c r="P101" s="176">
        <f t="shared" si="50"/>
        <v>853292.39999999956</v>
      </c>
      <c r="Q101" s="176">
        <f t="shared" si="50"/>
        <v>212229.80999999979</v>
      </c>
      <c r="R101" s="176">
        <f t="shared" si="50"/>
        <v>177541.98000000004</v>
      </c>
      <c r="S101" s="176">
        <f t="shared" si="50"/>
        <v>268101.52999999997</v>
      </c>
      <c r="T101" s="176">
        <f t="shared" si="50"/>
        <v>257047.02</v>
      </c>
      <c r="U101" s="176">
        <f t="shared" si="50"/>
        <v>244718.97999999978</v>
      </c>
      <c r="V101" s="176">
        <f t="shared" si="50"/>
        <v>224152.60000000006</v>
      </c>
      <c r="W101" s="176">
        <f t="shared" si="50"/>
        <v>213661.85</v>
      </c>
      <c r="X101" s="176">
        <f t="shared" si="50"/>
        <v>168979.31</v>
      </c>
      <c r="Y101" s="176">
        <f t="shared" si="50"/>
        <v>216013.18000000025</v>
      </c>
      <c r="Z101" s="176">
        <f t="shared" si="50"/>
        <v>207772.22999999995</v>
      </c>
      <c r="AA101" s="176">
        <f t="shared" si="50"/>
        <v>233207.63000000003</v>
      </c>
      <c r="AB101" s="176">
        <f t="shared" si="50"/>
        <v>229482.60999999984</v>
      </c>
      <c r="AC101" s="176">
        <f t="shared" si="50"/>
        <v>327744.90999999992</v>
      </c>
      <c r="AD101" s="176">
        <f t="shared" si="50"/>
        <v>286987.93</v>
      </c>
      <c r="AE101" s="176">
        <f t="shared" si="50"/>
        <v>366792.27000000019</v>
      </c>
      <c r="AF101" s="176">
        <f t="shared" si="50"/>
        <v>259602.97000000018</v>
      </c>
      <c r="AG101" s="176">
        <f t="shared" si="50"/>
        <v>363366.3899999999</v>
      </c>
      <c r="AH101" s="176">
        <f t="shared" si="50"/>
        <v>387479.13999999984</v>
      </c>
      <c r="AI101" s="176">
        <f t="shared" si="50"/>
        <v>237196.05</v>
      </c>
      <c r="AJ101" s="176">
        <f t="shared" si="50"/>
        <v>0</v>
      </c>
      <c r="AK101" s="176">
        <f t="shared" si="50"/>
        <v>0</v>
      </c>
      <c r="AL101" s="176">
        <f t="shared" si="50"/>
        <v>0</v>
      </c>
    </row>
    <row r="102" spans="1:38" x14ac:dyDescent="0.2">
      <c r="A102" s="568" t="s">
        <v>982</v>
      </c>
      <c r="B102" s="6"/>
      <c r="C102" s="176">
        <f t="shared" ref="C102:AL102" si="51">+C12+C57</f>
        <v>249566.07</v>
      </c>
      <c r="D102" s="176">
        <f t="shared" si="51"/>
        <v>225719.12</v>
      </c>
      <c r="E102" s="176">
        <f t="shared" si="51"/>
        <v>159638.32</v>
      </c>
      <c r="F102" s="176">
        <f t="shared" si="51"/>
        <v>233792.84000000005</v>
      </c>
      <c r="G102" s="176">
        <f t="shared" si="51"/>
        <v>313574.20000000013</v>
      </c>
      <c r="H102" s="176">
        <f t="shared" si="51"/>
        <v>155402.57000000004</v>
      </c>
      <c r="I102" s="176">
        <f t="shared" si="51"/>
        <v>197300.17999999988</v>
      </c>
      <c r="J102" s="176">
        <f t="shared" si="51"/>
        <v>283335.41999999993</v>
      </c>
      <c r="K102" s="176">
        <f t="shared" si="51"/>
        <v>231420.29999999996</v>
      </c>
      <c r="L102" s="176">
        <f t="shared" si="51"/>
        <v>202080.34999999998</v>
      </c>
      <c r="M102" s="176">
        <f t="shared" si="51"/>
        <v>222361.77</v>
      </c>
      <c r="N102" s="176">
        <f t="shared" si="51"/>
        <v>389927.51</v>
      </c>
      <c r="O102" s="176">
        <f t="shared" si="51"/>
        <v>525706.62000000081</v>
      </c>
      <c r="P102" s="176">
        <f t="shared" si="51"/>
        <v>147109.42000000004</v>
      </c>
      <c r="Q102" s="176">
        <f t="shared" si="51"/>
        <v>65574.23000000001</v>
      </c>
      <c r="R102" s="176">
        <f t="shared" si="51"/>
        <v>100650.81000000004</v>
      </c>
      <c r="S102" s="176">
        <f t="shared" si="51"/>
        <v>59735.829999999973</v>
      </c>
      <c r="T102" s="176">
        <f t="shared" si="51"/>
        <v>55511.8</v>
      </c>
      <c r="U102" s="176">
        <f t="shared" si="51"/>
        <v>93089.02999999997</v>
      </c>
      <c r="V102" s="176">
        <f t="shared" si="51"/>
        <v>71604.140000000058</v>
      </c>
      <c r="W102" s="176">
        <f t="shared" si="51"/>
        <v>54808.880000000005</v>
      </c>
      <c r="X102" s="176">
        <f t="shared" si="51"/>
        <v>94009.179999999906</v>
      </c>
      <c r="Y102" s="176">
        <f t="shared" si="51"/>
        <v>54008.669999999976</v>
      </c>
      <c r="Z102" s="176">
        <f t="shared" si="51"/>
        <v>97006.240000000049</v>
      </c>
      <c r="AA102" s="176">
        <f t="shared" si="51"/>
        <v>72375.95</v>
      </c>
      <c r="AB102" s="176">
        <f t="shared" si="51"/>
        <v>117515.27000000003</v>
      </c>
      <c r="AC102" s="176">
        <f t="shared" si="51"/>
        <v>144581.30999999997</v>
      </c>
      <c r="AD102" s="176">
        <f t="shared" si="51"/>
        <v>82527.359999999986</v>
      </c>
      <c r="AE102" s="176">
        <f t="shared" si="51"/>
        <v>94653.21</v>
      </c>
      <c r="AF102" s="176">
        <f t="shared" si="51"/>
        <v>80601.77999999997</v>
      </c>
      <c r="AG102" s="176">
        <f t="shared" si="51"/>
        <v>175276.6399999999</v>
      </c>
      <c r="AH102" s="176">
        <f t="shared" si="51"/>
        <v>100495.20000000001</v>
      </c>
      <c r="AI102" s="176">
        <f t="shared" si="51"/>
        <v>0</v>
      </c>
      <c r="AJ102" s="176">
        <f t="shared" si="51"/>
        <v>0</v>
      </c>
      <c r="AK102" s="176">
        <f t="shared" si="51"/>
        <v>0</v>
      </c>
      <c r="AL102" s="176">
        <f t="shared" si="51"/>
        <v>0</v>
      </c>
    </row>
    <row r="103" spans="1:38" x14ac:dyDescent="0.2">
      <c r="A103" s="568" t="s">
        <v>983</v>
      </c>
      <c r="B103" s="6"/>
      <c r="C103" s="176">
        <f t="shared" ref="C103:AL103" si="52">+C13+C58</f>
        <v>117950.63000000002</v>
      </c>
      <c r="D103" s="176">
        <f t="shared" si="52"/>
        <v>175195.61000000002</v>
      </c>
      <c r="E103" s="176">
        <f t="shared" si="52"/>
        <v>214118.26000000004</v>
      </c>
      <c r="F103" s="176">
        <f t="shared" si="52"/>
        <v>253619.9200000001</v>
      </c>
      <c r="G103" s="176">
        <f t="shared" si="52"/>
        <v>94808.43</v>
      </c>
      <c r="H103" s="176">
        <f t="shared" si="52"/>
        <v>104640.74999999997</v>
      </c>
      <c r="I103" s="176">
        <f t="shared" si="52"/>
        <v>148557.34000000003</v>
      </c>
      <c r="J103" s="176">
        <f t="shared" si="52"/>
        <v>97611.849999999991</v>
      </c>
      <c r="K103" s="176">
        <f t="shared" si="52"/>
        <v>156945.78000000003</v>
      </c>
      <c r="L103" s="176">
        <f t="shared" si="52"/>
        <v>161177.35000000006</v>
      </c>
      <c r="M103" s="176">
        <f t="shared" si="52"/>
        <v>270225.46999999986</v>
      </c>
      <c r="N103" s="176">
        <f t="shared" si="52"/>
        <v>397715.65000000061</v>
      </c>
      <c r="O103" s="176">
        <f t="shared" si="52"/>
        <v>112856.45</v>
      </c>
      <c r="P103" s="176">
        <f t="shared" si="52"/>
        <v>29926.66</v>
      </c>
      <c r="Q103" s="176">
        <f t="shared" si="52"/>
        <v>46928.47</v>
      </c>
      <c r="R103" s="176">
        <f t="shared" si="52"/>
        <v>37886.569999999992</v>
      </c>
      <c r="S103" s="176">
        <f t="shared" si="52"/>
        <v>34843.109999999993</v>
      </c>
      <c r="T103" s="176">
        <f t="shared" si="52"/>
        <v>76160.38</v>
      </c>
      <c r="U103" s="176">
        <f t="shared" si="52"/>
        <v>37718.999999999993</v>
      </c>
      <c r="V103" s="176">
        <f t="shared" si="52"/>
        <v>26315.17</v>
      </c>
      <c r="W103" s="176">
        <f t="shared" si="52"/>
        <v>50840.420000000006</v>
      </c>
      <c r="X103" s="176">
        <f t="shared" si="52"/>
        <v>26891.380000000008</v>
      </c>
      <c r="Y103" s="176">
        <f t="shared" si="52"/>
        <v>61651.669999999991</v>
      </c>
      <c r="Z103" s="176">
        <f t="shared" si="52"/>
        <v>66017.98000000001</v>
      </c>
      <c r="AA103" s="176">
        <f t="shared" si="52"/>
        <v>52051.299999999988</v>
      </c>
      <c r="AB103" s="176">
        <f t="shared" si="52"/>
        <v>57715.440000000024</v>
      </c>
      <c r="AC103" s="176">
        <f t="shared" si="52"/>
        <v>66361.779999999984</v>
      </c>
      <c r="AD103" s="176">
        <f t="shared" si="52"/>
        <v>28129.430000000004</v>
      </c>
      <c r="AE103" s="176">
        <f t="shared" si="52"/>
        <v>43231.13</v>
      </c>
      <c r="AF103" s="176">
        <f t="shared" si="52"/>
        <v>54993.280000000021</v>
      </c>
      <c r="AG103" s="176">
        <f t="shared" si="52"/>
        <v>58795.200000000019</v>
      </c>
      <c r="AH103" s="176">
        <f t="shared" si="52"/>
        <v>0</v>
      </c>
      <c r="AI103" s="176">
        <f t="shared" si="52"/>
        <v>0</v>
      </c>
      <c r="AJ103" s="176">
        <f t="shared" si="52"/>
        <v>0</v>
      </c>
      <c r="AK103" s="176">
        <f t="shared" si="52"/>
        <v>0</v>
      </c>
      <c r="AL103" s="176">
        <f t="shared" si="52"/>
        <v>0</v>
      </c>
    </row>
    <row r="104" spans="1:38" x14ac:dyDescent="0.2">
      <c r="A104" s="568" t="s">
        <v>984</v>
      </c>
      <c r="B104" s="6"/>
      <c r="C104" s="176">
        <f t="shared" ref="C104:AL104" si="53">+C14+C59</f>
        <v>54223.759999999995</v>
      </c>
      <c r="D104" s="176">
        <f t="shared" si="53"/>
        <v>123558.89000000009</v>
      </c>
      <c r="E104" s="176">
        <f t="shared" si="53"/>
        <v>208898.15000000011</v>
      </c>
      <c r="F104" s="176">
        <f t="shared" si="53"/>
        <v>46933.21</v>
      </c>
      <c r="G104" s="176">
        <f t="shared" si="53"/>
        <v>51664.680000000008</v>
      </c>
      <c r="H104" s="176">
        <f t="shared" si="53"/>
        <v>117788.48</v>
      </c>
      <c r="I104" s="176">
        <f t="shared" si="53"/>
        <v>94778.499999999956</v>
      </c>
      <c r="J104" s="176">
        <f t="shared" si="53"/>
        <v>98077.780000000057</v>
      </c>
      <c r="K104" s="176">
        <f t="shared" si="53"/>
        <v>142738.95000000004</v>
      </c>
      <c r="L104" s="176">
        <f t="shared" si="53"/>
        <v>239041.68000000025</v>
      </c>
      <c r="M104" s="176">
        <f t="shared" si="53"/>
        <v>153647.15999999992</v>
      </c>
      <c r="N104" s="176">
        <f t="shared" si="53"/>
        <v>108033.9</v>
      </c>
      <c r="O104" s="176">
        <f t="shared" si="53"/>
        <v>20298.209999999995</v>
      </c>
      <c r="P104" s="176">
        <f t="shared" si="53"/>
        <v>19074.070000000003</v>
      </c>
      <c r="Q104" s="176">
        <f t="shared" si="53"/>
        <v>20266.999999999989</v>
      </c>
      <c r="R104" s="176">
        <f t="shared" si="53"/>
        <v>32849.020000000004</v>
      </c>
      <c r="S104" s="176">
        <f t="shared" si="53"/>
        <v>29688.259999999995</v>
      </c>
      <c r="T104" s="176">
        <f t="shared" si="53"/>
        <v>28897.820000000018</v>
      </c>
      <c r="U104" s="176">
        <f t="shared" si="53"/>
        <v>30750.950000000008</v>
      </c>
      <c r="V104" s="176">
        <f t="shared" si="53"/>
        <v>59013.299999999996</v>
      </c>
      <c r="W104" s="176">
        <f t="shared" si="53"/>
        <v>21873.51999999999</v>
      </c>
      <c r="X104" s="176">
        <f t="shared" si="53"/>
        <v>56267.350000000013</v>
      </c>
      <c r="Y104" s="176">
        <f t="shared" si="53"/>
        <v>40859.609999999971</v>
      </c>
      <c r="Z104" s="176">
        <f t="shared" si="53"/>
        <v>83414.150000000009</v>
      </c>
      <c r="AA104" s="176">
        <f t="shared" si="53"/>
        <v>38585.930000000015</v>
      </c>
      <c r="AB104" s="176">
        <f t="shared" si="53"/>
        <v>26476.789999999986</v>
      </c>
      <c r="AC104" s="176">
        <f t="shared" si="53"/>
        <v>49718.360000000022</v>
      </c>
      <c r="AD104" s="176">
        <f t="shared" si="53"/>
        <v>41756.590000000018</v>
      </c>
      <c r="AE104" s="176">
        <f t="shared" si="53"/>
        <v>44455.12000000001</v>
      </c>
      <c r="AF104" s="176">
        <f t="shared" si="53"/>
        <v>27907.89000000001</v>
      </c>
      <c r="AG104" s="176">
        <f t="shared" si="53"/>
        <v>0</v>
      </c>
      <c r="AH104" s="176">
        <f t="shared" si="53"/>
        <v>0</v>
      </c>
      <c r="AI104" s="176">
        <f t="shared" si="53"/>
        <v>0</v>
      </c>
      <c r="AJ104" s="176">
        <f t="shared" si="53"/>
        <v>0</v>
      </c>
      <c r="AK104" s="176">
        <f t="shared" si="53"/>
        <v>0</v>
      </c>
      <c r="AL104" s="176">
        <f t="shared" si="53"/>
        <v>0</v>
      </c>
    </row>
    <row r="105" spans="1:38" x14ac:dyDescent="0.2">
      <c r="A105" s="568" t="s">
        <v>985</v>
      </c>
      <c r="B105" s="6"/>
      <c r="C105" s="176">
        <f t="shared" ref="C105:AL105" si="54">+C15+C60</f>
        <v>128188.39000000007</v>
      </c>
      <c r="D105" s="176">
        <f t="shared" si="54"/>
        <v>112212.3</v>
      </c>
      <c r="E105" s="176">
        <f t="shared" si="54"/>
        <v>30486.81</v>
      </c>
      <c r="F105" s="176">
        <f t="shared" si="54"/>
        <v>37020.420000000013</v>
      </c>
      <c r="G105" s="176">
        <f t="shared" si="54"/>
        <v>49361.599999999991</v>
      </c>
      <c r="H105" s="176">
        <f t="shared" si="54"/>
        <v>60883.489999999969</v>
      </c>
      <c r="I105" s="176">
        <f t="shared" si="54"/>
        <v>82363.310000000012</v>
      </c>
      <c r="J105" s="176">
        <f t="shared" si="54"/>
        <v>133303.22999999998</v>
      </c>
      <c r="K105" s="176">
        <f t="shared" si="54"/>
        <v>209344.98</v>
      </c>
      <c r="L105" s="176">
        <f t="shared" si="54"/>
        <v>100188.18</v>
      </c>
      <c r="M105" s="176">
        <f t="shared" si="54"/>
        <v>101549.13000000003</v>
      </c>
      <c r="N105" s="176">
        <f t="shared" si="54"/>
        <v>21843.860000000004</v>
      </c>
      <c r="O105" s="176">
        <f t="shared" si="54"/>
        <v>15975.530000000002</v>
      </c>
      <c r="P105" s="176">
        <f t="shared" si="54"/>
        <v>41109.17</v>
      </c>
      <c r="Q105" s="176">
        <f t="shared" si="54"/>
        <v>13863.78999999999</v>
      </c>
      <c r="R105" s="176">
        <f t="shared" si="54"/>
        <v>23737.26</v>
      </c>
      <c r="S105" s="176">
        <f t="shared" si="54"/>
        <v>23484</v>
      </c>
      <c r="T105" s="176">
        <f t="shared" si="54"/>
        <v>21460.61</v>
      </c>
      <c r="U105" s="176">
        <f t="shared" si="54"/>
        <v>31121.819999999989</v>
      </c>
      <c r="V105" s="176">
        <f t="shared" si="54"/>
        <v>34143.060000000005</v>
      </c>
      <c r="W105" s="176">
        <f t="shared" si="54"/>
        <v>47401.729999999996</v>
      </c>
      <c r="X105" s="176">
        <f t="shared" si="54"/>
        <v>39284.479999999974</v>
      </c>
      <c r="Y105" s="176">
        <f t="shared" si="54"/>
        <v>31626.389999999992</v>
      </c>
      <c r="Z105" s="176">
        <f t="shared" si="54"/>
        <v>41029.719999999994</v>
      </c>
      <c r="AA105" s="176">
        <f t="shared" si="54"/>
        <v>18895.140000000007</v>
      </c>
      <c r="AB105" s="176">
        <f t="shared" si="54"/>
        <v>70107.609999999986</v>
      </c>
      <c r="AC105" s="176">
        <f t="shared" si="54"/>
        <v>20368.619999999995</v>
      </c>
      <c r="AD105" s="176">
        <f t="shared" si="54"/>
        <v>39862.419999999991</v>
      </c>
      <c r="AE105" s="176">
        <f t="shared" si="54"/>
        <v>53483.43</v>
      </c>
      <c r="AF105" s="176">
        <f t="shared" si="54"/>
        <v>0</v>
      </c>
      <c r="AG105" s="176">
        <f t="shared" si="54"/>
        <v>0</v>
      </c>
      <c r="AH105" s="176">
        <f t="shared" si="54"/>
        <v>0</v>
      </c>
      <c r="AI105" s="176">
        <f t="shared" si="54"/>
        <v>0</v>
      </c>
      <c r="AJ105" s="176">
        <f t="shared" si="54"/>
        <v>0</v>
      </c>
      <c r="AK105" s="176">
        <f t="shared" si="54"/>
        <v>0</v>
      </c>
      <c r="AL105" s="176">
        <f t="shared" si="54"/>
        <v>0</v>
      </c>
    </row>
    <row r="106" spans="1:38" x14ac:dyDescent="0.2">
      <c r="A106" s="568" t="s">
        <v>986</v>
      </c>
      <c r="B106" s="6"/>
      <c r="C106" s="176">
        <f t="shared" ref="C106:AL106" si="55">+C16+C61</f>
        <v>66415.799999999959</v>
      </c>
      <c r="D106" s="176">
        <f t="shared" si="55"/>
        <v>28097.889999999996</v>
      </c>
      <c r="E106" s="176">
        <f t="shared" si="55"/>
        <v>21377.98</v>
      </c>
      <c r="F106" s="176">
        <f t="shared" si="55"/>
        <v>40994.459999999985</v>
      </c>
      <c r="G106" s="176">
        <f t="shared" si="55"/>
        <v>31052.66999999998</v>
      </c>
      <c r="H106" s="176">
        <f t="shared" si="55"/>
        <v>60241.620000000024</v>
      </c>
      <c r="I106" s="176">
        <f t="shared" si="55"/>
        <v>35660.079999999973</v>
      </c>
      <c r="J106" s="176">
        <f t="shared" si="55"/>
        <v>86756.910000000018</v>
      </c>
      <c r="K106" s="176">
        <f t="shared" si="55"/>
        <v>79693.540000000095</v>
      </c>
      <c r="L106" s="176">
        <f t="shared" si="55"/>
        <v>62446.819999999992</v>
      </c>
      <c r="M106" s="176">
        <f t="shared" si="55"/>
        <v>12197.890000000001</v>
      </c>
      <c r="N106" s="176">
        <f t="shared" si="55"/>
        <v>30377.980000000007</v>
      </c>
      <c r="O106" s="176">
        <f t="shared" si="55"/>
        <v>16105.650000000003</v>
      </c>
      <c r="P106" s="176">
        <f t="shared" si="55"/>
        <v>21583.53</v>
      </c>
      <c r="Q106" s="176">
        <f t="shared" si="55"/>
        <v>42578.790000000008</v>
      </c>
      <c r="R106" s="176">
        <f t="shared" si="55"/>
        <v>12622.650000000001</v>
      </c>
      <c r="S106" s="176">
        <f t="shared" si="55"/>
        <v>43138.01999999999</v>
      </c>
      <c r="T106" s="176">
        <f t="shared" si="55"/>
        <v>20744.64</v>
      </c>
      <c r="U106" s="176">
        <f t="shared" si="55"/>
        <v>21381.479999999996</v>
      </c>
      <c r="V106" s="176">
        <f t="shared" si="55"/>
        <v>24542.880000000001</v>
      </c>
      <c r="W106" s="176">
        <f t="shared" si="55"/>
        <v>25122.409999999985</v>
      </c>
      <c r="X106" s="176">
        <f t="shared" si="55"/>
        <v>43562.409999999996</v>
      </c>
      <c r="Y106" s="176">
        <f t="shared" si="55"/>
        <v>27009.11</v>
      </c>
      <c r="Z106" s="176">
        <f t="shared" si="55"/>
        <v>12190.289999999999</v>
      </c>
      <c r="AA106" s="176">
        <f t="shared" si="55"/>
        <v>17742.019999999997</v>
      </c>
      <c r="AB106" s="176">
        <f t="shared" si="55"/>
        <v>24300.709999999988</v>
      </c>
      <c r="AC106" s="176">
        <f t="shared" si="55"/>
        <v>29523.310000000005</v>
      </c>
      <c r="AD106" s="176">
        <f t="shared" si="55"/>
        <v>11458.970000000001</v>
      </c>
      <c r="AE106" s="176">
        <f t="shared" si="55"/>
        <v>0</v>
      </c>
      <c r="AF106" s="176">
        <f t="shared" si="55"/>
        <v>0</v>
      </c>
      <c r="AG106" s="176">
        <f t="shared" si="55"/>
        <v>0</v>
      </c>
      <c r="AH106" s="176">
        <f t="shared" si="55"/>
        <v>0</v>
      </c>
      <c r="AI106" s="176">
        <f t="shared" si="55"/>
        <v>0</v>
      </c>
      <c r="AJ106" s="176">
        <f t="shared" si="55"/>
        <v>0</v>
      </c>
      <c r="AK106" s="176">
        <f t="shared" si="55"/>
        <v>0</v>
      </c>
      <c r="AL106" s="176">
        <f t="shared" si="55"/>
        <v>0</v>
      </c>
    </row>
    <row r="107" spans="1:38" x14ac:dyDescent="0.2">
      <c r="A107" s="568" t="s">
        <v>987</v>
      </c>
      <c r="B107" s="6"/>
      <c r="C107" s="176">
        <f t="shared" ref="C107:AL107" si="56">+C17+C62</f>
        <v>24344.220000000008</v>
      </c>
      <c r="D107" s="176">
        <f t="shared" si="56"/>
        <v>25823.470000000005</v>
      </c>
      <c r="E107" s="176">
        <f t="shared" si="56"/>
        <v>24948.419999999991</v>
      </c>
      <c r="F107" s="176">
        <f t="shared" si="56"/>
        <v>20025.669999999991</v>
      </c>
      <c r="G107" s="176">
        <f t="shared" si="56"/>
        <v>37834.15</v>
      </c>
      <c r="H107" s="176">
        <f t="shared" si="56"/>
        <v>32689.249999999993</v>
      </c>
      <c r="I107" s="176">
        <f t="shared" si="56"/>
        <v>83117.080000000016</v>
      </c>
      <c r="J107" s="176">
        <f t="shared" si="56"/>
        <v>38203.630000000005</v>
      </c>
      <c r="K107" s="176">
        <f t="shared" si="56"/>
        <v>137347.60000000003</v>
      </c>
      <c r="L107" s="176">
        <f t="shared" si="56"/>
        <v>14581.309999999998</v>
      </c>
      <c r="M107" s="176">
        <f t="shared" si="56"/>
        <v>39026.58</v>
      </c>
      <c r="N107" s="176">
        <f t="shared" si="56"/>
        <v>19605.010000000002</v>
      </c>
      <c r="O107" s="176">
        <f t="shared" si="56"/>
        <v>25850.3</v>
      </c>
      <c r="P107" s="176">
        <f t="shared" si="56"/>
        <v>33956.580000000009</v>
      </c>
      <c r="Q107" s="176">
        <f t="shared" si="56"/>
        <v>20105.939999999999</v>
      </c>
      <c r="R107" s="176">
        <f t="shared" si="56"/>
        <v>14530.560000000005</v>
      </c>
      <c r="S107" s="176">
        <f t="shared" si="56"/>
        <v>14950.719999999996</v>
      </c>
      <c r="T107" s="176">
        <f t="shared" si="56"/>
        <v>29663.97</v>
      </c>
      <c r="U107" s="176">
        <f t="shared" si="56"/>
        <v>11403.36</v>
      </c>
      <c r="V107" s="176">
        <f t="shared" si="56"/>
        <v>15943.970000000005</v>
      </c>
      <c r="W107" s="176">
        <f t="shared" si="56"/>
        <v>32086.570000000003</v>
      </c>
      <c r="X107" s="176">
        <f t="shared" si="56"/>
        <v>20941.47</v>
      </c>
      <c r="Y107" s="176">
        <f t="shared" si="56"/>
        <v>15265.830000000002</v>
      </c>
      <c r="Z107" s="176">
        <f t="shared" si="56"/>
        <v>20854.799999999996</v>
      </c>
      <c r="AA107" s="176">
        <f t="shared" si="56"/>
        <v>18008.77</v>
      </c>
      <c r="AB107" s="176">
        <f t="shared" si="56"/>
        <v>20346.299999999992</v>
      </c>
      <c r="AC107" s="176">
        <f t="shared" si="56"/>
        <v>7054.3599999999979</v>
      </c>
      <c r="AD107" s="176">
        <f t="shared" si="56"/>
        <v>0</v>
      </c>
      <c r="AE107" s="176">
        <f t="shared" si="56"/>
        <v>0</v>
      </c>
      <c r="AF107" s="176">
        <f t="shared" si="56"/>
        <v>0</v>
      </c>
      <c r="AG107" s="176">
        <f t="shared" si="56"/>
        <v>0</v>
      </c>
      <c r="AH107" s="176">
        <f t="shared" si="56"/>
        <v>0</v>
      </c>
      <c r="AI107" s="176">
        <f t="shared" si="56"/>
        <v>0</v>
      </c>
      <c r="AJ107" s="176">
        <f t="shared" si="56"/>
        <v>0</v>
      </c>
      <c r="AK107" s="176">
        <f t="shared" si="56"/>
        <v>0</v>
      </c>
      <c r="AL107" s="176">
        <f t="shared" si="56"/>
        <v>0</v>
      </c>
    </row>
    <row r="108" spans="1:38" x14ac:dyDescent="0.2">
      <c r="A108" s="568" t="s">
        <v>988</v>
      </c>
      <c r="B108" s="6"/>
      <c r="C108" s="176">
        <f t="shared" ref="C108:AL108" si="57">+C18+C63</f>
        <v>15868.199999999997</v>
      </c>
      <c r="D108" s="176">
        <f t="shared" si="57"/>
        <v>31266.289999999994</v>
      </c>
      <c r="E108" s="176">
        <f t="shared" si="57"/>
        <v>24451.640000000003</v>
      </c>
      <c r="F108" s="176">
        <f t="shared" si="57"/>
        <v>18050.829999999998</v>
      </c>
      <c r="G108" s="176">
        <f t="shared" si="57"/>
        <v>23555.709999999992</v>
      </c>
      <c r="H108" s="176">
        <f t="shared" si="57"/>
        <v>56938.420000000042</v>
      </c>
      <c r="I108" s="176">
        <f t="shared" si="57"/>
        <v>30757.310000000005</v>
      </c>
      <c r="J108" s="176">
        <f t="shared" si="57"/>
        <v>52309.640000000007</v>
      </c>
      <c r="K108" s="176">
        <f t="shared" si="57"/>
        <v>27507.86</v>
      </c>
      <c r="L108" s="176">
        <f t="shared" si="57"/>
        <v>13398.54</v>
      </c>
      <c r="M108" s="176">
        <f t="shared" si="57"/>
        <v>41677.549999999988</v>
      </c>
      <c r="N108" s="176">
        <f t="shared" si="57"/>
        <v>15954.740000000002</v>
      </c>
      <c r="O108" s="176">
        <f t="shared" si="57"/>
        <v>7436.7100000000009</v>
      </c>
      <c r="P108" s="176">
        <f t="shared" si="57"/>
        <v>20842.900000000001</v>
      </c>
      <c r="Q108" s="176">
        <f t="shared" si="57"/>
        <v>15947.260000000004</v>
      </c>
      <c r="R108" s="176">
        <f t="shared" si="57"/>
        <v>24015.000000000004</v>
      </c>
      <c r="S108" s="176">
        <f t="shared" si="57"/>
        <v>26159.89</v>
      </c>
      <c r="T108" s="176">
        <f t="shared" si="57"/>
        <v>10687.910000000002</v>
      </c>
      <c r="U108" s="176">
        <f t="shared" si="57"/>
        <v>11187.35</v>
      </c>
      <c r="V108" s="176">
        <f t="shared" si="57"/>
        <v>19517.450000000004</v>
      </c>
      <c r="W108" s="176">
        <f t="shared" si="57"/>
        <v>21302.16</v>
      </c>
      <c r="X108" s="176">
        <f t="shared" si="57"/>
        <v>24770.159999999996</v>
      </c>
      <c r="Y108" s="176">
        <f t="shared" si="57"/>
        <v>11678.31</v>
      </c>
      <c r="Z108" s="176">
        <f t="shared" si="57"/>
        <v>15028.939999999995</v>
      </c>
      <c r="AA108" s="176">
        <f t="shared" si="57"/>
        <v>11804.01</v>
      </c>
      <c r="AB108" s="176">
        <f t="shared" si="57"/>
        <v>23773.48</v>
      </c>
      <c r="AC108" s="176">
        <f t="shared" si="57"/>
        <v>0</v>
      </c>
      <c r="AD108" s="176">
        <f t="shared" si="57"/>
        <v>0</v>
      </c>
      <c r="AE108" s="176">
        <f t="shared" si="57"/>
        <v>0</v>
      </c>
      <c r="AF108" s="176">
        <f t="shared" si="57"/>
        <v>0</v>
      </c>
      <c r="AG108" s="176">
        <f t="shared" si="57"/>
        <v>0</v>
      </c>
      <c r="AH108" s="176">
        <f t="shared" si="57"/>
        <v>0</v>
      </c>
      <c r="AI108" s="176">
        <f t="shared" si="57"/>
        <v>0</v>
      </c>
      <c r="AJ108" s="176">
        <f t="shared" si="57"/>
        <v>0</v>
      </c>
      <c r="AK108" s="176">
        <f t="shared" si="57"/>
        <v>0</v>
      </c>
      <c r="AL108" s="176">
        <f t="shared" si="57"/>
        <v>0</v>
      </c>
    </row>
    <row r="109" spans="1:38" x14ac:dyDescent="0.2">
      <c r="A109" s="568" t="s">
        <v>989</v>
      </c>
      <c r="B109" s="6"/>
      <c r="C109" s="176">
        <f t="shared" ref="C109:AL109" si="58">+C19+C64</f>
        <v>32242.159999999993</v>
      </c>
      <c r="D109" s="176">
        <f t="shared" si="58"/>
        <v>14035.879999999996</v>
      </c>
      <c r="E109" s="176">
        <f t="shared" si="58"/>
        <v>16756.98</v>
      </c>
      <c r="F109" s="176">
        <f t="shared" si="58"/>
        <v>18770.080000000002</v>
      </c>
      <c r="G109" s="176">
        <f t="shared" si="58"/>
        <v>97767.12</v>
      </c>
      <c r="H109" s="176">
        <f t="shared" si="58"/>
        <v>29816.069999999996</v>
      </c>
      <c r="I109" s="176">
        <f t="shared" si="58"/>
        <v>86055.019999999975</v>
      </c>
      <c r="J109" s="176">
        <f t="shared" si="58"/>
        <v>29314.379999999997</v>
      </c>
      <c r="K109" s="176">
        <f t="shared" si="58"/>
        <v>50206.26999999999</v>
      </c>
      <c r="L109" s="176">
        <f t="shared" si="58"/>
        <v>13822.419999999998</v>
      </c>
      <c r="M109" s="176">
        <f t="shared" si="58"/>
        <v>25399.709999999985</v>
      </c>
      <c r="N109" s="176">
        <f t="shared" si="58"/>
        <v>5793.01</v>
      </c>
      <c r="O109" s="176">
        <f t="shared" si="58"/>
        <v>42191.049999999988</v>
      </c>
      <c r="P109" s="176">
        <f t="shared" si="58"/>
        <v>14593.910000000005</v>
      </c>
      <c r="Q109" s="176">
        <f t="shared" si="58"/>
        <v>10018.140000000001</v>
      </c>
      <c r="R109" s="176">
        <f t="shared" si="58"/>
        <v>11176.979999999998</v>
      </c>
      <c r="S109" s="176">
        <f t="shared" si="58"/>
        <v>5766.56</v>
      </c>
      <c r="T109" s="176">
        <f t="shared" si="58"/>
        <v>34256.400000000001</v>
      </c>
      <c r="U109" s="176">
        <f t="shared" si="58"/>
        <v>25971.610000000004</v>
      </c>
      <c r="V109" s="176">
        <f t="shared" si="58"/>
        <v>10405.67</v>
      </c>
      <c r="W109" s="176">
        <f t="shared" si="58"/>
        <v>8389.8499999999985</v>
      </c>
      <c r="X109" s="176">
        <f t="shared" si="58"/>
        <v>12622.289999999999</v>
      </c>
      <c r="Y109" s="176">
        <f t="shared" si="58"/>
        <v>7231.2100000000019</v>
      </c>
      <c r="Z109" s="176">
        <f t="shared" si="58"/>
        <v>16286.180000000004</v>
      </c>
      <c r="AA109" s="176">
        <f t="shared" si="58"/>
        <v>5396.0700000000006</v>
      </c>
      <c r="AB109" s="176">
        <f t="shared" si="58"/>
        <v>0</v>
      </c>
      <c r="AC109" s="176">
        <f t="shared" si="58"/>
        <v>0</v>
      </c>
      <c r="AD109" s="176">
        <f t="shared" si="58"/>
        <v>0</v>
      </c>
      <c r="AE109" s="176">
        <f t="shared" si="58"/>
        <v>0</v>
      </c>
      <c r="AF109" s="176">
        <f t="shared" si="58"/>
        <v>0</v>
      </c>
      <c r="AG109" s="176">
        <f t="shared" si="58"/>
        <v>0</v>
      </c>
      <c r="AH109" s="176">
        <f t="shared" si="58"/>
        <v>0</v>
      </c>
      <c r="AI109" s="176">
        <f t="shared" si="58"/>
        <v>0</v>
      </c>
      <c r="AJ109" s="176">
        <f t="shared" si="58"/>
        <v>0</v>
      </c>
      <c r="AK109" s="176">
        <f t="shared" si="58"/>
        <v>0</v>
      </c>
      <c r="AL109" s="176">
        <f t="shared" si="58"/>
        <v>0</v>
      </c>
    </row>
    <row r="110" spans="1:38" x14ac:dyDescent="0.2">
      <c r="A110" s="568" t="s">
        <v>990</v>
      </c>
      <c r="B110" s="6"/>
      <c r="C110" s="176">
        <f t="shared" ref="C110:AL110" si="59">+C20+C65</f>
        <v>21921.689999999991</v>
      </c>
      <c r="D110" s="176">
        <f t="shared" si="59"/>
        <v>16662.220000000005</v>
      </c>
      <c r="E110" s="176">
        <f t="shared" si="59"/>
        <v>9790.9300000000021</v>
      </c>
      <c r="F110" s="176">
        <f t="shared" si="59"/>
        <v>17209.240000000002</v>
      </c>
      <c r="G110" s="176">
        <f t="shared" si="59"/>
        <v>31472.850000000002</v>
      </c>
      <c r="H110" s="176">
        <f t="shared" si="59"/>
        <v>67902.66</v>
      </c>
      <c r="I110" s="176">
        <f t="shared" si="59"/>
        <v>32533.949999999993</v>
      </c>
      <c r="J110" s="176">
        <f t="shared" si="59"/>
        <v>44197.440000000002</v>
      </c>
      <c r="K110" s="176">
        <f t="shared" si="59"/>
        <v>34240.469999999994</v>
      </c>
      <c r="L110" s="176">
        <f t="shared" si="59"/>
        <v>59109.930000000015</v>
      </c>
      <c r="M110" s="176">
        <f t="shared" si="59"/>
        <v>17163.22</v>
      </c>
      <c r="N110" s="176">
        <f t="shared" si="59"/>
        <v>11133.549999999997</v>
      </c>
      <c r="O110" s="176">
        <f t="shared" si="59"/>
        <v>12762.67</v>
      </c>
      <c r="P110" s="176">
        <f t="shared" si="59"/>
        <v>4918.38</v>
      </c>
      <c r="Q110" s="176">
        <f t="shared" si="59"/>
        <v>15917.61</v>
      </c>
      <c r="R110" s="176">
        <f t="shared" si="59"/>
        <v>12133.12</v>
      </c>
      <c r="S110" s="176">
        <f t="shared" si="59"/>
        <v>11930.33</v>
      </c>
      <c r="T110" s="176">
        <f t="shared" si="59"/>
        <v>9561.1400000000012</v>
      </c>
      <c r="U110" s="176">
        <f t="shared" si="59"/>
        <v>19427.520000000004</v>
      </c>
      <c r="V110" s="176">
        <f t="shared" si="59"/>
        <v>18842.909999999996</v>
      </c>
      <c r="W110" s="176">
        <f t="shared" si="59"/>
        <v>18311.7</v>
      </c>
      <c r="X110" s="176">
        <f t="shared" si="59"/>
        <v>7708.0500000000011</v>
      </c>
      <c r="Y110" s="176">
        <f t="shared" si="59"/>
        <v>16413.03</v>
      </c>
      <c r="Z110" s="176">
        <f t="shared" si="59"/>
        <v>10176.650000000001</v>
      </c>
      <c r="AA110" s="176">
        <f t="shared" si="59"/>
        <v>0</v>
      </c>
      <c r="AB110" s="176">
        <f t="shared" si="59"/>
        <v>0</v>
      </c>
      <c r="AC110" s="176">
        <f t="shared" si="59"/>
        <v>0</v>
      </c>
      <c r="AD110" s="176">
        <f t="shared" si="59"/>
        <v>0</v>
      </c>
      <c r="AE110" s="176">
        <f t="shared" si="59"/>
        <v>0</v>
      </c>
      <c r="AF110" s="176">
        <f t="shared" si="59"/>
        <v>0</v>
      </c>
      <c r="AG110" s="176">
        <f t="shared" si="59"/>
        <v>0</v>
      </c>
      <c r="AH110" s="176">
        <f t="shared" si="59"/>
        <v>0</v>
      </c>
      <c r="AI110" s="176">
        <f t="shared" si="59"/>
        <v>0</v>
      </c>
      <c r="AJ110" s="176">
        <f t="shared" si="59"/>
        <v>0</v>
      </c>
      <c r="AK110" s="176">
        <f t="shared" si="59"/>
        <v>0</v>
      </c>
      <c r="AL110" s="176">
        <f t="shared" si="59"/>
        <v>0</v>
      </c>
    </row>
    <row r="111" spans="1:38" x14ac:dyDescent="0.2">
      <c r="A111" s="568" t="s">
        <v>991</v>
      </c>
      <c r="B111" s="6"/>
      <c r="C111" s="176">
        <f t="shared" ref="C111:AL111" si="60">+C21+C66</f>
        <v>8286.7900000000009</v>
      </c>
      <c r="D111" s="176">
        <f t="shared" si="60"/>
        <v>7078.7900000000009</v>
      </c>
      <c r="E111" s="176">
        <f t="shared" si="60"/>
        <v>21903.879999999997</v>
      </c>
      <c r="F111" s="176">
        <f t="shared" si="60"/>
        <v>23004.050000000003</v>
      </c>
      <c r="G111" s="176">
        <f t="shared" si="60"/>
        <v>72932.25</v>
      </c>
      <c r="H111" s="176">
        <f t="shared" si="60"/>
        <v>13976.450000000003</v>
      </c>
      <c r="I111" s="176">
        <f t="shared" si="60"/>
        <v>26039.040000000001</v>
      </c>
      <c r="J111" s="176">
        <f t="shared" si="60"/>
        <v>31543.49</v>
      </c>
      <c r="K111" s="176">
        <f t="shared" si="60"/>
        <v>10530.88</v>
      </c>
      <c r="L111" s="176">
        <f t="shared" si="60"/>
        <v>7147.7600000000011</v>
      </c>
      <c r="M111" s="176">
        <f t="shared" si="60"/>
        <v>5063.5099999999993</v>
      </c>
      <c r="N111" s="176">
        <f t="shared" si="60"/>
        <v>11068.519999999997</v>
      </c>
      <c r="O111" s="176">
        <f t="shared" si="60"/>
        <v>4233.91</v>
      </c>
      <c r="P111" s="176">
        <f t="shared" si="60"/>
        <v>17353.920000000002</v>
      </c>
      <c r="Q111" s="176">
        <f t="shared" si="60"/>
        <v>2905.21</v>
      </c>
      <c r="R111" s="176">
        <f t="shared" si="60"/>
        <v>12332.37</v>
      </c>
      <c r="S111" s="176">
        <f t="shared" si="60"/>
        <v>4791.46</v>
      </c>
      <c r="T111" s="176">
        <f t="shared" si="60"/>
        <v>5673.1600000000008</v>
      </c>
      <c r="U111" s="176">
        <f t="shared" si="60"/>
        <v>15613.499999999998</v>
      </c>
      <c r="V111" s="176">
        <f t="shared" si="60"/>
        <v>17467.770000000004</v>
      </c>
      <c r="W111" s="176">
        <f t="shared" si="60"/>
        <v>10394.400000000001</v>
      </c>
      <c r="X111" s="176">
        <f t="shared" si="60"/>
        <v>11315.390000000001</v>
      </c>
      <c r="Y111" s="176">
        <f t="shared" si="60"/>
        <v>4904.6799999999994</v>
      </c>
      <c r="Z111" s="176">
        <f t="shared" si="60"/>
        <v>0</v>
      </c>
      <c r="AA111" s="176">
        <f t="shared" si="60"/>
        <v>0</v>
      </c>
      <c r="AB111" s="176">
        <f t="shared" si="60"/>
        <v>0</v>
      </c>
      <c r="AC111" s="176">
        <f t="shared" si="60"/>
        <v>0</v>
      </c>
      <c r="AD111" s="176">
        <f t="shared" si="60"/>
        <v>0</v>
      </c>
      <c r="AE111" s="176">
        <f t="shared" si="60"/>
        <v>0</v>
      </c>
      <c r="AF111" s="176">
        <f t="shared" si="60"/>
        <v>0</v>
      </c>
      <c r="AG111" s="176">
        <f t="shared" si="60"/>
        <v>0</v>
      </c>
      <c r="AH111" s="176">
        <f t="shared" si="60"/>
        <v>0</v>
      </c>
      <c r="AI111" s="176">
        <f t="shared" si="60"/>
        <v>0</v>
      </c>
      <c r="AJ111" s="176">
        <f t="shared" si="60"/>
        <v>0</v>
      </c>
      <c r="AK111" s="176">
        <f t="shared" si="60"/>
        <v>0</v>
      </c>
      <c r="AL111" s="176">
        <f t="shared" si="60"/>
        <v>0</v>
      </c>
    </row>
    <row r="112" spans="1:38" x14ac:dyDescent="0.2">
      <c r="A112" s="568" t="s">
        <v>992</v>
      </c>
      <c r="B112" s="6"/>
      <c r="C112" s="176">
        <f t="shared" ref="C112:AL112" si="61">+C22+C67</f>
        <v>2439.4399999999996</v>
      </c>
      <c r="D112" s="176">
        <f t="shared" si="61"/>
        <v>27811.909999999993</v>
      </c>
      <c r="E112" s="176">
        <f t="shared" si="61"/>
        <v>10828.06</v>
      </c>
      <c r="F112" s="176">
        <f t="shared" si="61"/>
        <v>28426.829999999994</v>
      </c>
      <c r="G112" s="176">
        <f t="shared" si="61"/>
        <v>6093.96</v>
      </c>
      <c r="H112" s="176">
        <f t="shared" si="61"/>
        <v>10779.7</v>
      </c>
      <c r="I112" s="176">
        <f t="shared" si="61"/>
        <v>20866.430000000004</v>
      </c>
      <c r="J112" s="176">
        <f t="shared" si="61"/>
        <v>7962.7999999999993</v>
      </c>
      <c r="K112" s="176">
        <f t="shared" si="61"/>
        <v>1894.96</v>
      </c>
      <c r="L112" s="176">
        <f t="shared" si="61"/>
        <v>4839.78</v>
      </c>
      <c r="M112" s="176">
        <f t="shared" si="61"/>
        <v>8091.2499999999991</v>
      </c>
      <c r="N112" s="176">
        <f t="shared" si="61"/>
        <v>6901.09</v>
      </c>
      <c r="O112" s="176">
        <f t="shared" si="61"/>
        <v>16507.310000000005</v>
      </c>
      <c r="P112" s="176">
        <f t="shared" si="61"/>
        <v>11336.510000000002</v>
      </c>
      <c r="Q112" s="176">
        <f t="shared" si="61"/>
        <v>13727.87</v>
      </c>
      <c r="R112" s="176">
        <f t="shared" si="61"/>
        <v>3999.91</v>
      </c>
      <c r="S112" s="176">
        <f t="shared" si="61"/>
        <v>1344.6799999999998</v>
      </c>
      <c r="T112" s="176">
        <f t="shared" si="61"/>
        <v>8938.7100000000009</v>
      </c>
      <c r="U112" s="176">
        <f t="shared" si="61"/>
        <v>12559.630000000003</v>
      </c>
      <c r="V112" s="176">
        <f t="shared" si="61"/>
        <v>7431.5500000000011</v>
      </c>
      <c r="W112" s="176">
        <f t="shared" si="61"/>
        <v>3053.45</v>
      </c>
      <c r="X112" s="176">
        <f t="shared" si="61"/>
        <v>4794.5200000000004</v>
      </c>
      <c r="Y112" s="176">
        <f t="shared" si="61"/>
        <v>0</v>
      </c>
      <c r="Z112" s="176">
        <f t="shared" si="61"/>
        <v>0</v>
      </c>
      <c r="AA112" s="176">
        <f t="shared" si="61"/>
        <v>0</v>
      </c>
      <c r="AB112" s="176">
        <f t="shared" si="61"/>
        <v>0</v>
      </c>
      <c r="AC112" s="176">
        <f t="shared" si="61"/>
        <v>0</v>
      </c>
      <c r="AD112" s="176">
        <f t="shared" si="61"/>
        <v>0</v>
      </c>
      <c r="AE112" s="176">
        <f t="shared" si="61"/>
        <v>0</v>
      </c>
      <c r="AF112" s="176">
        <f t="shared" si="61"/>
        <v>0</v>
      </c>
      <c r="AG112" s="176">
        <f t="shared" si="61"/>
        <v>0</v>
      </c>
      <c r="AH112" s="176">
        <f t="shared" si="61"/>
        <v>0</v>
      </c>
      <c r="AI112" s="176">
        <f t="shared" si="61"/>
        <v>0</v>
      </c>
      <c r="AJ112" s="176">
        <f t="shared" si="61"/>
        <v>0</v>
      </c>
      <c r="AK112" s="176">
        <f t="shared" si="61"/>
        <v>0</v>
      </c>
      <c r="AL112" s="176">
        <f t="shared" si="61"/>
        <v>0</v>
      </c>
    </row>
    <row r="113" spans="1:38" x14ac:dyDescent="0.2">
      <c r="A113" s="568" t="s">
        <v>993</v>
      </c>
      <c r="B113" s="6"/>
      <c r="C113" s="176">
        <f t="shared" ref="C113:AL113" si="62">+C23+C68</f>
        <v>15214.87</v>
      </c>
      <c r="D113" s="176">
        <f t="shared" si="62"/>
        <v>7990.2999999999993</v>
      </c>
      <c r="E113" s="176">
        <f t="shared" si="62"/>
        <v>38674.36</v>
      </c>
      <c r="F113" s="176">
        <f t="shared" si="62"/>
        <v>4721.59</v>
      </c>
      <c r="G113" s="176">
        <f t="shared" si="62"/>
        <v>11581.220000000001</v>
      </c>
      <c r="H113" s="176">
        <f t="shared" si="62"/>
        <v>5895.47</v>
      </c>
      <c r="I113" s="176">
        <f t="shared" si="62"/>
        <v>7737.2699999999995</v>
      </c>
      <c r="J113" s="176">
        <f t="shared" si="62"/>
        <v>12420.799999999997</v>
      </c>
      <c r="K113" s="176">
        <f t="shared" si="62"/>
        <v>4925.8499999999995</v>
      </c>
      <c r="L113" s="176">
        <f t="shared" si="62"/>
        <v>8204.2799999999988</v>
      </c>
      <c r="M113" s="176">
        <f t="shared" si="62"/>
        <v>3527.04</v>
      </c>
      <c r="N113" s="176">
        <f t="shared" si="62"/>
        <v>2766.97</v>
      </c>
      <c r="O113" s="176">
        <f t="shared" si="62"/>
        <v>3572.5699999999997</v>
      </c>
      <c r="P113" s="176">
        <f t="shared" si="62"/>
        <v>11682.830000000002</v>
      </c>
      <c r="Q113" s="176">
        <f t="shared" si="62"/>
        <v>1562.8300000000002</v>
      </c>
      <c r="R113" s="176">
        <f t="shared" si="62"/>
        <v>3935.6800000000003</v>
      </c>
      <c r="S113" s="176">
        <f t="shared" si="62"/>
        <v>10798.13</v>
      </c>
      <c r="T113" s="176">
        <f t="shared" si="62"/>
        <v>5409.74</v>
      </c>
      <c r="U113" s="176">
        <f t="shared" si="62"/>
        <v>10640.000000000002</v>
      </c>
      <c r="V113" s="176">
        <f t="shared" si="62"/>
        <v>10466.129999999999</v>
      </c>
      <c r="W113" s="176">
        <f t="shared" si="62"/>
        <v>7783.3899999999985</v>
      </c>
      <c r="X113" s="176">
        <f t="shared" si="62"/>
        <v>0</v>
      </c>
      <c r="Y113" s="176">
        <f t="shared" si="62"/>
        <v>0</v>
      </c>
      <c r="Z113" s="176">
        <f t="shared" si="62"/>
        <v>0</v>
      </c>
      <c r="AA113" s="176">
        <f t="shared" si="62"/>
        <v>0</v>
      </c>
      <c r="AB113" s="176">
        <f t="shared" si="62"/>
        <v>0</v>
      </c>
      <c r="AC113" s="176">
        <f t="shared" si="62"/>
        <v>0</v>
      </c>
      <c r="AD113" s="176">
        <f t="shared" si="62"/>
        <v>0</v>
      </c>
      <c r="AE113" s="176">
        <f t="shared" si="62"/>
        <v>0</v>
      </c>
      <c r="AF113" s="176">
        <f t="shared" si="62"/>
        <v>0</v>
      </c>
      <c r="AG113" s="176">
        <f t="shared" si="62"/>
        <v>0</v>
      </c>
      <c r="AH113" s="176">
        <f t="shared" si="62"/>
        <v>0</v>
      </c>
      <c r="AI113" s="176">
        <f t="shared" si="62"/>
        <v>0</v>
      </c>
      <c r="AJ113" s="176">
        <f t="shared" si="62"/>
        <v>0</v>
      </c>
      <c r="AK113" s="176">
        <f t="shared" si="62"/>
        <v>0</v>
      </c>
      <c r="AL113" s="176">
        <f t="shared" si="62"/>
        <v>0</v>
      </c>
    </row>
    <row r="114" spans="1:38" x14ac:dyDescent="0.2">
      <c r="A114" s="568" t="s">
        <v>994</v>
      </c>
      <c r="B114" s="6"/>
      <c r="C114" s="176">
        <f t="shared" ref="C114:AL114" si="63">+C24+C69</f>
        <v>7534.28</v>
      </c>
      <c r="D114" s="176">
        <f t="shared" si="63"/>
        <v>31834.850000000002</v>
      </c>
      <c r="E114" s="176">
        <f t="shared" si="63"/>
        <v>12177.33</v>
      </c>
      <c r="F114" s="176">
        <f t="shared" si="63"/>
        <v>591.99</v>
      </c>
      <c r="G114" s="176">
        <f t="shared" si="63"/>
        <v>2269.2600000000002</v>
      </c>
      <c r="H114" s="176">
        <f t="shared" si="63"/>
        <v>3211.4</v>
      </c>
      <c r="I114" s="176">
        <f t="shared" si="63"/>
        <v>30224.549999999996</v>
      </c>
      <c r="J114" s="176">
        <f t="shared" si="63"/>
        <v>2816.79</v>
      </c>
      <c r="K114" s="176">
        <f t="shared" si="63"/>
        <v>8587.4500000000007</v>
      </c>
      <c r="L114" s="176">
        <f t="shared" si="63"/>
        <v>2447.58</v>
      </c>
      <c r="M114" s="176">
        <f t="shared" si="63"/>
        <v>1576.0299999999997</v>
      </c>
      <c r="N114" s="176">
        <f t="shared" si="63"/>
        <v>7382.22</v>
      </c>
      <c r="O114" s="176">
        <f t="shared" si="63"/>
        <v>7266.6800000000012</v>
      </c>
      <c r="P114" s="176">
        <f t="shared" si="63"/>
        <v>34470.6</v>
      </c>
      <c r="Q114" s="176">
        <f t="shared" si="63"/>
        <v>1926.83</v>
      </c>
      <c r="R114" s="176">
        <f t="shared" si="63"/>
        <v>3332.1499999999996</v>
      </c>
      <c r="S114" s="176">
        <f t="shared" si="63"/>
        <v>1939.0699999999997</v>
      </c>
      <c r="T114" s="176">
        <f t="shared" si="63"/>
        <v>1707.75</v>
      </c>
      <c r="U114" s="176">
        <f t="shared" si="63"/>
        <v>1647.9299999999998</v>
      </c>
      <c r="V114" s="176">
        <f t="shared" si="63"/>
        <v>709.11</v>
      </c>
      <c r="W114" s="176">
        <f t="shared" si="63"/>
        <v>0</v>
      </c>
      <c r="X114" s="176">
        <f t="shared" si="63"/>
        <v>0</v>
      </c>
      <c r="Y114" s="176">
        <f t="shared" si="63"/>
        <v>0</v>
      </c>
      <c r="Z114" s="176">
        <f t="shared" si="63"/>
        <v>0</v>
      </c>
      <c r="AA114" s="176">
        <f t="shared" si="63"/>
        <v>0</v>
      </c>
      <c r="AB114" s="176">
        <f t="shared" si="63"/>
        <v>0</v>
      </c>
      <c r="AC114" s="176">
        <f t="shared" si="63"/>
        <v>0</v>
      </c>
      <c r="AD114" s="176">
        <f t="shared" si="63"/>
        <v>0</v>
      </c>
      <c r="AE114" s="176">
        <f t="shared" si="63"/>
        <v>0</v>
      </c>
      <c r="AF114" s="176">
        <f t="shared" si="63"/>
        <v>0</v>
      </c>
      <c r="AG114" s="176">
        <f t="shared" si="63"/>
        <v>0</v>
      </c>
      <c r="AH114" s="176">
        <f t="shared" si="63"/>
        <v>0</v>
      </c>
      <c r="AI114" s="176">
        <f t="shared" si="63"/>
        <v>0</v>
      </c>
      <c r="AJ114" s="176">
        <f t="shared" si="63"/>
        <v>0</v>
      </c>
      <c r="AK114" s="176">
        <f t="shared" si="63"/>
        <v>0</v>
      </c>
      <c r="AL114" s="176">
        <f t="shared" si="63"/>
        <v>0</v>
      </c>
    </row>
    <row r="115" spans="1:38" x14ac:dyDescent="0.2">
      <c r="A115" s="568" t="s">
        <v>995</v>
      </c>
      <c r="B115" s="6"/>
      <c r="C115" s="176">
        <f t="shared" ref="C115:AL115" si="64">+C25+C70</f>
        <v>21961.5</v>
      </c>
      <c r="D115" s="176">
        <f t="shared" si="64"/>
        <v>11229.78</v>
      </c>
      <c r="E115" s="176">
        <f t="shared" si="64"/>
        <v>924.21</v>
      </c>
      <c r="F115" s="176">
        <f t="shared" si="64"/>
        <v>1165.9799999999998</v>
      </c>
      <c r="G115" s="176">
        <f t="shared" si="64"/>
        <v>4390.46</v>
      </c>
      <c r="H115" s="176">
        <f t="shared" si="64"/>
        <v>8245.4500000000025</v>
      </c>
      <c r="I115" s="176">
        <f t="shared" si="64"/>
        <v>3038.98</v>
      </c>
      <c r="J115" s="176">
        <f t="shared" si="64"/>
        <v>2642.62</v>
      </c>
      <c r="K115" s="176">
        <f t="shared" si="64"/>
        <v>6025.9699999999993</v>
      </c>
      <c r="L115" s="176">
        <f t="shared" si="64"/>
        <v>2621.35</v>
      </c>
      <c r="M115" s="176">
        <f t="shared" si="64"/>
        <v>7024.8700000000008</v>
      </c>
      <c r="N115" s="176">
        <f t="shared" si="64"/>
        <v>2245.5300000000002</v>
      </c>
      <c r="O115" s="176">
        <f t="shared" si="64"/>
        <v>1986.5600000000004</v>
      </c>
      <c r="P115" s="176">
        <f t="shared" si="64"/>
        <v>8941.1</v>
      </c>
      <c r="Q115" s="176">
        <f t="shared" si="64"/>
        <v>3060.55</v>
      </c>
      <c r="R115" s="176">
        <f t="shared" si="64"/>
        <v>9296.8499999999985</v>
      </c>
      <c r="S115" s="176">
        <f t="shared" si="64"/>
        <v>4436.7000000000007</v>
      </c>
      <c r="T115" s="176">
        <f t="shared" si="64"/>
        <v>2499.8199999999997</v>
      </c>
      <c r="U115" s="176">
        <f t="shared" si="64"/>
        <v>1995.8600000000001</v>
      </c>
      <c r="V115" s="176">
        <f t="shared" si="64"/>
        <v>0</v>
      </c>
      <c r="W115" s="176">
        <f t="shared" si="64"/>
        <v>0</v>
      </c>
      <c r="X115" s="176">
        <f t="shared" si="64"/>
        <v>0</v>
      </c>
      <c r="Y115" s="176">
        <f t="shared" si="64"/>
        <v>0</v>
      </c>
      <c r="Z115" s="176">
        <f t="shared" si="64"/>
        <v>0</v>
      </c>
      <c r="AA115" s="176">
        <f t="shared" si="64"/>
        <v>0</v>
      </c>
      <c r="AB115" s="176">
        <f t="shared" si="64"/>
        <v>0</v>
      </c>
      <c r="AC115" s="176">
        <f t="shared" si="64"/>
        <v>0</v>
      </c>
      <c r="AD115" s="176">
        <f t="shared" si="64"/>
        <v>0</v>
      </c>
      <c r="AE115" s="176">
        <f t="shared" si="64"/>
        <v>0</v>
      </c>
      <c r="AF115" s="176">
        <f t="shared" si="64"/>
        <v>0</v>
      </c>
      <c r="AG115" s="176">
        <f t="shared" si="64"/>
        <v>0</v>
      </c>
      <c r="AH115" s="176">
        <f t="shared" si="64"/>
        <v>0</v>
      </c>
      <c r="AI115" s="176">
        <f t="shared" si="64"/>
        <v>0</v>
      </c>
      <c r="AJ115" s="176">
        <f t="shared" si="64"/>
        <v>0</v>
      </c>
      <c r="AK115" s="176">
        <f t="shared" si="64"/>
        <v>0</v>
      </c>
      <c r="AL115" s="176">
        <f t="shared" si="64"/>
        <v>0</v>
      </c>
    </row>
    <row r="116" spans="1:38" x14ac:dyDescent="0.2">
      <c r="A116" s="568" t="s">
        <v>996</v>
      </c>
      <c r="B116" s="6"/>
      <c r="C116" s="176">
        <f t="shared" ref="C116:AL116" si="65">+C26+C71</f>
        <v>14569.62</v>
      </c>
      <c r="D116" s="176">
        <f t="shared" si="65"/>
        <v>17031.61</v>
      </c>
      <c r="E116" s="176">
        <f t="shared" si="65"/>
        <v>1463.46</v>
      </c>
      <c r="F116" s="176">
        <f t="shared" si="65"/>
        <v>3038.48</v>
      </c>
      <c r="G116" s="176">
        <f t="shared" si="65"/>
        <v>60837.689999999981</v>
      </c>
      <c r="H116" s="176">
        <f t="shared" si="65"/>
        <v>3913.1899999999996</v>
      </c>
      <c r="I116" s="176">
        <f t="shared" si="65"/>
        <v>2376.2999999999997</v>
      </c>
      <c r="J116" s="176">
        <f t="shared" si="65"/>
        <v>7971.0499999999993</v>
      </c>
      <c r="K116" s="176">
        <f t="shared" si="65"/>
        <v>1019.1800000000001</v>
      </c>
      <c r="L116" s="176">
        <f t="shared" si="65"/>
        <v>4373.54</v>
      </c>
      <c r="M116" s="176">
        <f t="shared" si="65"/>
        <v>4381.16</v>
      </c>
      <c r="N116" s="176">
        <f t="shared" si="65"/>
        <v>7332.7</v>
      </c>
      <c r="O116" s="176">
        <f t="shared" si="65"/>
        <v>5789.03</v>
      </c>
      <c r="P116" s="176">
        <f t="shared" si="65"/>
        <v>8045.91</v>
      </c>
      <c r="Q116" s="176">
        <f t="shared" si="65"/>
        <v>11135.9</v>
      </c>
      <c r="R116" s="176">
        <f t="shared" si="65"/>
        <v>482.43</v>
      </c>
      <c r="S116" s="176">
        <f t="shared" si="65"/>
        <v>1490.59</v>
      </c>
      <c r="T116" s="176">
        <f t="shared" si="65"/>
        <v>80.180000000000007</v>
      </c>
      <c r="U116" s="176">
        <f t="shared" si="65"/>
        <v>0</v>
      </c>
      <c r="V116" s="176">
        <f t="shared" si="65"/>
        <v>0</v>
      </c>
      <c r="W116" s="176">
        <f t="shared" si="65"/>
        <v>0</v>
      </c>
      <c r="X116" s="176">
        <f t="shared" si="65"/>
        <v>0</v>
      </c>
      <c r="Y116" s="176">
        <f t="shared" si="65"/>
        <v>0</v>
      </c>
      <c r="Z116" s="176">
        <f t="shared" si="65"/>
        <v>0</v>
      </c>
      <c r="AA116" s="176">
        <f t="shared" si="65"/>
        <v>0</v>
      </c>
      <c r="AB116" s="176">
        <f t="shared" si="65"/>
        <v>0</v>
      </c>
      <c r="AC116" s="176">
        <f t="shared" si="65"/>
        <v>0</v>
      </c>
      <c r="AD116" s="176">
        <f t="shared" si="65"/>
        <v>0</v>
      </c>
      <c r="AE116" s="176">
        <f t="shared" si="65"/>
        <v>0</v>
      </c>
      <c r="AF116" s="176">
        <f t="shared" si="65"/>
        <v>0</v>
      </c>
      <c r="AG116" s="176">
        <f t="shared" si="65"/>
        <v>0</v>
      </c>
      <c r="AH116" s="176">
        <f t="shared" si="65"/>
        <v>0</v>
      </c>
      <c r="AI116" s="176">
        <f t="shared" si="65"/>
        <v>0</v>
      </c>
      <c r="AJ116" s="176">
        <f t="shared" si="65"/>
        <v>0</v>
      </c>
      <c r="AK116" s="176">
        <f t="shared" si="65"/>
        <v>0</v>
      </c>
      <c r="AL116" s="176">
        <f t="shared" si="65"/>
        <v>0</v>
      </c>
    </row>
    <row r="117" spans="1:38" x14ac:dyDescent="0.2">
      <c r="A117" s="568" t="s">
        <v>997</v>
      </c>
      <c r="B117" s="6"/>
      <c r="C117" s="176">
        <f t="shared" ref="C117:AL117" si="66">+C27+C72</f>
        <v>1008.28</v>
      </c>
      <c r="D117" s="176">
        <f t="shared" si="66"/>
        <v>1044.51</v>
      </c>
      <c r="E117" s="176">
        <f t="shared" si="66"/>
        <v>2756.5299999999997</v>
      </c>
      <c r="F117" s="176">
        <f t="shared" si="66"/>
        <v>17209.079999999998</v>
      </c>
      <c r="G117" s="176">
        <f t="shared" si="66"/>
        <v>2355.64</v>
      </c>
      <c r="H117" s="176">
        <f t="shared" si="66"/>
        <v>1762.77</v>
      </c>
      <c r="I117" s="176">
        <f t="shared" si="66"/>
        <v>12744.29</v>
      </c>
      <c r="J117" s="176">
        <f t="shared" si="66"/>
        <v>480.54</v>
      </c>
      <c r="K117" s="176">
        <f t="shared" si="66"/>
        <v>3808.05</v>
      </c>
      <c r="L117" s="176">
        <f t="shared" si="66"/>
        <v>8534.029999999997</v>
      </c>
      <c r="M117" s="176">
        <f t="shared" si="66"/>
        <v>2822.6200000000003</v>
      </c>
      <c r="N117" s="176">
        <f t="shared" si="66"/>
        <v>4487.59</v>
      </c>
      <c r="O117" s="176">
        <f t="shared" si="66"/>
        <v>2242.1099999999997</v>
      </c>
      <c r="P117" s="176">
        <f t="shared" si="66"/>
        <v>938.85</v>
      </c>
      <c r="Q117" s="176">
        <f t="shared" si="66"/>
        <v>721.08</v>
      </c>
      <c r="R117" s="176">
        <f t="shared" si="66"/>
        <v>2047.0600000000002</v>
      </c>
      <c r="S117" s="176">
        <f t="shared" si="66"/>
        <v>364.34</v>
      </c>
      <c r="T117" s="176">
        <f t="shared" si="66"/>
        <v>0</v>
      </c>
      <c r="U117" s="176">
        <f t="shared" si="66"/>
        <v>0</v>
      </c>
      <c r="V117" s="176">
        <f t="shared" si="66"/>
        <v>0</v>
      </c>
      <c r="W117" s="176">
        <f t="shared" si="66"/>
        <v>0</v>
      </c>
      <c r="X117" s="176">
        <f t="shared" si="66"/>
        <v>0</v>
      </c>
      <c r="Y117" s="176">
        <f t="shared" si="66"/>
        <v>0</v>
      </c>
      <c r="Z117" s="176">
        <f t="shared" si="66"/>
        <v>0</v>
      </c>
      <c r="AA117" s="176">
        <f t="shared" si="66"/>
        <v>0</v>
      </c>
      <c r="AB117" s="176">
        <f t="shared" si="66"/>
        <v>0</v>
      </c>
      <c r="AC117" s="176">
        <f t="shared" si="66"/>
        <v>0</v>
      </c>
      <c r="AD117" s="176">
        <f t="shared" si="66"/>
        <v>0</v>
      </c>
      <c r="AE117" s="176">
        <f t="shared" si="66"/>
        <v>0</v>
      </c>
      <c r="AF117" s="176">
        <f t="shared" si="66"/>
        <v>0</v>
      </c>
      <c r="AG117" s="176">
        <f t="shared" si="66"/>
        <v>0</v>
      </c>
      <c r="AH117" s="176">
        <f t="shared" si="66"/>
        <v>0</v>
      </c>
      <c r="AI117" s="176">
        <f t="shared" si="66"/>
        <v>0</v>
      </c>
      <c r="AJ117" s="176">
        <f t="shared" si="66"/>
        <v>0</v>
      </c>
      <c r="AK117" s="176">
        <f t="shared" si="66"/>
        <v>0</v>
      </c>
      <c r="AL117" s="176">
        <f t="shared" si="66"/>
        <v>0</v>
      </c>
    </row>
    <row r="118" spans="1:38" x14ac:dyDescent="0.2">
      <c r="A118" s="568" t="s">
        <v>998</v>
      </c>
      <c r="B118" s="6"/>
      <c r="C118" s="176">
        <f t="shared" ref="C118:AL118" si="67">+C28+C73</f>
        <v>780.62</v>
      </c>
      <c r="D118" s="176">
        <f t="shared" si="67"/>
        <v>7286.68</v>
      </c>
      <c r="E118" s="176">
        <f t="shared" si="67"/>
        <v>6082.77</v>
      </c>
      <c r="F118" s="176">
        <f t="shared" si="67"/>
        <v>1556.7000000000003</v>
      </c>
      <c r="G118" s="176">
        <f t="shared" si="67"/>
        <v>875.63</v>
      </c>
      <c r="H118" s="176">
        <f t="shared" si="67"/>
        <v>1391.16</v>
      </c>
      <c r="I118" s="176">
        <f t="shared" si="67"/>
        <v>1519.01</v>
      </c>
      <c r="J118" s="176">
        <f t="shared" si="67"/>
        <v>1984.37</v>
      </c>
      <c r="K118" s="176">
        <f t="shared" si="67"/>
        <v>391.49</v>
      </c>
      <c r="L118" s="176">
        <f t="shared" si="67"/>
        <v>14972.720000000001</v>
      </c>
      <c r="M118" s="176">
        <f t="shared" si="67"/>
        <v>662.2</v>
      </c>
      <c r="N118" s="176">
        <f t="shared" si="67"/>
        <v>2472.35</v>
      </c>
      <c r="O118" s="176">
        <f t="shared" si="67"/>
        <v>8554.5300000000007</v>
      </c>
      <c r="P118" s="176">
        <f t="shared" si="67"/>
        <v>425</v>
      </c>
      <c r="Q118" s="176">
        <f t="shared" si="67"/>
        <v>2927.07</v>
      </c>
      <c r="R118" s="176">
        <f t="shared" si="67"/>
        <v>0</v>
      </c>
      <c r="S118" s="176">
        <f t="shared" si="67"/>
        <v>0</v>
      </c>
      <c r="T118" s="176">
        <f t="shared" si="67"/>
        <v>0</v>
      </c>
      <c r="U118" s="176">
        <f t="shared" si="67"/>
        <v>0</v>
      </c>
      <c r="V118" s="176">
        <f t="shared" si="67"/>
        <v>0</v>
      </c>
      <c r="W118" s="176">
        <f t="shared" si="67"/>
        <v>0</v>
      </c>
      <c r="X118" s="176">
        <f t="shared" si="67"/>
        <v>0</v>
      </c>
      <c r="Y118" s="176">
        <f t="shared" si="67"/>
        <v>0</v>
      </c>
      <c r="Z118" s="176">
        <f t="shared" si="67"/>
        <v>0</v>
      </c>
      <c r="AA118" s="176">
        <f t="shared" si="67"/>
        <v>0</v>
      </c>
      <c r="AB118" s="176">
        <f t="shared" si="67"/>
        <v>0</v>
      </c>
      <c r="AC118" s="176">
        <f t="shared" si="67"/>
        <v>0</v>
      </c>
      <c r="AD118" s="176">
        <f t="shared" si="67"/>
        <v>0</v>
      </c>
      <c r="AE118" s="176">
        <f t="shared" si="67"/>
        <v>0</v>
      </c>
      <c r="AF118" s="176">
        <f t="shared" si="67"/>
        <v>0</v>
      </c>
      <c r="AG118" s="176">
        <f t="shared" si="67"/>
        <v>0</v>
      </c>
      <c r="AH118" s="176">
        <f t="shared" si="67"/>
        <v>0</v>
      </c>
      <c r="AI118" s="176">
        <f t="shared" si="67"/>
        <v>0</v>
      </c>
      <c r="AJ118" s="176">
        <f t="shared" si="67"/>
        <v>0</v>
      </c>
      <c r="AK118" s="176">
        <f t="shared" si="67"/>
        <v>0</v>
      </c>
      <c r="AL118" s="176">
        <f t="shared" si="67"/>
        <v>0</v>
      </c>
    </row>
    <row r="119" spans="1:38" x14ac:dyDescent="0.2">
      <c r="A119" s="568" t="s">
        <v>999</v>
      </c>
      <c r="B119" s="6"/>
      <c r="C119" s="176">
        <f t="shared" ref="C119:AL119" si="68">+C29+C74</f>
        <v>2132.5299999999997</v>
      </c>
      <c r="D119" s="176">
        <f t="shared" si="68"/>
        <v>3872.4399999999996</v>
      </c>
      <c r="E119" s="176">
        <f t="shared" si="68"/>
        <v>1963.4900000000002</v>
      </c>
      <c r="F119" s="176">
        <f t="shared" si="68"/>
        <v>4116.42</v>
      </c>
      <c r="G119" s="176">
        <f t="shared" si="68"/>
        <v>1659.08</v>
      </c>
      <c r="H119" s="176">
        <f t="shared" si="68"/>
        <v>0</v>
      </c>
      <c r="I119" s="176">
        <f t="shared" si="68"/>
        <v>6301.21</v>
      </c>
      <c r="J119" s="176">
        <f t="shared" si="68"/>
        <v>2310.96</v>
      </c>
      <c r="K119" s="176">
        <f t="shared" si="68"/>
        <v>1319.8100000000002</v>
      </c>
      <c r="L119" s="176">
        <f t="shared" si="68"/>
        <v>5116.28</v>
      </c>
      <c r="M119" s="176">
        <f t="shared" si="68"/>
        <v>1507.19</v>
      </c>
      <c r="N119" s="176">
        <f t="shared" si="68"/>
        <v>17.61</v>
      </c>
      <c r="O119" s="176">
        <f t="shared" si="68"/>
        <v>12451.819999999998</v>
      </c>
      <c r="P119" s="176">
        <f t="shared" si="68"/>
        <v>190.67</v>
      </c>
      <c r="Q119" s="176">
        <f t="shared" si="68"/>
        <v>206.59</v>
      </c>
      <c r="R119" s="176">
        <f t="shared" si="68"/>
        <v>0</v>
      </c>
      <c r="S119" s="176">
        <f t="shared" si="68"/>
        <v>0</v>
      </c>
      <c r="T119" s="176">
        <f t="shared" si="68"/>
        <v>0</v>
      </c>
      <c r="U119" s="176">
        <f t="shared" si="68"/>
        <v>0</v>
      </c>
      <c r="V119" s="176">
        <f t="shared" si="68"/>
        <v>0</v>
      </c>
      <c r="W119" s="176">
        <f t="shared" si="68"/>
        <v>0</v>
      </c>
      <c r="X119" s="176">
        <f t="shared" si="68"/>
        <v>0</v>
      </c>
      <c r="Y119" s="176">
        <f t="shared" si="68"/>
        <v>0</v>
      </c>
      <c r="Z119" s="176">
        <f t="shared" si="68"/>
        <v>0</v>
      </c>
      <c r="AA119" s="176">
        <f t="shared" si="68"/>
        <v>0</v>
      </c>
      <c r="AB119" s="176">
        <f t="shared" si="68"/>
        <v>0</v>
      </c>
      <c r="AC119" s="176">
        <f t="shared" si="68"/>
        <v>0</v>
      </c>
      <c r="AD119" s="176">
        <f t="shared" si="68"/>
        <v>0</v>
      </c>
      <c r="AE119" s="176">
        <f t="shared" si="68"/>
        <v>0</v>
      </c>
      <c r="AF119" s="176">
        <f t="shared" si="68"/>
        <v>0</v>
      </c>
      <c r="AG119" s="176">
        <f t="shared" si="68"/>
        <v>0</v>
      </c>
      <c r="AH119" s="176">
        <f t="shared" si="68"/>
        <v>0</v>
      </c>
      <c r="AI119" s="176">
        <f t="shared" si="68"/>
        <v>0</v>
      </c>
      <c r="AJ119" s="176">
        <f t="shared" si="68"/>
        <v>0</v>
      </c>
      <c r="AK119" s="176">
        <f t="shared" si="68"/>
        <v>0</v>
      </c>
      <c r="AL119" s="176">
        <f t="shared" si="68"/>
        <v>0</v>
      </c>
    </row>
    <row r="120" spans="1:38" x14ac:dyDescent="0.2">
      <c r="A120" s="568" t="s">
        <v>1000</v>
      </c>
      <c r="B120" s="6"/>
      <c r="C120" s="176">
        <f t="shared" ref="C120:AL120" si="69">+C30+C75</f>
        <v>2562.75</v>
      </c>
      <c r="D120" s="176">
        <f t="shared" si="69"/>
        <v>4138.92</v>
      </c>
      <c r="E120" s="176">
        <f t="shared" si="69"/>
        <v>458.04</v>
      </c>
      <c r="F120" s="176">
        <f t="shared" si="69"/>
        <v>464.34999999999997</v>
      </c>
      <c r="G120" s="176">
        <f t="shared" si="69"/>
        <v>1689.75</v>
      </c>
      <c r="H120" s="176">
        <f t="shared" si="69"/>
        <v>4181.34</v>
      </c>
      <c r="I120" s="176">
        <f t="shared" si="69"/>
        <v>2656</v>
      </c>
      <c r="J120" s="176">
        <f t="shared" si="69"/>
        <v>368.79</v>
      </c>
      <c r="K120" s="176">
        <f t="shared" si="69"/>
        <v>2249.16</v>
      </c>
      <c r="L120" s="176">
        <f t="shared" si="69"/>
        <v>32967.82</v>
      </c>
      <c r="M120" s="176">
        <f t="shared" si="69"/>
        <v>2514.8200000000002</v>
      </c>
      <c r="N120" s="176">
        <f t="shared" si="69"/>
        <v>2463.14</v>
      </c>
      <c r="O120" s="176">
        <f t="shared" si="69"/>
        <v>1504.76</v>
      </c>
      <c r="P120" s="176">
        <f t="shared" si="69"/>
        <v>63.8</v>
      </c>
      <c r="Q120" s="176">
        <f t="shared" si="69"/>
        <v>0</v>
      </c>
      <c r="R120" s="176">
        <f t="shared" si="69"/>
        <v>0</v>
      </c>
      <c r="S120" s="176">
        <f t="shared" si="69"/>
        <v>0</v>
      </c>
      <c r="T120" s="176">
        <f t="shared" si="69"/>
        <v>0</v>
      </c>
      <c r="U120" s="176">
        <f t="shared" si="69"/>
        <v>0</v>
      </c>
      <c r="V120" s="176">
        <f t="shared" si="69"/>
        <v>0</v>
      </c>
      <c r="W120" s="176">
        <f t="shared" si="69"/>
        <v>0</v>
      </c>
      <c r="X120" s="176">
        <f t="shared" si="69"/>
        <v>0</v>
      </c>
      <c r="Y120" s="176">
        <f t="shared" si="69"/>
        <v>0</v>
      </c>
      <c r="Z120" s="176">
        <f t="shared" si="69"/>
        <v>0</v>
      </c>
      <c r="AA120" s="176">
        <f t="shared" si="69"/>
        <v>0</v>
      </c>
      <c r="AB120" s="176">
        <f t="shared" si="69"/>
        <v>0</v>
      </c>
      <c r="AC120" s="176">
        <f t="shared" si="69"/>
        <v>0</v>
      </c>
      <c r="AD120" s="176">
        <f t="shared" si="69"/>
        <v>0</v>
      </c>
      <c r="AE120" s="176">
        <f t="shared" si="69"/>
        <v>0</v>
      </c>
      <c r="AF120" s="176">
        <f t="shared" si="69"/>
        <v>0</v>
      </c>
      <c r="AG120" s="176">
        <f t="shared" si="69"/>
        <v>0</v>
      </c>
      <c r="AH120" s="176">
        <f t="shared" si="69"/>
        <v>0</v>
      </c>
      <c r="AI120" s="176">
        <f t="shared" si="69"/>
        <v>0</v>
      </c>
      <c r="AJ120" s="176">
        <f t="shared" si="69"/>
        <v>0</v>
      </c>
      <c r="AK120" s="176">
        <f t="shared" si="69"/>
        <v>0</v>
      </c>
      <c r="AL120" s="176">
        <f t="shared" si="69"/>
        <v>0</v>
      </c>
    </row>
    <row r="121" spans="1:38" x14ac:dyDescent="0.2">
      <c r="A121" s="568" t="s">
        <v>1001</v>
      </c>
      <c r="B121" s="6"/>
      <c r="C121" s="176">
        <f t="shared" ref="C121:AL121" si="70">+C31+C76</f>
        <v>2030.34</v>
      </c>
      <c r="D121" s="176">
        <f t="shared" si="70"/>
        <v>1892.8699999999997</v>
      </c>
      <c r="E121" s="176">
        <f t="shared" si="70"/>
        <v>559.61</v>
      </c>
      <c r="F121" s="176">
        <f t="shared" si="70"/>
        <v>325</v>
      </c>
      <c r="G121" s="176">
        <f t="shared" si="70"/>
        <v>2104</v>
      </c>
      <c r="H121" s="176">
        <f t="shared" si="70"/>
        <v>200</v>
      </c>
      <c r="I121" s="176">
        <f t="shared" si="70"/>
        <v>1077.5999999999999</v>
      </c>
      <c r="J121" s="176">
        <f t="shared" si="70"/>
        <v>1691.2200000000003</v>
      </c>
      <c r="K121" s="176">
        <f t="shared" si="70"/>
        <v>519.32999999999993</v>
      </c>
      <c r="L121" s="176">
        <f t="shared" si="70"/>
        <v>505.29</v>
      </c>
      <c r="M121" s="176">
        <f t="shared" si="70"/>
        <v>0</v>
      </c>
      <c r="N121" s="176">
        <f t="shared" si="70"/>
        <v>680.06000000000006</v>
      </c>
      <c r="O121" s="176">
        <f t="shared" si="70"/>
        <v>155.28</v>
      </c>
      <c r="P121" s="176">
        <f t="shared" si="70"/>
        <v>0</v>
      </c>
      <c r="Q121" s="176">
        <f t="shared" si="70"/>
        <v>0</v>
      </c>
      <c r="R121" s="176">
        <f t="shared" si="70"/>
        <v>0</v>
      </c>
      <c r="S121" s="176">
        <f t="shared" si="70"/>
        <v>0</v>
      </c>
      <c r="T121" s="176">
        <f t="shared" si="70"/>
        <v>0</v>
      </c>
      <c r="U121" s="176">
        <f t="shared" si="70"/>
        <v>0</v>
      </c>
      <c r="V121" s="176">
        <f t="shared" si="70"/>
        <v>0</v>
      </c>
      <c r="W121" s="176">
        <f t="shared" si="70"/>
        <v>0</v>
      </c>
      <c r="X121" s="176">
        <f t="shared" si="70"/>
        <v>0</v>
      </c>
      <c r="Y121" s="176">
        <f t="shared" si="70"/>
        <v>0</v>
      </c>
      <c r="Z121" s="176">
        <f t="shared" si="70"/>
        <v>0</v>
      </c>
      <c r="AA121" s="176">
        <f t="shared" si="70"/>
        <v>0</v>
      </c>
      <c r="AB121" s="176">
        <f t="shared" si="70"/>
        <v>0</v>
      </c>
      <c r="AC121" s="176">
        <f t="shared" si="70"/>
        <v>0</v>
      </c>
      <c r="AD121" s="176">
        <f t="shared" si="70"/>
        <v>0</v>
      </c>
      <c r="AE121" s="176">
        <f t="shared" si="70"/>
        <v>0</v>
      </c>
      <c r="AF121" s="176">
        <f t="shared" si="70"/>
        <v>0</v>
      </c>
      <c r="AG121" s="176">
        <f t="shared" si="70"/>
        <v>0</v>
      </c>
      <c r="AH121" s="176">
        <f t="shared" si="70"/>
        <v>0</v>
      </c>
      <c r="AI121" s="176">
        <f t="shared" si="70"/>
        <v>0</v>
      </c>
      <c r="AJ121" s="176">
        <f t="shared" si="70"/>
        <v>0</v>
      </c>
      <c r="AK121" s="176">
        <f t="shared" si="70"/>
        <v>0</v>
      </c>
      <c r="AL121" s="176">
        <f t="shared" si="70"/>
        <v>0</v>
      </c>
    </row>
    <row r="122" spans="1:38" x14ac:dyDescent="0.2">
      <c r="A122" s="568" t="s">
        <v>1043</v>
      </c>
      <c r="B122" s="6"/>
      <c r="C122" s="176">
        <f t="shared" ref="C122:AL122" si="71">+C32+C77</f>
        <v>111.62</v>
      </c>
      <c r="D122" s="176">
        <f t="shared" si="71"/>
        <v>700.23</v>
      </c>
      <c r="E122" s="176">
        <f t="shared" si="71"/>
        <v>196.5</v>
      </c>
      <c r="F122" s="176">
        <f t="shared" si="71"/>
        <v>100</v>
      </c>
      <c r="G122" s="176">
        <f t="shared" si="71"/>
        <v>2266.13</v>
      </c>
      <c r="H122" s="176">
        <f t="shared" si="71"/>
        <v>11.18</v>
      </c>
      <c r="I122" s="176">
        <f t="shared" si="71"/>
        <v>982.1099999999999</v>
      </c>
      <c r="J122" s="176">
        <f t="shared" si="71"/>
        <v>1292.28</v>
      </c>
      <c r="K122" s="176">
        <f t="shared" si="71"/>
        <v>0</v>
      </c>
      <c r="L122" s="176">
        <f t="shared" si="71"/>
        <v>1780.88</v>
      </c>
      <c r="M122" s="176">
        <f t="shared" si="71"/>
        <v>1074.72</v>
      </c>
      <c r="N122" s="176">
        <f t="shared" si="71"/>
        <v>196.93</v>
      </c>
      <c r="O122" s="176">
        <f t="shared" si="71"/>
        <v>0</v>
      </c>
      <c r="P122" s="176">
        <f t="shared" si="71"/>
        <v>0</v>
      </c>
      <c r="Q122" s="176">
        <f t="shared" si="71"/>
        <v>0</v>
      </c>
      <c r="R122" s="176">
        <f t="shared" si="71"/>
        <v>0</v>
      </c>
      <c r="S122" s="176">
        <f t="shared" si="71"/>
        <v>0</v>
      </c>
      <c r="T122" s="176">
        <f t="shared" si="71"/>
        <v>0</v>
      </c>
      <c r="U122" s="176">
        <f t="shared" si="71"/>
        <v>0</v>
      </c>
      <c r="V122" s="176">
        <f t="shared" si="71"/>
        <v>0</v>
      </c>
      <c r="W122" s="176">
        <f t="shared" si="71"/>
        <v>0</v>
      </c>
      <c r="X122" s="176">
        <f t="shared" si="71"/>
        <v>0</v>
      </c>
      <c r="Y122" s="176">
        <f t="shared" si="71"/>
        <v>0</v>
      </c>
      <c r="Z122" s="176">
        <f t="shared" si="71"/>
        <v>0</v>
      </c>
      <c r="AA122" s="176">
        <f t="shared" si="71"/>
        <v>0</v>
      </c>
      <c r="AB122" s="176">
        <f t="shared" si="71"/>
        <v>0</v>
      </c>
      <c r="AC122" s="176">
        <f t="shared" si="71"/>
        <v>0</v>
      </c>
      <c r="AD122" s="176">
        <f t="shared" si="71"/>
        <v>0</v>
      </c>
      <c r="AE122" s="176">
        <f t="shared" si="71"/>
        <v>0</v>
      </c>
      <c r="AF122" s="176">
        <f t="shared" si="71"/>
        <v>0</v>
      </c>
      <c r="AG122" s="176">
        <f t="shared" si="71"/>
        <v>0</v>
      </c>
      <c r="AH122" s="176">
        <f t="shared" si="71"/>
        <v>0</v>
      </c>
      <c r="AI122" s="176">
        <f t="shared" si="71"/>
        <v>0</v>
      </c>
      <c r="AJ122" s="176">
        <f t="shared" si="71"/>
        <v>0</v>
      </c>
      <c r="AK122" s="176">
        <f t="shared" si="71"/>
        <v>0</v>
      </c>
      <c r="AL122" s="176">
        <f t="shared" si="71"/>
        <v>0</v>
      </c>
    </row>
    <row r="123" spans="1:38" x14ac:dyDescent="0.2">
      <c r="A123" s="568" t="s">
        <v>1044</v>
      </c>
      <c r="B123" s="6"/>
      <c r="C123" s="176">
        <f t="shared" ref="C123:AL123" si="72">+C33+C78</f>
        <v>7579.7400000000007</v>
      </c>
      <c r="D123" s="176">
        <f t="shared" si="72"/>
        <v>0</v>
      </c>
      <c r="E123" s="176">
        <f t="shared" si="72"/>
        <v>261.60000000000002</v>
      </c>
      <c r="F123" s="176">
        <f t="shared" si="72"/>
        <v>60</v>
      </c>
      <c r="G123" s="176">
        <f t="shared" si="72"/>
        <v>1399.81</v>
      </c>
      <c r="H123" s="176">
        <f t="shared" si="72"/>
        <v>892.43999999999994</v>
      </c>
      <c r="I123" s="176">
        <f t="shared" si="72"/>
        <v>665.73</v>
      </c>
      <c r="J123" s="176">
        <f t="shared" si="72"/>
        <v>0</v>
      </c>
      <c r="K123" s="176">
        <f t="shared" si="72"/>
        <v>325.31</v>
      </c>
      <c r="L123" s="176">
        <f t="shared" si="72"/>
        <v>304.06</v>
      </c>
      <c r="M123" s="176">
        <f t="shared" si="72"/>
        <v>0</v>
      </c>
      <c r="N123" s="176">
        <f t="shared" si="72"/>
        <v>0</v>
      </c>
      <c r="O123" s="176">
        <f t="shared" si="72"/>
        <v>0</v>
      </c>
      <c r="P123" s="176">
        <f t="shared" si="72"/>
        <v>0</v>
      </c>
      <c r="Q123" s="176">
        <f t="shared" si="72"/>
        <v>0</v>
      </c>
      <c r="R123" s="176">
        <f t="shared" si="72"/>
        <v>0</v>
      </c>
      <c r="S123" s="176">
        <f t="shared" si="72"/>
        <v>0</v>
      </c>
      <c r="T123" s="176">
        <f t="shared" si="72"/>
        <v>0</v>
      </c>
      <c r="U123" s="176">
        <f t="shared" si="72"/>
        <v>0</v>
      </c>
      <c r="V123" s="176">
        <f t="shared" si="72"/>
        <v>0</v>
      </c>
      <c r="W123" s="176">
        <f t="shared" si="72"/>
        <v>0</v>
      </c>
      <c r="X123" s="176">
        <f t="shared" si="72"/>
        <v>0</v>
      </c>
      <c r="Y123" s="176">
        <f t="shared" si="72"/>
        <v>0</v>
      </c>
      <c r="Z123" s="176">
        <f t="shared" si="72"/>
        <v>0</v>
      </c>
      <c r="AA123" s="176">
        <f t="shared" si="72"/>
        <v>0</v>
      </c>
      <c r="AB123" s="176">
        <f t="shared" si="72"/>
        <v>0</v>
      </c>
      <c r="AC123" s="176">
        <f t="shared" si="72"/>
        <v>0</v>
      </c>
      <c r="AD123" s="176">
        <f t="shared" si="72"/>
        <v>0</v>
      </c>
      <c r="AE123" s="176">
        <f t="shared" si="72"/>
        <v>0</v>
      </c>
      <c r="AF123" s="176">
        <f t="shared" si="72"/>
        <v>0</v>
      </c>
      <c r="AG123" s="176">
        <f t="shared" si="72"/>
        <v>0</v>
      </c>
      <c r="AH123" s="176">
        <f t="shared" si="72"/>
        <v>0</v>
      </c>
      <c r="AI123" s="176">
        <f t="shared" si="72"/>
        <v>0</v>
      </c>
      <c r="AJ123" s="176">
        <f t="shared" si="72"/>
        <v>0</v>
      </c>
      <c r="AK123" s="176">
        <f t="shared" si="72"/>
        <v>0</v>
      </c>
      <c r="AL123" s="176">
        <f t="shared" si="72"/>
        <v>0</v>
      </c>
    </row>
    <row r="124" spans="1:38" x14ac:dyDescent="0.2">
      <c r="A124" s="568" t="s">
        <v>1045</v>
      </c>
      <c r="B124" s="6"/>
      <c r="C124" s="176">
        <f t="shared" ref="C124:AL124" si="73">+C34+C79</f>
        <v>0</v>
      </c>
      <c r="D124" s="176">
        <f t="shared" si="73"/>
        <v>40</v>
      </c>
      <c r="E124" s="176">
        <f t="shared" si="73"/>
        <v>4187.8999999999996</v>
      </c>
      <c r="F124" s="176">
        <f t="shared" si="73"/>
        <v>832.27</v>
      </c>
      <c r="G124" s="176">
        <f t="shared" si="73"/>
        <v>739.43999999999994</v>
      </c>
      <c r="H124" s="176">
        <f t="shared" si="73"/>
        <v>1897.44</v>
      </c>
      <c r="I124" s="176">
        <f t="shared" si="73"/>
        <v>0</v>
      </c>
      <c r="J124" s="176">
        <f t="shared" si="73"/>
        <v>-1459.27</v>
      </c>
      <c r="K124" s="176">
        <f t="shared" si="73"/>
        <v>895.31999999999994</v>
      </c>
      <c r="L124" s="176">
        <f t="shared" si="73"/>
        <v>0</v>
      </c>
      <c r="M124" s="176">
        <f t="shared" si="73"/>
        <v>0</v>
      </c>
      <c r="N124" s="176">
        <f t="shared" si="73"/>
        <v>0</v>
      </c>
      <c r="O124" s="176">
        <f t="shared" si="73"/>
        <v>0</v>
      </c>
      <c r="P124" s="176">
        <f t="shared" si="73"/>
        <v>0</v>
      </c>
      <c r="Q124" s="176">
        <f t="shared" si="73"/>
        <v>0</v>
      </c>
      <c r="R124" s="176">
        <f t="shared" si="73"/>
        <v>0</v>
      </c>
      <c r="S124" s="176">
        <f t="shared" si="73"/>
        <v>0</v>
      </c>
      <c r="T124" s="176">
        <f t="shared" si="73"/>
        <v>0</v>
      </c>
      <c r="U124" s="176">
        <f t="shared" si="73"/>
        <v>0</v>
      </c>
      <c r="V124" s="176">
        <f t="shared" si="73"/>
        <v>0</v>
      </c>
      <c r="W124" s="176">
        <f t="shared" si="73"/>
        <v>0</v>
      </c>
      <c r="X124" s="176">
        <f t="shared" si="73"/>
        <v>0</v>
      </c>
      <c r="Y124" s="176">
        <f t="shared" si="73"/>
        <v>0</v>
      </c>
      <c r="Z124" s="176">
        <f t="shared" si="73"/>
        <v>0</v>
      </c>
      <c r="AA124" s="176">
        <f t="shared" si="73"/>
        <v>0</v>
      </c>
      <c r="AB124" s="176">
        <f t="shared" si="73"/>
        <v>0</v>
      </c>
      <c r="AC124" s="176">
        <f t="shared" si="73"/>
        <v>0</v>
      </c>
      <c r="AD124" s="176">
        <f t="shared" si="73"/>
        <v>0</v>
      </c>
      <c r="AE124" s="176">
        <f t="shared" si="73"/>
        <v>0</v>
      </c>
      <c r="AF124" s="176">
        <f t="shared" si="73"/>
        <v>0</v>
      </c>
      <c r="AG124" s="176">
        <f t="shared" si="73"/>
        <v>0</v>
      </c>
      <c r="AH124" s="176">
        <f t="shared" si="73"/>
        <v>0</v>
      </c>
      <c r="AI124" s="176">
        <f t="shared" si="73"/>
        <v>0</v>
      </c>
      <c r="AJ124" s="176">
        <f t="shared" si="73"/>
        <v>0</v>
      </c>
      <c r="AK124" s="176">
        <f t="shared" si="73"/>
        <v>0</v>
      </c>
      <c r="AL124" s="176">
        <f t="shared" si="73"/>
        <v>0</v>
      </c>
    </row>
    <row r="125" spans="1:38" x14ac:dyDescent="0.2">
      <c r="A125" s="568" t="s">
        <v>1046</v>
      </c>
      <c r="B125" s="6"/>
      <c r="C125" s="176">
        <f t="shared" ref="C125:AL125" si="74">+C35+C80</f>
        <v>0</v>
      </c>
      <c r="D125" s="176">
        <f t="shared" si="74"/>
        <v>484.66</v>
      </c>
      <c r="E125" s="176">
        <f t="shared" si="74"/>
        <v>162.55000000000001</v>
      </c>
      <c r="F125" s="176">
        <f t="shared" si="74"/>
        <v>277.64</v>
      </c>
      <c r="G125" s="176">
        <f t="shared" si="74"/>
        <v>1345.54</v>
      </c>
      <c r="H125" s="176">
        <f t="shared" si="74"/>
        <v>0</v>
      </c>
      <c r="I125" s="176">
        <f t="shared" si="74"/>
        <v>-2793.31</v>
      </c>
      <c r="J125" s="176">
        <f t="shared" si="74"/>
        <v>2332.7799999999997</v>
      </c>
      <c r="K125" s="176">
        <f t="shared" si="74"/>
        <v>0</v>
      </c>
      <c r="L125" s="176">
        <f t="shared" si="74"/>
        <v>0</v>
      </c>
      <c r="M125" s="176">
        <f t="shared" si="74"/>
        <v>0</v>
      </c>
      <c r="N125" s="176">
        <f t="shared" si="74"/>
        <v>0</v>
      </c>
      <c r="O125" s="176">
        <f t="shared" si="74"/>
        <v>0</v>
      </c>
      <c r="P125" s="176">
        <f t="shared" si="74"/>
        <v>0</v>
      </c>
      <c r="Q125" s="176">
        <f t="shared" si="74"/>
        <v>0</v>
      </c>
      <c r="R125" s="176">
        <f t="shared" si="74"/>
        <v>0</v>
      </c>
      <c r="S125" s="176">
        <f t="shared" si="74"/>
        <v>0</v>
      </c>
      <c r="T125" s="176">
        <f t="shared" si="74"/>
        <v>0</v>
      </c>
      <c r="U125" s="176">
        <f t="shared" si="74"/>
        <v>0</v>
      </c>
      <c r="V125" s="176">
        <f t="shared" si="74"/>
        <v>0</v>
      </c>
      <c r="W125" s="176">
        <f t="shared" si="74"/>
        <v>0</v>
      </c>
      <c r="X125" s="176">
        <f t="shared" si="74"/>
        <v>0</v>
      </c>
      <c r="Y125" s="176">
        <f t="shared" si="74"/>
        <v>0</v>
      </c>
      <c r="Z125" s="176">
        <f t="shared" si="74"/>
        <v>0</v>
      </c>
      <c r="AA125" s="176">
        <f t="shared" si="74"/>
        <v>0</v>
      </c>
      <c r="AB125" s="176">
        <f t="shared" si="74"/>
        <v>0</v>
      </c>
      <c r="AC125" s="176">
        <f t="shared" si="74"/>
        <v>0</v>
      </c>
      <c r="AD125" s="176">
        <f t="shared" si="74"/>
        <v>0</v>
      </c>
      <c r="AE125" s="176">
        <f t="shared" si="74"/>
        <v>0</v>
      </c>
      <c r="AF125" s="176">
        <f t="shared" si="74"/>
        <v>0</v>
      </c>
      <c r="AG125" s="176">
        <f t="shared" si="74"/>
        <v>0</v>
      </c>
      <c r="AH125" s="176">
        <f t="shared" si="74"/>
        <v>0</v>
      </c>
      <c r="AI125" s="176">
        <f t="shared" si="74"/>
        <v>0</v>
      </c>
      <c r="AJ125" s="176">
        <f t="shared" si="74"/>
        <v>0</v>
      </c>
      <c r="AK125" s="176">
        <f t="shared" si="74"/>
        <v>0</v>
      </c>
      <c r="AL125" s="176">
        <f t="shared" si="74"/>
        <v>0</v>
      </c>
    </row>
    <row r="126" spans="1:38" x14ac:dyDescent="0.2">
      <c r="A126" s="568" t="s">
        <v>1047</v>
      </c>
      <c r="B126" s="6"/>
      <c r="C126" s="176">
        <f t="shared" ref="C126:AL126" si="75">+C36+C81</f>
        <v>478.61</v>
      </c>
      <c r="D126" s="176">
        <f t="shared" si="75"/>
        <v>11210.26</v>
      </c>
      <c r="E126" s="176">
        <f t="shared" si="75"/>
        <v>246.92</v>
      </c>
      <c r="F126" s="176">
        <f t="shared" si="75"/>
        <v>742.63</v>
      </c>
      <c r="G126" s="176">
        <f t="shared" si="75"/>
        <v>0</v>
      </c>
      <c r="H126" s="176">
        <f t="shared" si="75"/>
        <v>0</v>
      </c>
      <c r="I126" s="176">
        <f t="shared" si="75"/>
        <v>1309.46</v>
      </c>
      <c r="J126" s="176">
        <f t="shared" si="75"/>
        <v>219.96</v>
      </c>
      <c r="K126" s="176">
        <f t="shared" si="75"/>
        <v>0</v>
      </c>
      <c r="L126" s="176">
        <f t="shared" si="75"/>
        <v>0</v>
      </c>
      <c r="M126" s="176">
        <f t="shared" si="75"/>
        <v>0</v>
      </c>
      <c r="N126" s="176">
        <f t="shared" si="75"/>
        <v>0</v>
      </c>
      <c r="O126" s="176">
        <f t="shared" si="75"/>
        <v>0</v>
      </c>
      <c r="P126" s="176">
        <f t="shared" si="75"/>
        <v>0</v>
      </c>
      <c r="Q126" s="176">
        <f t="shared" si="75"/>
        <v>0</v>
      </c>
      <c r="R126" s="176">
        <f t="shared" si="75"/>
        <v>0</v>
      </c>
      <c r="S126" s="176">
        <f t="shared" si="75"/>
        <v>0</v>
      </c>
      <c r="T126" s="176">
        <f t="shared" si="75"/>
        <v>0</v>
      </c>
      <c r="U126" s="176">
        <f t="shared" si="75"/>
        <v>0</v>
      </c>
      <c r="V126" s="176">
        <f t="shared" si="75"/>
        <v>0</v>
      </c>
      <c r="W126" s="176">
        <f t="shared" si="75"/>
        <v>0</v>
      </c>
      <c r="X126" s="176">
        <f t="shared" si="75"/>
        <v>0</v>
      </c>
      <c r="Y126" s="176">
        <f t="shared" si="75"/>
        <v>0</v>
      </c>
      <c r="Z126" s="176">
        <f t="shared" si="75"/>
        <v>0</v>
      </c>
      <c r="AA126" s="176">
        <f t="shared" si="75"/>
        <v>0</v>
      </c>
      <c r="AB126" s="176">
        <f t="shared" si="75"/>
        <v>0</v>
      </c>
      <c r="AC126" s="176">
        <f t="shared" si="75"/>
        <v>0</v>
      </c>
      <c r="AD126" s="176">
        <f t="shared" si="75"/>
        <v>0</v>
      </c>
      <c r="AE126" s="176">
        <f t="shared" si="75"/>
        <v>0</v>
      </c>
      <c r="AF126" s="176">
        <f t="shared" si="75"/>
        <v>0</v>
      </c>
      <c r="AG126" s="176">
        <f t="shared" si="75"/>
        <v>0</v>
      </c>
      <c r="AH126" s="176">
        <f t="shared" si="75"/>
        <v>0</v>
      </c>
      <c r="AI126" s="176">
        <f t="shared" si="75"/>
        <v>0</v>
      </c>
      <c r="AJ126" s="176">
        <f t="shared" si="75"/>
        <v>0</v>
      </c>
      <c r="AK126" s="176">
        <f t="shared" si="75"/>
        <v>0</v>
      </c>
      <c r="AL126" s="176">
        <f t="shared" si="75"/>
        <v>0</v>
      </c>
    </row>
    <row r="127" spans="1:38" x14ac:dyDescent="0.2">
      <c r="A127" s="568" t="s">
        <v>1048</v>
      </c>
      <c r="B127" s="6"/>
      <c r="C127" s="176">
        <f t="shared" ref="C127:AL127" si="76">+C37+C82</f>
        <v>1231.2</v>
      </c>
      <c r="D127" s="176">
        <f t="shared" si="76"/>
        <v>578.97</v>
      </c>
      <c r="E127" s="176">
        <f t="shared" si="76"/>
        <v>1435.75</v>
      </c>
      <c r="F127" s="176">
        <f t="shared" si="76"/>
        <v>149.79</v>
      </c>
      <c r="G127" s="176">
        <f t="shared" si="76"/>
        <v>87.07</v>
      </c>
      <c r="H127" s="176">
        <f t="shared" si="76"/>
        <v>1820.08</v>
      </c>
      <c r="I127" s="176">
        <f t="shared" si="76"/>
        <v>0</v>
      </c>
      <c r="J127" s="176">
        <f t="shared" si="76"/>
        <v>0</v>
      </c>
      <c r="K127" s="176">
        <f t="shared" si="76"/>
        <v>0</v>
      </c>
      <c r="L127" s="176">
        <f t="shared" si="76"/>
        <v>0</v>
      </c>
      <c r="M127" s="176">
        <f t="shared" si="76"/>
        <v>0</v>
      </c>
      <c r="N127" s="176">
        <f t="shared" si="76"/>
        <v>0</v>
      </c>
      <c r="O127" s="176">
        <f t="shared" si="76"/>
        <v>0</v>
      </c>
      <c r="P127" s="176">
        <f t="shared" si="76"/>
        <v>0</v>
      </c>
      <c r="Q127" s="176">
        <f t="shared" si="76"/>
        <v>0</v>
      </c>
      <c r="R127" s="176">
        <f t="shared" si="76"/>
        <v>0</v>
      </c>
      <c r="S127" s="176">
        <f t="shared" si="76"/>
        <v>0</v>
      </c>
      <c r="T127" s="176">
        <f t="shared" si="76"/>
        <v>0</v>
      </c>
      <c r="U127" s="176">
        <f t="shared" si="76"/>
        <v>0</v>
      </c>
      <c r="V127" s="176">
        <f t="shared" si="76"/>
        <v>0</v>
      </c>
      <c r="W127" s="176">
        <f t="shared" si="76"/>
        <v>0</v>
      </c>
      <c r="X127" s="176">
        <f t="shared" si="76"/>
        <v>0</v>
      </c>
      <c r="Y127" s="176">
        <f t="shared" si="76"/>
        <v>0</v>
      </c>
      <c r="Z127" s="176">
        <f t="shared" si="76"/>
        <v>0</v>
      </c>
      <c r="AA127" s="176">
        <f t="shared" si="76"/>
        <v>0</v>
      </c>
      <c r="AB127" s="176">
        <f t="shared" si="76"/>
        <v>0</v>
      </c>
      <c r="AC127" s="176">
        <f t="shared" si="76"/>
        <v>0</v>
      </c>
      <c r="AD127" s="176">
        <f t="shared" si="76"/>
        <v>0</v>
      </c>
      <c r="AE127" s="176">
        <f t="shared" si="76"/>
        <v>0</v>
      </c>
      <c r="AF127" s="176">
        <f t="shared" si="76"/>
        <v>0</v>
      </c>
      <c r="AG127" s="176">
        <f t="shared" si="76"/>
        <v>0</v>
      </c>
      <c r="AH127" s="176">
        <f t="shared" si="76"/>
        <v>0</v>
      </c>
      <c r="AI127" s="176">
        <f t="shared" si="76"/>
        <v>0</v>
      </c>
      <c r="AJ127" s="176">
        <f t="shared" si="76"/>
        <v>0</v>
      </c>
      <c r="AK127" s="176">
        <f t="shared" si="76"/>
        <v>0</v>
      </c>
      <c r="AL127" s="176">
        <f t="shared" si="76"/>
        <v>0</v>
      </c>
    </row>
    <row r="128" spans="1:38" x14ac:dyDescent="0.2">
      <c r="A128" s="568" t="s">
        <v>1049</v>
      </c>
      <c r="B128" s="6"/>
      <c r="C128" s="176">
        <f t="shared" ref="C128:AL128" si="77">+C38+C83</f>
        <v>516.38</v>
      </c>
      <c r="D128" s="176">
        <f t="shared" si="77"/>
        <v>909.68000000000006</v>
      </c>
      <c r="E128" s="176">
        <f t="shared" si="77"/>
        <v>0</v>
      </c>
      <c r="F128" s="176">
        <f t="shared" si="77"/>
        <v>375.37000000000006</v>
      </c>
      <c r="G128" s="176">
        <f t="shared" si="77"/>
        <v>2215.5499999999997</v>
      </c>
      <c r="H128" s="176">
        <f t="shared" si="77"/>
        <v>0</v>
      </c>
      <c r="I128" s="176">
        <f t="shared" si="77"/>
        <v>0</v>
      </c>
      <c r="J128" s="176">
        <f t="shared" si="77"/>
        <v>0</v>
      </c>
      <c r="K128" s="176">
        <f t="shared" si="77"/>
        <v>0</v>
      </c>
      <c r="L128" s="176">
        <f t="shared" si="77"/>
        <v>0</v>
      </c>
      <c r="M128" s="176">
        <f t="shared" si="77"/>
        <v>0</v>
      </c>
      <c r="N128" s="176">
        <f t="shared" si="77"/>
        <v>0</v>
      </c>
      <c r="O128" s="176">
        <f t="shared" si="77"/>
        <v>0</v>
      </c>
      <c r="P128" s="176">
        <f t="shared" si="77"/>
        <v>0</v>
      </c>
      <c r="Q128" s="176">
        <f t="shared" si="77"/>
        <v>0</v>
      </c>
      <c r="R128" s="176">
        <f t="shared" si="77"/>
        <v>0</v>
      </c>
      <c r="S128" s="176">
        <f t="shared" si="77"/>
        <v>0</v>
      </c>
      <c r="T128" s="176">
        <f t="shared" si="77"/>
        <v>0</v>
      </c>
      <c r="U128" s="176">
        <f t="shared" si="77"/>
        <v>0</v>
      </c>
      <c r="V128" s="176">
        <f t="shared" si="77"/>
        <v>0</v>
      </c>
      <c r="W128" s="176">
        <f t="shared" si="77"/>
        <v>0</v>
      </c>
      <c r="X128" s="176">
        <f t="shared" si="77"/>
        <v>0</v>
      </c>
      <c r="Y128" s="176">
        <f t="shared" si="77"/>
        <v>0</v>
      </c>
      <c r="Z128" s="176">
        <f t="shared" si="77"/>
        <v>0</v>
      </c>
      <c r="AA128" s="176">
        <f t="shared" si="77"/>
        <v>0</v>
      </c>
      <c r="AB128" s="176">
        <f t="shared" si="77"/>
        <v>0</v>
      </c>
      <c r="AC128" s="176">
        <f t="shared" si="77"/>
        <v>0</v>
      </c>
      <c r="AD128" s="176">
        <f t="shared" si="77"/>
        <v>0</v>
      </c>
      <c r="AE128" s="176">
        <f t="shared" si="77"/>
        <v>0</v>
      </c>
      <c r="AF128" s="176">
        <f t="shared" si="77"/>
        <v>0</v>
      </c>
      <c r="AG128" s="176">
        <f t="shared" si="77"/>
        <v>0</v>
      </c>
      <c r="AH128" s="176">
        <f t="shared" si="77"/>
        <v>0</v>
      </c>
      <c r="AI128" s="176">
        <f t="shared" si="77"/>
        <v>0</v>
      </c>
      <c r="AJ128" s="176">
        <f t="shared" si="77"/>
        <v>0</v>
      </c>
      <c r="AK128" s="176">
        <f t="shared" si="77"/>
        <v>0</v>
      </c>
      <c r="AL128" s="176">
        <f t="shared" si="77"/>
        <v>0</v>
      </c>
    </row>
    <row r="129" spans="1:46" x14ac:dyDescent="0.2">
      <c r="A129" s="568" t="s">
        <v>1050</v>
      </c>
      <c r="B129" s="6"/>
      <c r="C129" s="176">
        <f t="shared" ref="C129:AL129" si="78">+C39+C84</f>
        <v>0</v>
      </c>
      <c r="D129" s="176">
        <f t="shared" si="78"/>
        <v>-72.5</v>
      </c>
      <c r="E129" s="176">
        <f t="shared" si="78"/>
        <v>494.56</v>
      </c>
      <c r="F129" s="176">
        <f t="shared" si="78"/>
        <v>2970.87</v>
      </c>
      <c r="G129" s="176">
        <f t="shared" si="78"/>
        <v>509.32</v>
      </c>
      <c r="H129" s="176">
        <f t="shared" si="78"/>
        <v>0</v>
      </c>
      <c r="I129" s="176">
        <f t="shared" si="78"/>
        <v>0</v>
      </c>
      <c r="J129" s="176">
        <f t="shared" si="78"/>
        <v>0</v>
      </c>
      <c r="K129" s="176">
        <f t="shared" si="78"/>
        <v>0</v>
      </c>
      <c r="L129" s="176">
        <f t="shared" si="78"/>
        <v>0</v>
      </c>
      <c r="M129" s="176">
        <f t="shared" si="78"/>
        <v>0</v>
      </c>
      <c r="N129" s="176">
        <f t="shared" si="78"/>
        <v>0</v>
      </c>
      <c r="O129" s="176">
        <f t="shared" si="78"/>
        <v>0</v>
      </c>
      <c r="P129" s="176">
        <f t="shared" si="78"/>
        <v>0</v>
      </c>
      <c r="Q129" s="176">
        <f t="shared" si="78"/>
        <v>0</v>
      </c>
      <c r="R129" s="176">
        <f t="shared" si="78"/>
        <v>0</v>
      </c>
      <c r="S129" s="176">
        <f t="shared" si="78"/>
        <v>0</v>
      </c>
      <c r="T129" s="176">
        <f t="shared" si="78"/>
        <v>0</v>
      </c>
      <c r="U129" s="176">
        <f t="shared" si="78"/>
        <v>0</v>
      </c>
      <c r="V129" s="176">
        <f t="shared" si="78"/>
        <v>0</v>
      </c>
      <c r="W129" s="176">
        <f t="shared" si="78"/>
        <v>0</v>
      </c>
      <c r="X129" s="176">
        <f t="shared" si="78"/>
        <v>0</v>
      </c>
      <c r="Y129" s="176">
        <f t="shared" si="78"/>
        <v>0</v>
      </c>
      <c r="Z129" s="176">
        <f t="shared" si="78"/>
        <v>0</v>
      </c>
      <c r="AA129" s="176">
        <f t="shared" si="78"/>
        <v>0</v>
      </c>
      <c r="AB129" s="176">
        <f t="shared" si="78"/>
        <v>0</v>
      </c>
      <c r="AC129" s="176">
        <f t="shared" si="78"/>
        <v>0</v>
      </c>
      <c r="AD129" s="176">
        <f t="shared" si="78"/>
        <v>0</v>
      </c>
      <c r="AE129" s="176">
        <f t="shared" si="78"/>
        <v>0</v>
      </c>
      <c r="AF129" s="176">
        <f t="shared" si="78"/>
        <v>0</v>
      </c>
      <c r="AG129" s="176">
        <f t="shared" si="78"/>
        <v>0</v>
      </c>
      <c r="AH129" s="176">
        <f t="shared" si="78"/>
        <v>0</v>
      </c>
      <c r="AI129" s="176">
        <f t="shared" si="78"/>
        <v>0</v>
      </c>
      <c r="AJ129" s="176">
        <f t="shared" si="78"/>
        <v>0</v>
      </c>
      <c r="AK129" s="176">
        <f t="shared" si="78"/>
        <v>0</v>
      </c>
      <c r="AL129" s="176">
        <f t="shared" si="78"/>
        <v>0</v>
      </c>
    </row>
    <row r="130" spans="1:46" x14ac:dyDescent="0.2">
      <c r="A130" s="568" t="s">
        <v>1051</v>
      </c>
      <c r="B130" s="6"/>
      <c r="C130" s="176">
        <f t="shared" ref="C130:AL130" si="79">+C40+C85</f>
        <v>0</v>
      </c>
      <c r="D130" s="176">
        <f t="shared" si="79"/>
        <v>690.4</v>
      </c>
      <c r="E130" s="176">
        <f t="shared" si="79"/>
        <v>3656.11</v>
      </c>
      <c r="F130" s="176">
        <f t="shared" si="79"/>
        <v>224.55</v>
      </c>
      <c r="G130" s="176">
        <f t="shared" si="79"/>
        <v>0</v>
      </c>
      <c r="H130" s="176">
        <f t="shared" si="79"/>
        <v>0</v>
      </c>
      <c r="I130" s="176">
        <f t="shared" si="79"/>
        <v>0</v>
      </c>
      <c r="J130" s="176">
        <f t="shared" si="79"/>
        <v>0</v>
      </c>
      <c r="K130" s="176">
        <f t="shared" si="79"/>
        <v>0</v>
      </c>
      <c r="L130" s="176">
        <f t="shared" si="79"/>
        <v>0</v>
      </c>
      <c r="M130" s="176">
        <f t="shared" si="79"/>
        <v>0</v>
      </c>
      <c r="N130" s="176">
        <f t="shared" si="79"/>
        <v>0</v>
      </c>
      <c r="O130" s="176">
        <f t="shared" si="79"/>
        <v>0</v>
      </c>
      <c r="P130" s="176">
        <f t="shared" si="79"/>
        <v>0</v>
      </c>
      <c r="Q130" s="176">
        <f t="shared" si="79"/>
        <v>0</v>
      </c>
      <c r="R130" s="176">
        <f t="shared" si="79"/>
        <v>0</v>
      </c>
      <c r="S130" s="176">
        <f t="shared" si="79"/>
        <v>0</v>
      </c>
      <c r="T130" s="176">
        <f t="shared" si="79"/>
        <v>0</v>
      </c>
      <c r="U130" s="176">
        <f t="shared" si="79"/>
        <v>0</v>
      </c>
      <c r="V130" s="176">
        <f t="shared" si="79"/>
        <v>0</v>
      </c>
      <c r="W130" s="176">
        <f t="shared" si="79"/>
        <v>0</v>
      </c>
      <c r="X130" s="176">
        <f t="shared" si="79"/>
        <v>0</v>
      </c>
      <c r="Y130" s="176">
        <f t="shared" si="79"/>
        <v>0</v>
      </c>
      <c r="Z130" s="176">
        <f t="shared" si="79"/>
        <v>0</v>
      </c>
      <c r="AA130" s="176">
        <f t="shared" si="79"/>
        <v>0</v>
      </c>
      <c r="AB130" s="176">
        <f t="shared" si="79"/>
        <v>0</v>
      </c>
      <c r="AC130" s="176">
        <f t="shared" si="79"/>
        <v>0</v>
      </c>
      <c r="AD130" s="176">
        <f t="shared" si="79"/>
        <v>0</v>
      </c>
      <c r="AE130" s="176">
        <f t="shared" si="79"/>
        <v>0</v>
      </c>
      <c r="AF130" s="176">
        <f t="shared" si="79"/>
        <v>0</v>
      </c>
      <c r="AG130" s="176">
        <f t="shared" si="79"/>
        <v>0</v>
      </c>
      <c r="AH130" s="176">
        <f t="shared" si="79"/>
        <v>0</v>
      </c>
      <c r="AI130" s="176">
        <f t="shared" si="79"/>
        <v>0</v>
      </c>
      <c r="AJ130" s="176">
        <f t="shared" si="79"/>
        <v>0</v>
      </c>
      <c r="AK130" s="176">
        <f t="shared" si="79"/>
        <v>0</v>
      </c>
      <c r="AL130" s="176">
        <f t="shared" si="79"/>
        <v>0</v>
      </c>
    </row>
    <row r="131" spans="1:46" x14ac:dyDescent="0.2">
      <c r="A131" s="568" t="s">
        <v>1052</v>
      </c>
      <c r="B131" s="6"/>
      <c r="C131" s="176">
        <f t="shared" ref="C131:AL131" si="80">+C41+C86</f>
        <v>400</v>
      </c>
      <c r="D131" s="176">
        <f t="shared" si="80"/>
        <v>705.6</v>
      </c>
      <c r="E131" s="176">
        <f t="shared" si="80"/>
        <v>0</v>
      </c>
      <c r="F131" s="176">
        <f t="shared" si="80"/>
        <v>0</v>
      </c>
      <c r="G131" s="176">
        <f t="shared" si="80"/>
        <v>0</v>
      </c>
      <c r="H131" s="176">
        <f t="shared" si="80"/>
        <v>0</v>
      </c>
      <c r="I131" s="176">
        <f t="shared" si="80"/>
        <v>0</v>
      </c>
      <c r="J131" s="176">
        <f t="shared" si="80"/>
        <v>0</v>
      </c>
      <c r="K131" s="176">
        <f t="shared" si="80"/>
        <v>0</v>
      </c>
      <c r="L131" s="176">
        <f t="shared" si="80"/>
        <v>0</v>
      </c>
      <c r="M131" s="176">
        <f t="shared" si="80"/>
        <v>0</v>
      </c>
      <c r="N131" s="176">
        <f t="shared" si="80"/>
        <v>0</v>
      </c>
      <c r="O131" s="176">
        <f t="shared" si="80"/>
        <v>0</v>
      </c>
      <c r="P131" s="176">
        <f t="shared" si="80"/>
        <v>0</v>
      </c>
      <c r="Q131" s="176">
        <f t="shared" si="80"/>
        <v>0</v>
      </c>
      <c r="R131" s="176">
        <f t="shared" si="80"/>
        <v>0</v>
      </c>
      <c r="S131" s="176">
        <f t="shared" si="80"/>
        <v>0</v>
      </c>
      <c r="T131" s="176">
        <f t="shared" si="80"/>
        <v>0</v>
      </c>
      <c r="U131" s="176">
        <f t="shared" si="80"/>
        <v>0</v>
      </c>
      <c r="V131" s="176">
        <f t="shared" si="80"/>
        <v>0</v>
      </c>
      <c r="W131" s="176">
        <f t="shared" si="80"/>
        <v>0</v>
      </c>
      <c r="X131" s="176">
        <f t="shared" si="80"/>
        <v>0</v>
      </c>
      <c r="Y131" s="176">
        <f t="shared" si="80"/>
        <v>0</v>
      </c>
      <c r="Z131" s="176">
        <f t="shared" si="80"/>
        <v>0</v>
      </c>
      <c r="AA131" s="176">
        <f t="shared" si="80"/>
        <v>0</v>
      </c>
      <c r="AB131" s="176">
        <f t="shared" si="80"/>
        <v>0</v>
      </c>
      <c r="AC131" s="176">
        <f t="shared" si="80"/>
        <v>0</v>
      </c>
      <c r="AD131" s="176">
        <f t="shared" si="80"/>
        <v>0</v>
      </c>
      <c r="AE131" s="176">
        <f t="shared" si="80"/>
        <v>0</v>
      </c>
      <c r="AF131" s="176">
        <f t="shared" si="80"/>
        <v>0</v>
      </c>
      <c r="AG131" s="176">
        <f t="shared" si="80"/>
        <v>0</v>
      </c>
      <c r="AH131" s="176">
        <f t="shared" si="80"/>
        <v>0</v>
      </c>
      <c r="AI131" s="176">
        <f t="shared" si="80"/>
        <v>0</v>
      </c>
      <c r="AJ131" s="176">
        <f t="shared" si="80"/>
        <v>0</v>
      </c>
      <c r="AK131" s="176">
        <f t="shared" si="80"/>
        <v>0</v>
      </c>
      <c r="AL131" s="176">
        <f t="shared" si="80"/>
        <v>0</v>
      </c>
    </row>
    <row r="132" spans="1:46" x14ac:dyDescent="0.2">
      <c r="A132" s="568" t="s">
        <v>1053</v>
      </c>
      <c r="B132" s="6"/>
      <c r="C132" s="176">
        <f t="shared" ref="C132:AL132" si="81">+C42+C87</f>
        <v>177.96</v>
      </c>
      <c r="D132" s="176">
        <f t="shared" si="81"/>
        <v>0</v>
      </c>
      <c r="E132" s="176">
        <f t="shared" si="81"/>
        <v>0</v>
      </c>
      <c r="F132" s="176">
        <f t="shared" si="81"/>
        <v>0</v>
      </c>
      <c r="G132" s="176">
        <f t="shared" si="81"/>
        <v>0</v>
      </c>
      <c r="H132" s="176">
        <f t="shared" si="81"/>
        <v>0</v>
      </c>
      <c r="I132" s="176">
        <f t="shared" si="81"/>
        <v>0</v>
      </c>
      <c r="J132" s="176">
        <f t="shared" si="81"/>
        <v>0</v>
      </c>
      <c r="K132" s="176">
        <f t="shared" si="81"/>
        <v>0</v>
      </c>
      <c r="L132" s="176">
        <f t="shared" si="81"/>
        <v>0</v>
      </c>
      <c r="M132" s="176">
        <f t="shared" si="81"/>
        <v>0</v>
      </c>
      <c r="N132" s="176">
        <f t="shared" si="81"/>
        <v>0</v>
      </c>
      <c r="O132" s="176">
        <f t="shared" si="81"/>
        <v>0</v>
      </c>
      <c r="P132" s="176">
        <f t="shared" si="81"/>
        <v>0</v>
      </c>
      <c r="Q132" s="176">
        <f t="shared" si="81"/>
        <v>0</v>
      </c>
      <c r="R132" s="176">
        <f t="shared" si="81"/>
        <v>0</v>
      </c>
      <c r="S132" s="176">
        <f t="shared" si="81"/>
        <v>0</v>
      </c>
      <c r="T132" s="176">
        <f t="shared" si="81"/>
        <v>0</v>
      </c>
      <c r="U132" s="176">
        <f t="shared" si="81"/>
        <v>0</v>
      </c>
      <c r="V132" s="176">
        <f t="shared" si="81"/>
        <v>0</v>
      </c>
      <c r="W132" s="176">
        <f t="shared" si="81"/>
        <v>0</v>
      </c>
      <c r="X132" s="176">
        <f t="shared" si="81"/>
        <v>0</v>
      </c>
      <c r="Y132" s="176">
        <f t="shared" si="81"/>
        <v>0</v>
      </c>
      <c r="Z132" s="176">
        <f t="shared" si="81"/>
        <v>0</v>
      </c>
      <c r="AA132" s="176">
        <f t="shared" si="81"/>
        <v>0</v>
      </c>
      <c r="AB132" s="176">
        <f t="shared" si="81"/>
        <v>0</v>
      </c>
      <c r="AC132" s="176">
        <f t="shared" si="81"/>
        <v>0</v>
      </c>
      <c r="AD132" s="176">
        <f t="shared" si="81"/>
        <v>0</v>
      </c>
      <c r="AE132" s="176">
        <f t="shared" si="81"/>
        <v>0</v>
      </c>
      <c r="AF132" s="176">
        <f t="shared" si="81"/>
        <v>0</v>
      </c>
      <c r="AG132" s="176">
        <f t="shared" si="81"/>
        <v>0</v>
      </c>
      <c r="AH132" s="176">
        <f t="shared" si="81"/>
        <v>0</v>
      </c>
      <c r="AI132" s="176">
        <f t="shared" si="81"/>
        <v>0</v>
      </c>
      <c r="AJ132" s="176">
        <f t="shared" si="81"/>
        <v>0</v>
      </c>
      <c r="AK132" s="176">
        <f t="shared" si="81"/>
        <v>0</v>
      </c>
      <c r="AL132" s="176">
        <f t="shared" si="81"/>
        <v>0</v>
      </c>
    </row>
    <row r="133" spans="1:46" x14ac:dyDescent="0.2">
      <c r="A133" s="568" t="s">
        <v>1054</v>
      </c>
      <c r="B133" s="6"/>
      <c r="C133" s="176">
        <f t="shared" ref="C133:AL133" si="82">+C43+C88</f>
        <v>98.46</v>
      </c>
      <c r="D133" s="176">
        <f t="shared" si="82"/>
        <v>0</v>
      </c>
      <c r="E133" s="176">
        <f t="shared" si="82"/>
        <v>0</v>
      </c>
      <c r="F133" s="176">
        <f t="shared" si="82"/>
        <v>0</v>
      </c>
      <c r="G133" s="176">
        <f t="shared" si="82"/>
        <v>0</v>
      </c>
      <c r="H133" s="176">
        <f t="shared" si="82"/>
        <v>0</v>
      </c>
      <c r="I133" s="176">
        <f t="shared" si="82"/>
        <v>0</v>
      </c>
      <c r="J133" s="176">
        <f t="shared" si="82"/>
        <v>0</v>
      </c>
      <c r="K133" s="176">
        <f t="shared" si="82"/>
        <v>0</v>
      </c>
      <c r="L133" s="176">
        <f t="shared" si="82"/>
        <v>0</v>
      </c>
      <c r="M133" s="176">
        <f t="shared" si="82"/>
        <v>0</v>
      </c>
      <c r="N133" s="176">
        <f t="shared" si="82"/>
        <v>0</v>
      </c>
      <c r="O133" s="176">
        <f t="shared" si="82"/>
        <v>0</v>
      </c>
      <c r="P133" s="176">
        <f t="shared" si="82"/>
        <v>0</v>
      </c>
      <c r="Q133" s="176">
        <f t="shared" si="82"/>
        <v>0</v>
      </c>
      <c r="R133" s="176">
        <f t="shared" si="82"/>
        <v>0</v>
      </c>
      <c r="S133" s="176">
        <f t="shared" si="82"/>
        <v>0</v>
      </c>
      <c r="T133" s="176">
        <f t="shared" si="82"/>
        <v>0</v>
      </c>
      <c r="U133" s="176">
        <f t="shared" si="82"/>
        <v>0</v>
      </c>
      <c r="V133" s="176">
        <f t="shared" si="82"/>
        <v>0</v>
      </c>
      <c r="W133" s="176">
        <f t="shared" si="82"/>
        <v>0</v>
      </c>
      <c r="X133" s="176">
        <f t="shared" si="82"/>
        <v>0</v>
      </c>
      <c r="Y133" s="176">
        <f t="shared" si="82"/>
        <v>0</v>
      </c>
      <c r="Z133" s="176">
        <f t="shared" si="82"/>
        <v>0</v>
      </c>
      <c r="AA133" s="176">
        <f t="shared" si="82"/>
        <v>0</v>
      </c>
      <c r="AB133" s="176">
        <f t="shared" si="82"/>
        <v>0</v>
      </c>
      <c r="AC133" s="176">
        <f t="shared" si="82"/>
        <v>0</v>
      </c>
      <c r="AD133" s="176">
        <f t="shared" si="82"/>
        <v>0</v>
      </c>
      <c r="AE133" s="176">
        <f t="shared" si="82"/>
        <v>0</v>
      </c>
      <c r="AF133" s="176">
        <f t="shared" si="82"/>
        <v>0</v>
      </c>
      <c r="AG133" s="176">
        <f t="shared" si="82"/>
        <v>0</v>
      </c>
      <c r="AH133" s="176">
        <f t="shared" si="82"/>
        <v>0</v>
      </c>
      <c r="AI133" s="176">
        <f t="shared" si="82"/>
        <v>0</v>
      </c>
      <c r="AJ133" s="176">
        <f t="shared" si="82"/>
        <v>0</v>
      </c>
      <c r="AK133" s="176">
        <f t="shared" si="82"/>
        <v>0</v>
      </c>
      <c r="AL133" s="176">
        <f t="shared" si="82"/>
        <v>0</v>
      </c>
      <c r="AM133" s="1"/>
    </row>
    <row r="135" spans="1:46" x14ac:dyDescent="0.2">
      <c r="A135" s="7" t="s">
        <v>86</v>
      </c>
      <c r="B135" s="7"/>
      <c r="C135" s="41">
        <f t="shared" ref="C135:AK135" si="83">SUM(C98:C133)</f>
        <v>3841701.2300000014</v>
      </c>
      <c r="D135" s="41">
        <f t="shared" si="83"/>
        <v>3920582.3300000024</v>
      </c>
      <c r="E135" s="41">
        <f t="shared" si="83"/>
        <v>4155811.3399999961</v>
      </c>
      <c r="F135" s="41">
        <f t="shared" si="83"/>
        <v>4326591.57</v>
      </c>
      <c r="G135" s="41">
        <f t="shared" si="83"/>
        <v>5136808.9499999993</v>
      </c>
      <c r="H135" s="41">
        <f t="shared" si="83"/>
        <v>4979252.309999994</v>
      </c>
      <c r="I135" s="41">
        <f t="shared" si="83"/>
        <v>5127093.0199999968</v>
      </c>
      <c r="J135" s="41">
        <f t="shared" si="83"/>
        <v>5109764.6199999982</v>
      </c>
      <c r="K135" s="41">
        <f t="shared" si="83"/>
        <v>5389396.6899999995</v>
      </c>
      <c r="L135" s="41">
        <f t="shared" si="83"/>
        <v>4233060.1300000073</v>
      </c>
      <c r="M135" s="41">
        <f t="shared" si="83"/>
        <v>4139015.1400000034</v>
      </c>
      <c r="N135" s="41">
        <f t="shared" si="83"/>
        <v>5147624.0600000061</v>
      </c>
      <c r="O135" s="41">
        <f t="shared" si="83"/>
        <v>4947613.3400000166</v>
      </c>
      <c r="P135" s="41">
        <f t="shared" si="83"/>
        <v>5184205.140000008</v>
      </c>
      <c r="Q135" s="41">
        <f t="shared" si="83"/>
        <v>5173808.2900000196</v>
      </c>
      <c r="R135" s="41">
        <f t="shared" si="83"/>
        <v>4982746.6900000153</v>
      </c>
      <c r="S135" s="41">
        <f t="shared" si="83"/>
        <v>5828321.8600000264</v>
      </c>
      <c r="T135" s="41">
        <f t="shared" si="83"/>
        <v>5247006.4900000235</v>
      </c>
      <c r="U135" s="41">
        <f t="shared" si="83"/>
        <v>5314346.360000018</v>
      </c>
      <c r="V135" s="41">
        <f t="shared" si="83"/>
        <v>5011832.2300000172</v>
      </c>
      <c r="W135" s="41">
        <f t="shared" si="83"/>
        <v>5081907.6000000248</v>
      </c>
      <c r="X135" s="41">
        <f t="shared" si="83"/>
        <v>4578453.5399999861</v>
      </c>
      <c r="Y135" s="41">
        <f t="shared" si="83"/>
        <v>4771663.9699999895</v>
      </c>
      <c r="Z135" s="41">
        <f t="shared" si="83"/>
        <v>5761664.9499999722</v>
      </c>
      <c r="AA135" s="41">
        <f t="shared" si="83"/>
        <v>4763552.8999999892</v>
      </c>
      <c r="AB135" s="41">
        <f t="shared" si="83"/>
        <v>5316008.1099999975</v>
      </c>
      <c r="AC135" s="41">
        <f t="shared" si="83"/>
        <v>5428880.2999999868</v>
      </c>
      <c r="AD135" s="41">
        <f t="shared" si="83"/>
        <v>5091384.0599999884</v>
      </c>
      <c r="AE135" s="41">
        <f t="shared" si="83"/>
        <v>5836334.2899999823</v>
      </c>
      <c r="AF135" s="41">
        <f t="shared" si="83"/>
        <v>5279025.1699999934</v>
      </c>
      <c r="AG135" s="41">
        <f t="shared" si="83"/>
        <v>6118778.3800000018</v>
      </c>
      <c r="AH135" s="41">
        <f t="shared" si="83"/>
        <v>5691598.2099999804</v>
      </c>
      <c r="AI135" s="41">
        <f t="shared" si="83"/>
        <v>5294588.3699999973</v>
      </c>
      <c r="AJ135" s="41">
        <f t="shared" si="83"/>
        <v>5174161.2699999912</v>
      </c>
      <c r="AK135" s="41">
        <f t="shared" si="83"/>
        <v>3917198.8800000069</v>
      </c>
      <c r="AL135" s="41">
        <f>SUM(AL98:AL133)</f>
        <v>1157133.2399999991</v>
      </c>
    </row>
    <row r="137" spans="1:46" x14ac:dyDescent="0.2">
      <c r="M137" s="152"/>
      <c r="N137" s="152"/>
      <c r="O137" s="152"/>
      <c r="P137" s="152"/>
      <c r="Q137" s="152"/>
      <c r="R137" s="152"/>
      <c r="S137" s="152"/>
      <c r="T137" s="152"/>
      <c r="U137" s="152"/>
      <c r="V137" s="152"/>
      <c r="W137" s="152"/>
      <c r="X137" s="152"/>
      <c r="Y137" s="152"/>
      <c r="Z137" s="152"/>
      <c r="AA137" s="152"/>
      <c r="AB137" s="152"/>
      <c r="AC137" s="152"/>
      <c r="AD137" s="152"/>
      <c r="AE137" s="152"/>
      <c r="AF137" s="152"/>
      <c r="AG137" s="152"/>
      <c r="AH137" s="152"/>
      <c r="AI137" s="152"/>
      <c r="AJ137" s="152"/>
      <c r="AK137" s="152"/>
      <c r="AL137" s="152"/>
    </row>
    <row r="138" spans="1:46" x14ac:dyDescent="0.2">
      <c r="P138" t="s">
        <v>228</v>
      </c>
      <c r="AB138" t="s">
        <v>228</v>
      </c>
    </row>
    <row r="139" spans="1:46" x14ac:dyDescent="0.2">
      <c r="P139" t="s">
        <v>483</v>
      </c>
      <c r="AB139" t="s">
        <v>229</v>
      </c>
    </row>
    <row r="140" spans="1:46" x14ac:dyDescent="0.2">
      <c r="M140" s="119">
        <f t="shared" ref="M140:AL140" si="84">M6</f>
        <v>44593</v>
      </c>
      <c r="N140" s="119">
        <f t="shared" si="84"/>
        <v>44621</v>
      </c>
      <c r="O140" s="119">
        <f t="shared" si="84"/>
        <v>44652</v>
      </c>
      <c r="P140" s="119">
        <f t="shared" si="84"/>
        <v>44682</v>
      </c>
      <c r="Q140" s="119">
        <f t="shared" si="84"/>
        <v>44713</v>
      </c>
      <c r="R140" s="119">
        <f t="shared" si="84"/>
        <v>44743</v>
      </c>
      <c r="S140" s="119">
        <f t="shared" si="84"/>
        <v>44774</v>
      </c>
      <c r="T140" s="119">
        <f t="shared" si="84"/>
        <v>44805</v>
      </c>
      <c r="U140" s="119">
        <f t="shared" si="84"/>
        <v>44835</v>
      </c>
      <c r="V140" s="119">
        <f t="shared" si="84"/>
        <v>44866</v>
      </c>
      <c r="W140" s="119">
        <f t="shared" si="84"/>
        <v>44896</v>
      </c>
      <c r="X140" s="119">
        <f t="shared" si="84"/>
        <v>44927</v>
      </c>
      <c r="Y140" s="119">
        <f t="shared" si="84"/>
        <v>44958</v>
      </c>
      <c r="Z140" s="119">
        <f t="shared" si="84"/>
        <v>44986</v>
      </c>
      <c r="AA140" s="119">
        <f t="shared" si="84"/>
        <v>45017</v>
      </c>
      <c r="AB140" s="119">
        <f t="shared" si="84"/>
        <v>45047</v>
      </c>
      <c r="AC140" s="119">
        <f t="shared" si="84"/>
        <v>45078</v>
      </c>
      <c r="AD140" s="119">
        <f t="shared" si="84"/>
        <v>45108</v>
      </c>
      <c r="AE140" s="119">
        <f t="shared" si="84"/>
        <v>45139</v>
      </c>
      <c r="AF140" s="119">
        <f t="shared" si="84"/>
        <v>45170</v>
      </c>
      <c r="AG140" s="119">
        <f t="shared" si="84"/>
        <v>45200</v>
      </c>
      <c r="AH140" s="119">
        <f t="shared" si="84"/>
        <v>45231</v>
      </c>
      <c r="AI140" s="119">
        <f t="shared" si="84"/>
        <v>45261</v>
      </c>
      <c r="AJ140" s="119">
        <f t="shared" si="84"/>
        <v>45292</v>
      </c>
      <c r="AK140" s="119">
        <f t="shared" si="84"/>
        <v>45323</v>
      </c>
      <c r="AL140" s="119">
        <f t="shared" si="84"/>
        <v>45352</v>
      </c>
    </row>
    <row r="142" spans="1:46" x14ac:dyDescent="0.2">
      <c r="M142" s="51">
        <f>M98+L99+K100+J101+I102+H103+G104+F105+E106+D107+C108</f>
        <v>5608990.1800000127</v>
      </c>
      <c r="N142" s="51">
        <f>N98+M99+L100+K101+J102+I103+H104+G105+F106+E107+D108+C109</f>
        <v>4192121.0800000029</v>
      </c>
      <c r="O142" s="51">
        <f>O98+N99+M100+L101+K102+J103+I104+H105+G106+F107+E108+D109+C110</f>
        <v>4658071.4300000081</v>
      </c>
      <c r="P142" s="51">
        <f>P98+O99+N100+M101+L102+K103+J104+I105+H106+G107+F108+E109+D110+C111</f>
        <v>4668313.1000000117</v>
      </c>
      <c r="Q142" s="51">
        <f>Q98+P99+O100+N101+M102+L103+K104+J105+I106+H107+G108+F109+E110+D111+C112</f>
        <v>5425849.9300000137</v>
      </c>
      <c r="R142" s="51">
        <f>R98+Q99+P100+O101+N102+M103+L104+K105+J106+I107+H108+G109+F110+E111+D112+C113</f>
        <v>5812855.6300000167</v>
      </c>
      <c r="S142" s="51">
        <f>S98+R99+Q100+P101+O102+N103+M104+L105+K106+J107+I108+H109+G110+F111+E112+D113+C114</f>
        <v>8452121.0900000315</v>
      </c>
      <c r="T142" s="51">
        <f>T98+S99+R100+Q101+P102+O103+N104+M105+L106+K107+J108+I109+H110+G111+F112+E113+D114+C115</f>
        <v>5910438.0100000203</v>
      </c>
      <c r="U142" s="51">
        <f>U98+T99+S100+R101+Q102+P103+O104+N105+M106+L107+K108+J109+I110+H111+G112+F113+E114+D115+C116</f>
        <v>5095954.3900000257</v>
      </c>
      <c r="V142" s="51">
        <f>V98+U99+T100+S101+R102+Q103+P104+O105+N106+M107+L108+K109+J110+I111+H112+G113+F114+E115+D116+C117</f>
        <v>4865514.1700000167</v>
      </c>
      <c r="W142" s="51">
        <f>W98+V99+U100+T101+S102+R103+Q104+P105+O106+N107+M108+L109+K110+J111+I112+H113+G114+F115+E116+D117+C118</f>
        <v>5809110.5600000238</v>
      </c>
      <c r="X142" s="51">
        <f>X98+W99+V100+U101+T102+S103+R104+Q105+P106+O107+N108+M109+L110+K111+J112+I113+H114+G115+F116+E117+D118+C119</f>
        <v>5131677.3100000117</v>
      </c>
      <c r="Y142" s="51">
        <f>Y98+X99+W100+V101+U102+T103+S104+R105+Q106+P107+O108+N109+M110+L111+K112+J113+I114+H115+G116+F117+E118+D119+C120</f>
        <v>4586340.4299999904</v>
      </c>
      <c r="Z142" s="51">
        <f>Z98+Y99+X100+W101+V102+U103+T104+S105+R106+Q107+P108+O109+N110+M111+L112+K113+J114+I115+H116+G117+F118+E119+D120+C121</f>
        <v>5780065.1999999704</v>
      </c>
      <c r="AA142" s="51">
        <f>AA98+Z99+Y100+X101+W102+V103+U104+T105+S106+R107+Q108+P109+O110+N111+M112+L113+K114+J115+I116+H117+G118+F119+E120+D121+C122</f>
        <v>4199208.1499999892</v>
      </c>
      <c r="AB142" s="51">
        <f>AB98+AA99+Z100+Y101+X102+W103+V104+U105+T106+S107+R108+Q109+P110+O111+N112+M113+L114+K115+J116+I117+H118+G119+F120+E121+D122+C123</f>
        <v>5269479.2099999841</v>
      </c>
      <c r="AC142" s="51">
        <f>AC98+AB99+AA100+Z101+Y102+X103+W104+V105+U106+T107+S108+R109+Q110+P111+O112+N113+M114+L115+K116+J117+I118+H119+G120+F121+E122+D123+C124</f>
        <v>5161983.979999993</v>
      </c>
      <c r="AD142" s="51">
        <f>AD98+AC99+AB100+AA101+Z102+Y103+X104+W105+V106+U107+T108+S109+R110+Q111+P112+O113+N114+M115+L116+K117+J118+I119+H120+G121+F122+E123+D124+C125</f>
        <v>5024298.1099999929</v>
      </c>
      <c r="AE142" s="51">
        <f>AE98+AD99+AC100+AB101+AA102+Z103+Y104+X105+W106+V107+U108+T109+S110+R111+Q112+P113+O114+N115+M116+L117+K118+J119+I120+H121+G122+F123+E124+D125+C126</f>
        <v>5269664.7599999877</v>
      </c>
      <c r="AF142" s="51">
        <f>AF98+AE99+AD100+AC101+AB102+AA103+Z104+Y105+X106+W107+V108+U109+T110+S111+R112+Q113+P114+O115+N116+M117+L118+K119+J120+I121+H122+G123+F124+E125+D126+C127</f>
        <v>5754302.1099999854</v>
      </c>
      <c r="AG142" s="51">
        <f>AG98+AF99+AE100+AD101+AC102+AB103+AA104+Z105+Y106+X107+W108+V109+U110+T111+S112+R113+Q114+P115+O116+N117+M118+L119+K120+J121+I122+H123+G124+F125+E126+D127+C128</f>
        <v>6436494.1199999833</v>
      </c>
      <c r="AH142" s="51">
        <f>AH98+AG99+AF100+AE101+AD102+AC103+AB104+AA105+Z106+Y107+X108+W109+V110+U111+T112+S113+R114+Q115+P116+O117+N118+M119+L120+K121+J122+I123+H124+G125+F126+E127+D128+C129</f>
        <v>5920319.6200000057</v>
      </c>
      <c r="AI142" s="51">
        <f>AI98+AH99+AG100+AF101+AE102+AD103+AC104+AB105+AA106+Z107+Y108+X109+W110+V111+U112+T113+S114+R115+Q116+P117+O118+N119+M120+L121+K122+J123+I124+H125+G126+F127+E128+D129+C130</f>
        <v>5777917.9799999846</v>
      </c>
      <c r="AJ142" s="51">
        <f>AJ98+AI99+AH100+AG101+AF102+AE103+AD104+AC105+AB106+AA107+Z108+Y109+X110+W111+V112+U113+T114+S115+R116+Q117+P118+O119+N120+M121+L122+K123+J124+I125+H126+G127+F128+E129+D130+C131</f>
        <v>5923338.4999999972</v>
      </c>
      <c r="AK142" s="51">
        <f>AK98+AJ99+AI100+AH101+AG102+AF103+AE104+AD105+AC106+AB107+AA108+Z109+Y110+X111+W112+V113+U114+T115+S116+R117+Q118+P119+O120+N121+M122+L123+K124+J125+I126+H127+G128+F129+E130+D131+C132</f>
        <v>5585363.9099999908</v>
      </c>
      <c r="AL142" s="51">
        <f>AL98+AK99+AJ100+AI101+AH102+AG103+AF104+AE105+AD106+AC107+AB108+AA109+Z110+Y111+X112+W113+V114+U115+T116+S117+R118+Q119+P120+O121+N122+M123+L124+K125+J126+I127+H128+G129+F130+E131+D132+C133</f>
        <v>5452454.4600000046</v>
      </c>
    </row>
    <row r="143" spans="1:46" x14ac:dyDescent="0.2">
      <c r="M143" s="32">
        <f>(L99*1+K100*2+J101*3+I102*4+H103*5+G104*6+F105*7+E106*8+D107*9+C108*10)/M142</f>
        <v>1.6446457141060629</v>
      </c>
      <c r="N143" s="32">
        <f>(M99*1+L100*2+K101*3+J102*4+I103*5+H104*6+G105*7+F106*8+E107*9+D108*10+C109*11)/N142</f>
        <v>2.0767123477263674</v>
      </c>
      <c r="O143" s="32">
        <f>(N99*1+M100*2+L101*3+K102*4+J103*5+I104*6+H105*7+G106*8+F107*9+E108*10+D109*11+C110*12)/O142</f>
        <v>1.6214671121949691</v>
      </c>
      <c r="P143" s="32">
        <f>(O99*1+N100*2+M101*3+L102*4+K103*5+J104*6+I105*7+H106*8+G107*9+F108*10+E109*11+D110*12+C111*13)/P142</f>
        <v>1.7663653901020455</v>
      </c>
      <c r="Q143" s="32">
        <f>(P99*1+O100*2+N101*3+M102*4+L103*5+K104*6+J105*7+I106*8+H107*9+G108*10+F109*11+E110*12+D111*13+C112*14)/Q142</f>
        <v>1.8054692493126114</v>
      </c>
      <c r="R143" s="32">
        <f>(Q99*1+P100*2+O101*3+N102*4+M103*5+L104*6+K105*7+J106*8+I107*9+H108*10+G109*11+F110*12+E111*13+D112*14+C113*15)/R142</f>
        <v>2.4719284280590283</v>
      </c>
      <c r="S143" s="32">
        <f>(R99*1+Q100*2+P101*3+O102*4+N103*5+M104*6+L105*7+K106*8+J107*9+I108*10+H109*11+G110*12+F111*13+E112*14+D113*15+C114*16)/S142</f>
        <v>1.9390543788340306</v>
      </c>
      <c r="T143" s="32">
        <f>(S99*1+R100*2+Q101*3+P102*4+O103*5+N104*6+M105*7+L106*8+K107*9+J108*10+I109*11+H110*12+G111*13+F112*14+E113*15+D114*16+C115*17)/T142</f>
        <v>2.287691794943632</v>
      </c>
      <c r="U143" s="32">
        <f>(T99*1+S100*2+R101*3+Q102*4+P103*5+O104*6+N105*7+M106*8+L107*9+K108*10+J109*11+I110*12+H111*13+G112*14+F113*15+E114*16+D115*17+C116*18)/U142</f>
        <v>1.4015141411028174</v>
      </c>
      <c r="V143" s="32">
        <f>(U99*1+T100*2+S101*3+R102*4+Q103*5+P104*6+O105*7+N106*8+M107*9+L108*10+K109*11+J110*12+I111*13+H112*14+G113*15+F114*16+E115*17+D116*18+C117*19)/V142</f>
        <v>1.7155183724395533</v>
      </c>
      <c r="W143" s="32">
        <f>(V99*1+U100*2+T101*3+S102*4+R103*5+Q104*6+P105*7+O106*8+N107*9+M108*10+L109*11+K110*12+J111*13+I112*14+H113*15+G114*16+F115*17+E116*18+D117*19+C118*20)/W142</f>
        <v>1.4219479117643059</v>
      </c>
      <c r="X143" s="32">
        <f>(W99*1+V100*2+U101*3+T102*4+S103*5+R104*6+Q105*7+P106*8+O107*9+N108*10+M109*11+L110*12+K111*13+J112*14+I113*15+H114*16+G115*17+F116*18+E117*19+D118*20+C119*21)/X142</f>
        <v>1.4512651692824383</v>
      </c>
      <c r="Y143" s="32">
        <f>(X99*1+W100*2+V101*3+U102*4+T103*5+S104*6+R105*7+Q106*8+P107*9+O108*10+N109*11+M110*12+L111*13+K112*14+J113*15+I114*16+H115*17+G116*18+F117*19+E118*20+D119*21+C120*22)/Y142</f>
        <v>1.8399197636534819</v>
      </c>
      <c r="Z143" s="32">
        <f>(Y99*1+X100*2+W101*3+V102*4+U103*5+T104*6+S105*7+R106*8+Q107*9+P108*10+O109*11+N110*12+M111*13+L112*14+K113*15+J114*16+I115*17+H116*18+G117*19+F118*20+E119*21+D120*22+C121*23)/Z142</f>
        <v>1.1986605185699328</v>
      </c>
      <c r="AA143" s="32">
        <f>(Z99*1+Y100*2+X101*3+W102*4+V103*5+U104*6+T105*7+S106*8+R107*9+Q108*10+P109*11+O110*12+N111*13+M112*14+L113*15+K114*16+J115*17+I116*18+H117*19+G118*20+F119*21+E120*22+D121*23+C122*24)/AA142</f>
        <v>1.4139758492324335</v>
      </c>
      <c r="AB143" s="32">
        <f>(AA99*1+Z100*2+Y101*3+X102*4+W103*5+V104*6+U105*7+T106*8+S107*9+R108*10+Q109*11+P110*12+O111*13+N112*14+M113*15+L114*16+K115*17+J116*18+I117*19+H118*20+G119*21+F120*22+E121*23+D122*24+C123*25)/AB142</f>
        <v>1.4863687392743334</v>
      </c>
      <c r="AC143" s="32">
        <f>(AB99*1+AA100*2+Z101*3+Y102*4+X103*5+W104*6+V105*7+U106*8+T107*9+S108*10+R109*11+Q110*12+P111*13+O112*14+N113*15+M114*16+L115*17+K116*18+J117*19+I118*20+H119*21+G120*22+F121*23+E122*24+D123*25+C124*26)/AC142</f>
        <v>1.334686902689693</v>
      </c>
      <c r="AD143" s="32">
        <f>(AC99*1+AB100*2+AA101*3+Z102*4+Y103*5+X104*6+W105*7+V106*8+U107*9+T108*10+S109*11+R110*12+Q111*13+P112*14+O113*15+N114*16+M115*17+L116*18+K117*19+J118*20+I119*21+H120*22+G121*23+F122*24+E123*25+D124*26+C125*27)/AD142</f>
        <v>1.5290577015542586</v>
      </c>
      <c r="AE143" s="32">
        <f>(AD99*1+AC100*2+AB101*3+AA102*4+Z103*5+Y104*6+X105*7+W106*8+V107*9+U108*10+T109*11+S110*12+R111*13+Q112*14+P113*15+O114*16+N115*17+M116*18+L117*19+K118*20+J119*21+I120*22+H121*23+G122*24+F123*25+E124*26+D125*27+C126*28)/AE142</f>
        <v>1.601199541960997</v>
      </c>
      <c r="AF143" s="32">
        <f>(AE99*1+AD100*2+AC101*3+AB102*4+AA103*5+Z104*6+Y105*7+X106*8+W107*9+V108*10+U109*11+T110*12+S111*13+R112*14+Q113*15+P114*16+O115*17+N116*18+M117*19+L118*20+K119*21+J120*22+I121*23+H122*24+G123*25+F124*26+E125*27+D126*28+C127*29)/AF142</f>
        <v>1.7690423956555197</v>
      </c>
      <c r="AG143" s="32">
        <f>(AF99*1+AE100*2+AD101*3+AC102*4+AB103*5+AA104*6+Z105*7+Y106*8+X107*9+W108*10+V109*11+U110*12+T111*13+S112*14+R113*15+Q114*16+P115*17+O116*18+N117*19+M118*20+L119*21+K120*22+J121*23+I122*24+H123*25+G124*26+F125*27+E126*28+D127*29+C128*30)/AG142</f>
        <v>1.4148367403464688</v>
      </c>
      <c r="AH143" s="32">
        <f>(AG99*1+AF100*2+AE101*3+AD102*4+AC103*5+AB104*6+AA105*7+Z106*8+Y107*9+X108*10+W109*11+V110*12+U111*13+T112*14+S113*15+R114*16+Q115*17+P116*18+O117*19+N118*20+M119*21+L120*22+K121*23+J122*24+I123*25+H124*26+G125*27+F126*28+E127*29+D128*30+C129*31)/AH142</f>
        <v>1.5836270356633217</v>
      </c>
      <c r="AI143" s="32">
        <f>(AH99*1+AG100*2+AF101*3+AE102*4+AD103*5+AC104*6+AB105*7+AA106*8+Z107*9+Y108*10+X109*11+W110*12+V111*13+U112*14+T113*15+S114*16+R115*17+Q116*18+P117*19+O118*20+N119*21+M120*22+L121*23+K122*24+J123*25+I124*26+H125*27+G126*28+F127*29+E128*30+D129*31+C130*32)/AI142</f>
        <v>1.488565846689297</v>
      </c>
      <c r="AJ143" s="32">
        <f>(AI99*1+AH100*2+AG101*3+AF102*4+AE103*5+AD104*6+AC105*7+AB106*8+AA107*9+Z108*10+Y109*11+X110*12+W111*13+V112*14+U113*15+T114*16+S115*17+R116*18+Q117*19+P118*20+O119*21+N120*22+M121*23+L122*24+K123*25+J124*26+I125*27+H126*28+G127*29+F128*30+E129*31+D130*32+C131*33)/AJ142</f>
        <v>1.3900507002934246</v>
      </c>
      <c r="AK143" s="32">
        <f>(AJ99*1+AI100*2+AH101*3+AG102*4+AF103*5+AE104*6+AD105*7+AC106*8+AB107*9+AA108*10+Z109*11+Y110*12+X111*13+W112*14+V113*15+U114*16+T115*17+S116*18+R117*19+Q118*20+P119*21+O120*22+N121*23+M122*24+L123*25+K124*26+J125*27+I126*28+H127*29+G128*30+F129*31+E130*32+D131*33+C132*34)/AK142</f>
        <v>1.6458325953554589</v>
      </c>
      <c r="AL143" s="32">
        <f>(AK99*1+AJ100*2+AI101*3+AH102*4+AG103*5+AF104*6+AE105*7+AD106*8+AC107*9+AB108*10+AA109*11+Z110*12+Y111*13+X112*14+W113*15+V114*16+U115*17+T116*18+S117*19+R118*20+Q119*21+P120*22+O121*23+N122*24+M123*25+L124*26+K125*27+J126*28+I127*29+H128*30+G129*31+F130*32+E131*33+D132*34+C133*35)/AL142</f>
        <v>1.3738519367661068</v>
      </c>
    </row>
    <row r="144" spans="1:46" x14ac:dyDescent="0.2">
      <c r="C144" s="3" t="str">
        <f>+$C$1</f>
        <v>Allied Pacific (APC Commerical)</v>
      </c>
      <c r="M144" s="3" t="s">
        <v>468</v>
      </c>
      <c r="O144" s="3" t="str">
        <f>+$C$1</f>
        <v>Allied Pacific (APC Commerical)</v>
      </c>
      <c r="Y144" s="130" t="s">
        <v>469</v>
      </c>
      <c r="AA144" s="3" t="str">
        <f>+$C$1</f>
        <v>Allied Pacific (APC Commerical)</v>
      </c>
      <c r="AK144" s="130" t="s">
        <v>470</v>
      </c>
      <c r="AS144" s="1"/>
      <c r="AT144" s="1"/>
    </row>
    <row r="145" spans="1:46" x14ac:dyDescent="0.2">
      <c r="A145" s="1" t="s">
        <v>46</v>
      </c>
      <c r="M145" s="59"/>
      <c r="N145" s="59"/>
      <c r="O145" s="59"/>
      <c r="P145" s="59"/>
      <c r="Q145" s="59"/>
      <c r="R145" s="59"/>
      <c r="S145" s="59"/>
      <c r="T145" s="59"/>
      <c r="U145" s="59"/>
      <c r="V145" s="59"/>
      <c r="W145" s="59"/>
      <c r="X145" s="59"/>
      <c r="Y145" s="59"/>
      <c r="Z145" s="59"/>
      <c r="AA145" s="59"/>
      <c r="AB145" s="59"/>
      <c r="AC145" s="59"/>
      <c r="AD145" s="59"/>
      <c r="AE145" s="59"/>
      <c r="AF145" s="59"/>
      <c r="AG145" s="59"/>
      <c r="AH145" s="59"/>
      <c r="AI145" s="59"/>
      <c r="AJ145" s="59"/>
      <c r="AK145" s="59"/>
      <c r="AL145" s="59"/>
      <c r="AS145" s="141"/>
      <c r="AT145" s="141"/>
    </row>
    <row r="146" spans="1:46" x14ac:dyDescent="0.2">
      <c r="A146" t="s">
        <v>45</v>
      </c>
      <c r="AS146" s="141"/>
      <c r="AT146" s="141"/>
    </row>
    <row r="147" spans="1:46" x14ac:dyDescent="0.2">
      <c r="A147" t="s">
        <v>43</v>
      </c>
      <c r="C147" s="5">
        <f t="shared" ref="C147:AL147" si="85">+C$6</f>
        <v>44287</v>
      </c>
      <c r="D147" s="5">
        <f t="shared" si="85"/>
        <v>44317</v>
      </c>
      <c r="E147" s="5">
        <f t="shared" si="85"/>
        <v>44348</v>
      </c>
      <c r="F147" s="5">
        <f t="shared" si="85"/>
        <v>44378</v>
      </c>
      <c r="G147" s="5">
        <f t="shared" si="85"/>
        <v>44409</v>
      </c>
      <c r="H147" s="5">
        <f t="shared" si="85"/>
        <v>44440</v>
      </c>
      <c r="I147" s="5">
        <f t="shared" si="85"/>
        <v>44470</v>
      </c>
      <c r="J147" s="5">
        <f t="shared" si="85"/>
        <v>44501</v>
      </c>
      <c r="K147" s="5">
        <f t="shared" si="85"/>
        <v>44531</v>
      </c>
      <c r="L147" s="5">
        <f t="shared" si="85"/>
        <v>44562</v>
      </c>
      <c r="M147" s="5">
        <f t="shared" si="85"/>
        <v>44593</v>
      </c>
      <c r="N147" s="5">
        <f t="shared" si="85"/>
        <v>44621</v>
      </c>
      <c r="O147" s="5">
        <f t="shared" si="85"/>
        <v>44652</v>
      </c>
      <c r="P147" s="5">
        <f t="shared" si="85"/>
        <v>44682</v>
      </c>
      <c r="Q147" s="5">
        <f t="shared" si="85"/>
        <v>44713</v>
      </c>
      <c r="R147" s="5">
        <f t="shared" si="85"/>
        <v>44743</v>
      </c>
      <c r="S147" s="5">
        <f t="shared" si="85"/>
        <v>44774</v>
      </c>
      <c r="T147" s="5">
        <f t="shared" si="85"/>
        <v>44805</v>
      </c>
      <c r="U147" s="5">
        <f t="shared" si="85"/>
        <v>44835</v>
      </c>
      <c r="V147" s="5">
        <f t="shared" si="85"/>
        <v>44866</v>
      </c>
      <c r="W147" s="5">
        <f t="shared" si="85"/>
        <v>44896</v>
      </c>
      <c r="X147" s="5">
        <f t="shared" si="85"/>
        <v>44927</v>
      </c>
      <c r="Y147" s="5">
        <f t="shared" si="85"/>
        <v>44958</v>
      </c>
      <c r="Z147" s="5">
        <f t="shared" si="85"/>
        <v>44986</v>
      </c>
      <c r="AA147" s="5">
        <f t="shared" si="85"/>
        <v>45017</v>
      </c>
      <c r="AB147" s="5">
        <f t="shared" si="85"/>
        <v>45047</v>
      </c>
      <c r="AC147" s="5">
        <f t="shared" si="85"/>
        <v>45078</v>
      </c>
      <c r="AD147" s="5">
        <f t="shared" si="85"/>
        <v>45108</v>
      </c>
      <c r="AE147" s="5">
        <f t="shared" si="85"/>
        <v>45139</v>
      </c>
      <c r="AF147" s="5">
        <f t="shared" si="85"/>
        <v>45170</v>
      </c>
      <c r="AG147" s="5">
        <f t="shared" si="85"/>
        <v>45200</v>
      </c>
      <c r="AH147" s="5">
        <f t="shared" si="85"/>
        <v>45231</v>
      </c>
      <c r="AI147" s="5">
        <f t="shared" si="85"/>
        <v>45261</v>
      </c>
      <c r="AJ147" s="5">
        <f t="shared" si="85"/>
        <v>45292</v>
      </c>
      <c r="AK147" s="5">
        <f t="shared" si="85"/>
        <v>45323</v>
      </c>
      <c r="AL147" s="5">
        <f t="shared" si="85"/>
        <v>45352</v>
      </c>
      <c r="AS147" s="141"/>
      <c r="AT147" s="141"/>
    </row>
    <row r="148" spans="1:46" x14ac:dyDescent="0.2">
      <c r="AS148" s="141"/>
      <c r="AT148" s="141"/>
    </row>
    <row r="149" spans="1:46" x14ac:dyDescent="0.2">
      <c r="A149" s="252" t="s">
        <v>978</v>
      </c>
      <c r="B149" s="7"/>
      <c r="C149" s="176">
        <f>SUM(C98:C$98)</f>
        <v>1171089.2300000009</v>
      </c>
      <c r="D149" s="176">
        <f>SUM(D98:D$98)</f>
        <v>579155.90000000119</v>
      </c>
      <c r="E149" s="176">
        <f>SUM(E98:E$98)</f>
        <v>262917.34000000008</v>
      </c>
      <c r="F149" s="176">
        <f>SUM(F98:F$98)</f>
        <v>346167.9600000013</v>
      </c>
      <c r="G149" s="176">
        <f>SUM(G98:G$98)</f>
        <v>871625.33000000322</v>
      </c>
      <c r="H149" s="176">
        <f>SUM(H98:H$98)</f>
        <v>1263876.7799999972</v>
      </c>
      <c r="I149" s="176">
        <f>SUM(I98:I$98)</f>
        <v>989820.99000000278</v>
      </c>
      <c r="J149" s="176">
        <f>SUM(J98:J$98)</f>
        <v>768949.55999999982</v>
      </c>
      <c r="K149" s="176">
        <f>SUM(K98:K$98)</f>
        <v>777101.02000000118</v>
      </c>
      <c r="L149" s="176">
        <f>SUM(L98:L$98)</f>
        <v>179174.81000000003</v>
      </c>
      <c r="M149" s="176">
        <f>SUM(M98:M$98)</f>
        <v>836644.69000000192</v>
      </c>
      <c r="N149" s="176">
        <f>SUM(N98:N$98)</f>
        <v>691008.7700000006</v>
      </c>
      <c r="O149" s="176">
        <f>SUM(O98:O$98)</f>
        <v>983285.2000000031</v>
      </c>
      <c r="P149" s="176">
        <f>SUM(P98:P$98)</f>
        <v>1091266.08</v>
      </c>
      <c r="Q149" s="176">
        <f>SUM(Q98:Q$98)</f>
        <v>1218450.8600000052</v>
      </c>
      <c r="R149" s="176">
        <f>SUM(R98:R$98)</f>
        <v>1263028.2200000035</v>
      </c>
      <c r="S149" s="176">
        <f>SUM(S98:S$98)</f>
        <v>2107589.4600000144</v>
      </c>
      <c r="T149" s="176">
        <f>SUM(T98:T$98)</f>
        <v>1641885.5100000086</v>
      </c>
      <c r="U149" s="176">
        <f>SUM(U98:U$98)</f>
        <v>1629313.2200000084</v>
      </c>
      <c r="V149" s="176">
        <f>SUM(V98:V$98)</f>
        <v>1127429.7800000033</v>
      </c>
      <c r="W149" s="176">
        <f>SUM(W98:W$98)</f>
        <v>1630311.6000000117</v>
      </c>
      <c r="X149" s="176">
        <f>SUM(X98:X$98)</f>
        <v>1528822.9999999986</v>
      </c>
      <c r="Y149" s="176">
        <f>SUM(Y98:Y$98)</f>
        <v>1384275.8500000015</v>
      </c>
      <c r="Z149" s="176">
        <f>SUM(Z98:Z$98)</f>
        <v>2114412.0599999824</v>
      </c>
      <c r="AA149" s="176">
        <f>SUM(AA98:AA$98)</f>
        <v>1112952.5799999982</v>
      </c>
      <c r="AB149" s="176">
        <f>SUM(AB98:AB$98)</f>
        <v>1248075.4199999948</v>
      </c>
      <c r="AC149" s="176">
        <f>SUM(AC98:AC$98)</f>
        <v>1362036.8299999912</v>
      </c>
      <c r="AD149" s="176">
        <f>SUM(AD98:AD$98)</f>
        <v>1112870.9599999983</v>
      </c>
      <c r="AE149" s="176">
        <f>SUM(AE98:AE$98)</f>
        <v>1121294.2699999958</v>
      </c>
      <c r="AF149" s="176">
        <f>SUM(AF98:AF$98)</f>
        <v>923783.92999999993</v>
      </c>
      <c r="AG149" s="176">
        <f>SUM(AG98:AG$98)</f>
        <v>1616692.4899999921</v>
      </c>
      <c r="AH149" s="176">
        <f>SUM(AH98:AH$98)</f>
        <v>1255793.5599999924</v>
      </c>
      <c r="AI149" s="176">
        <f>SUM(AI98:AI$98)</f>
        <v>1296415.8899999966</v>
      </c>
      <c r="AJ149" s="176">
        <f>SUM(AJ98:AJ$98)</f>
        <v>1436799.309999998</v>
      </c>
      <c r="AK149" s="176">
        <f>SUM(AK98:AK$98)</f>
        <v>1061866.1300000008</v>
      </c>
      <c r="AL149" s="176">
        <f>SUM(AL98:AL$98)</f>
        <v>1157133.2399999991</v>
      </c>
      <c r="AS149" s="141"/>
      <c r="AT149" s="141"/>
    </row>
    <row r="150" spans="1:46" x14ac:dyDescent="0.2">
      <c r="A150" s="252" t="s">
        <v>979</v>
      </c>
      <c r="B150" s="7"/>
      <c r="C150" s="176">
        <f>SUM(C$98:C99)</f>
        <v>2373280.7600000007</v>
      </c>
      <c r="D150" s="176">
        <f>SUM(D$98:D99)</f>
        <v>1786051.9899999993</v>
      </c>
      <c r="E150" s="176">
        <f>SUM(E$98:E99)</f>
        <v>2220868.1199999955</v>
      </c>
      <c r="F150" s="176">
        <f>SUM(F$98:F99)</f>
        <v>2291780.4699999997</v>
      </c>
      <c r="G150" s="176">
        <f>SUM(G$98:G99)</f>
        <v>3221818.5199999972</v>
      </c>
      <c r="H150" s="176">
        <f>SUM(H$98:H99)</f>
        <v>3002970.5299999919</v>
      </c>
      <c r="I150" s="176">
        <f>SUM(I$98:I99)</f>
        <v>3094437.0999999968</v>
      </c>
      <c r="J150" s="176">
        <f>SUM(J$98:J99)</f>
        <v>3127006.7399999965</v>
      </c>
      <c r="K150" s="176">
        <f>SUM(K$98:K99)</f>
        <v>2155326.9399999976</v>
      </c>
      <c r="L150" s="176">
        <f>SUM(L$98:L99)</f>
        <v>2518489.8200000091</v>
      </c>
      <c r="M150" s="176">
        <f>SUM(M$98:M99)</f>
        <v>2450220.8700000052</v>
      </c>
      <c r="N150" s="176">
        <f>SUM(N$98:N99)</f>
        <v>3016355.1800000081</v>
      </c>
      <c r="O150" s="176">
        <f>SUM(O$98:O99)</f>
        <v>2985712.9600000144</v>
      </c>
      <c r="P150" s="176">
        <f>SUM(P$98:P99)</f>
        <v>3322216.5500000091</v>
      </c>
      <c r="Q150" s="176">
        <f>SUM(Q$98:Q99)</f>
        <v>3297898.1200000169</v>
      </c>
      <c r="R150" s="176">
        <f>SUM(R$98:R99)</f>
        <v>3943404.5500000161</v>
      </c>
      <c r="S150" s="176">
        <f>SUM(S$98:S99)</f>
        <v>4537699.9800000265</v>
      </c>
      <c r="T150" s="176">
        <f>SUM(T$98:T99)</f>
        <v>3866778.9600000232</v>
      </c>
      <c r="U150" s="176">
        <f>SUM(U$98:U99)</f>
        <v>3859577.8600000199</v>
      </c>
      <c r="V150" s="176">
        <f>SUM(V$98:V99)</f>
        <v>3814162.3500000183</v>
      </c>
      <c r="W150" s="176">
        <f>SUM(W$98:W99)</f>
        <v>3997319.8000000245</v>
      </c>
      <c r="X150" s="176">
        <f>SUM(X$98:X99)</f>
        <v>3457076.0199999893</v>
      </c>
      <c r="Y150" s="176">
        <f>SUM(Y$98:Y99)</f>
        <v>3920791.3699999894</v>
      </c>
      <c r="Z150" s="176">
        <f>SUM(Z$98:Z99)</f>
        <v>4382981.6099999733</v>
      </c>
      <c r="AA150" s="176">
        <f>SUM(AA$98:AA99)</f>
        <v>3743600.3299999898</v>
      </c>
      <c r="AB150" s="176">
        <f>SUM(AB$98:AB99)</f>
        <v>4001092.4699999983</v>
      </c>
      <c r="AC150" s="176">
        <f>SUM(AC$98:AC99)</f>
        <v>3912822.6099999878</v>
      </c>
      <c r="AD150" s="176">
        <f>SUM(AD$98:AD99)</f>
        <v>3770869.0999999894</v>
      </c>
      <c r="AE150" s="176">
        <f>SUM(AE$98:AE99)</f>
        <v>4289416.1199999833</v>
      </c>
      <c r="AF150" s="176">
        <f>SUM(AF$98:AF99)</f>
        <v>4085245.4599999934</v>
      </c>
      <c r="AG150" s="176">
        <f>SUM(AG$98:AG99)</f>
        <v>4772245.5800000029</v>
      </c>
      <c r="AH150" s="176">
        <f>SUM(AH$98:AH99)</f>
        <v>4334363.0299999816</v>
      </c>
      <c r="AI150" s="176">
        <f>SUM(AI$98:AI99)</f>
        <v>4241037.1699999971</v>
      </c>
      <c r="AJ150" s="176">
        <f>SUM(AJ$98:AJ99)</f>
        <v>4292217.069999991</v>
      </c>
      <c r="AK150" s="176">
        <f>SUM(AK$98:AK99)</f>
        <v>3917198.8800000069</v>
      </c>
      <c r="AL150" s="176">
        <f>SUM(AL$98:AL99)</f>
        <v>1157133.2399999991</v>
      </c>
      <c r="AS150" s="141"/>
      <c r="AT150" s="141"/>
    </row>
    <row r="151" spans="1:46" x14ac:dyDescent="0.2">
      <c r="A151" s="568" t="s">
        <v>980</v>
      </c>
      <c r="B151" s="7"/>
      <c r="C151" s="176">
        <f>SUM(C$98:C100)</f>
        <v>2758228.870000001</v>
      </c>
      <c r="D151" s="176">
        <f>SUM(D$98:D100)</f>
        <v>2413459.6700000009</v>
      </c>
      <c r="E151" s="176">
        <f>SUM(E$98:E100)</f>
        <v>2817583.8499999954</v>
      </c>
      <c r="F151" s="176">
        <f>SUM(F$98:F100)</f>
        <v>3293011.9000000008</v>
      </c>
      <c r="G151" s="176">
        <f>SUM(G$98:G100)</f>
        <v>3837704.4699999997</v>
      </c>
      <c r="H151" s="176">
        <f>SUM(H$98:H100)</f>
        <v>3847724.7299999911</v>
      </c>
      <c r="I151" s="176">
        <f>SUM(I$98:I100)</f>
        <v>3910862.6799999974</v>
      </c>
      <c r="J151" s="176">
        <f>SUM(J$98:J100)</f>
        <v>3688910.6699999971</v>
      </c>
      <c r="K151" s="176">
        <f>SUM(K$98:K100)</f>
        <v>3651497.25</v>
      </c>
      <c r="L151" s="176">
        <f>SUM(L$98:L100)</f>
        <v>3051570.8500000075</v>
      </c>
      <c r="M151" s="176">
        <f>SUM(M$98:M100)</f>
        <v>2981651.6700000037</v>
      </c>
      <c r="N151" s="176">
        <f>SUM(N$98:N100)</f>
        <v>3657805.0500000073</v>
      </c>
      <c r="O151" s="176">
        <f>SUM(O$98:O100)</f>
        <v>3731176.8900000146</v>
      </c>
      <c r="P151" s="176">
        <f>SUM(P$98:P100)</f>
        <v>3904348.930000009</v>
      </c>
      <c r="Q151" s="176">
        <f>SUM(Q$98:Q100)</f>
        <v>4672203.3200000189</v>
      </c>
      <c r="R151" s="176">
        <f>SUM(R$98:R100)</f>
        <v>4500176.2900000159</v>
      </c>
      <c r="S151" s="176">
        <f>SUM(S$98:S100)</f>
        <v>5285358.6400000276</v>
      </c>
      <c r="T151" s="176">
        <f>SUM(T$98:T100)</f>
        <v>4678705.4400000237</v>
      </c>
      <c r="U151" s="176">
        <f>SUM(U$98:U100)</f>
        <v>4745118.3400000175</v>
      </c>
      <c r="V151" s="176">
        <f>SUM(V$98:V100)</f>
        <v>4471276.5200000191</v>
      </c>
      <c r="W151" s="176">
        <f>SUM(W$98:W100)</f>
        <v>4566877.2700000247</v>
      </c>
      <c r="X151" s="176">
        <f>SUM(X$98:X100)</f>
        <v>4067307.5499999886</v>
      </c>
      <c r="Y151" s="176">
        <f>SUM(Y$98:Y100)</f>
        <v>4285002.2799999891</v>
      </c>
      <c r="Z151" s="176">
        <f>SUM(Z$98:Z100)</f>
        <v>5191887.7699999716</v>
      </c>
      <c r="AA151" s="176">
        <f>SUM(AA$98:AA100)</f>
        <v>4295486.0799999908</v>
      </c>
      <c r="AB151" s="176">
        <f>SUM(AB$98:AB100)</f>
        <v>4746289.8999999966</v>
      </c>
      <c r="AC151" s="176">
        <f>SUM(AC$98:AC100)</f>
        <v>4783527.6499999864</v>
      </c>
      <c r="AD151" s="176">
        <f>SUM(AD$98:AD100)</f>
        <v>4600661.3599999892</v>
      </c>
      <c r="AE151" s="176">
        <f>SUM(AE$98:AE100)</f>
        <v>5233719.1299999822</v>
      </c>
      <c r="AF151" s="176">
        <f>SUM(AF$98:AF100)</f>
        <v>4855919.2499999935</v>
      </c>
      <c r="AG151" s="176">
        <f>SUM(AG$98:AG100)</f>
        <v>5521340.1500000022</v>
      </c>
      <c r="AH151" s="176">
        <f>SUM(AH$98:AH100)</f>
        <v>5203623.8699999806</v>
      </c>
      <c r="AI151" s="176">
        <f>SUM(AI$98:AI100)</f>
        <v>5057392.3199999975</v>
      </c>
      <c r="AJ151" s="176">
        <f>SUM(AJ$98:AJ100)</f>
        <v>5174161.2699999912</v>
      </c>
      <c r="AK151" s="176">
        <f>SUM(AK$98:AK100)</f>
        <v>3917198.8800000069</v>
      </c>
      <c r="AL151" s="176">
        <f>SUM(AL$98:AL100)</f>
        <v>1157133.2399999991</v>
      </c>
      <c r="AS151" s="141"/>
      <c r="AT151" s="141"/>
    </row>
    <row r="152" spans="1:46" x14ac:dyDescent="0.2">
      <c r="A152" s="568" t="s">
        <v>981</v>
      </c>
      <c r="B152" s="7"/>
      <c r="C152" s="176">
        <f>SUM(C$98:C101)</f>
        <v>3041865.3200000017</v>
      </c>
      <c r="D152" s="176">
        <f>SUM(D$98:D101)</f>
        <v>3031550.700000002</v>
      </c>
      <c r="E152" s="176">
        <f>SUM(E$98:E101)</f>
        <v>3336910.2199999965</v>
      </c>
      <c r="F152" s="176">
        <f>SUM(F$98:F101)</f>
        <v>3549821.310000001</v>
      </c>
      <c r="G152" s="176">
        <f>SUM(G$98:G101)</f>
        <v>4230365.74</v>
      </c>
      <c r="H152" s="176">
        <f>SUM(H$98:H101)</f>
        <v>4234770.9299999913</v>
      </c>
      <c r="I152" s="176">
        <f>SUM(I$98:I101)</f>
        <v>4221225.5799999982</v>
      </c>
      <c r="J152" s="176">
        <f>SUM(J$98:J101)</f>
        <v>4172075.1599999978</v>
      </c>
      <c r="K152" s="176">
        <f>SUM(K$98:K101)</f>
        <v>4277458.1800000006</v>
      </c>
      <c r="L152" s="176">
        <f>SUM(L$98:L101)</f>
        <v>3273398.1800000072</v>
      </c>
      <c r="M152" s="176">
        <f>SUM(M$98:M101)</f>
        <v>3217521.2500000037</v>
      </c>
      <c r="N152" s="176">
        <f>SUM(N$98:N101)</f>
        <v>4099224.1400000071</v>
      </c>
      <c r="O152" s="176">
        <f>SUM(O$98:O101)</f>
        <v>4104165.5900000148</v>
      </c>
      <c r="P152" s="176">
        <f>SUM(P$98:P101)</f>
        <v>4757641.3300000085</v>
      </c>
      <c r="Q152" s="176">
        <f>SUM(Q$98:Q101)</f>
        <v>4884433.1300000185</v>
      </c>
      <c r="R152" s="176">
        <f>SUM(R$98:R101)</f>
        <v>4677718.2700000163</v>
      </c>
      <c r="S152" s="176">
        <f>SUM(S$98:S101)</f>
        <v>5553460.1700000279</v>
      </c>
      <c r="T152" s="176">
        <f>SUM(T$98:T101)</f>
        <v>4935752.4600000232</v>
      </c>
      <c r="U152" s="176">
        <f>SUM(U$98:U101)</f>
        <v>4989837.3200000171</v>
      </c>
      <c r="V152" s="176">
        <f>SUM(V$98:V101)</f>
        <v>4695429.1200000187</v>
      </c>
      <c r="W152" s="176">
        <f>SUM(W$98:W101)</f>
        <v>4780539.1200000243</v>
      </c>
      <c r="X152" s="176">
        <f>SUM(X$98:X101)</f>
        <v>4236286.8599999882</v>
      </c>
      <c r="Y152" s="176">
        <f>SUM(Y$98:Y101)</f>
        <v>4501015.4599999897</v>
      </c>
      <c r="Z152" s="176">
        <f>SUM(Z$98:Z101)</f>
        <v>5399659.9999999711</v>
      </c>
      <c r="AA152" s="176">
        <f>SUM(AA$98:AA101)</f>
        <v>4528693.7099999906</v>
      </c>
      <c r="AB152" s="176">
        <f>SUM(AB$98:AB101)</f>
        <v>4975772.5099999961</v>
      </c>
      <c r="AC152" s="176">
        <f>SUM(AC$98:AC101)</f>
        <v>5111272.5599999866</v>
      </c>
      <c r="AD152" s="176">
        <f>SUM(AD$98:AD101)</f>
        <v>4887649.2899999889</v>
      </c>
      <c r="AE152" s="176">
        <f>SUM(AE$98:AE101)</f>
        <v>5600511.3999999827</v>
      </c>
      <c r="AF152" s="176">
        <f>SUM(AF$98:AF101)</f>
        <v>5115522.2199999932</v>
      </c>
      <c r="AG152" s="176">
        <f>SUM(AG$98:AG101)</f>
        <v>5884706.5400000019</v>
      </c>
      <c r="AH152" s="176">
        <f>SUM(AH$98:AH101)</f>
        <v>5591103.0099999802</v>
      </c>
      <c r="AI152" s="176">
        <f>SUM(AI$98:AI101)</f>
        <v>5294588.3699999973</v>
      </c>
      <c r="AJ152" s="176">
        <f>SUM(AJ$98:AJ101)</f>
        <v>5174161.2699999912</v>
      </c>
      <c r="AK152" s="176">
        <f>SUM(AK$98:AK101)</f>
        <v>3917198.8800000069</v>
      </c>
      <c r="AL152" s="176">
        <f>SUM(AL$98:AL101)</f>
        <v>1157133.2399999991</v>
      </c>
      <c r="AS152" s="141"/>
      <c r="AT152" s="141"/>
    </row>
    <row r="153" spans="1:46" x14ac:dyDescent="0.2">
      <c r="A153" s="568" t="s">
        <v>982</v>
      </c>
      <c r="B153" s="7"/>
      <c r="C153" s="176">
        <f>SUM(C$98:C102)</f>
        <v>3291431.3900000015</v>
      </c>
      <c r="D153" s="176">
        <f>SUM(D$98:D102)</f>
        <v>3257269.8200000022</v>
      </c>
      <c r="E153" s="176">
        <f>SUM(E$98:E102)</f>
        <v>3496548.5399999963</v>
      </c>
      <c r="F153" s="176">
        <f>SUM(F$98:F102)</f>
        <v>3783614.1500000008</v>
      </c>
      <c r="G153" s="176">
        <f>SUM(G$98:G102)</f>
        <v>4543939.9400000004</v>
      </c>
      <c r="H153" s="176">
        <f>SUM(H$98:H102)</f>
        <v>4390173.4999999916</v>
      </c>
      <c r="I153" s="176">
        <f>SUM(I$98:I102)</f>
        <v>4418525.7599999979</v>
      </c>
      <c r="J153" s="176">
        <f>SUM(J$98:J102)</f>
        <v>4455410.5799999982</v>
      </c>
      <c r="K153" s="176">
        <f>SUM(K$98:K102)</f>
        <v>4508878.4800000004</v>
      </c>
      <c r="L153" s="176">
        <f>SUM(L$98:L102)</f>
        <v>3475478.5300000072</v>
      </c>
      <c r="M153" s="176">
        <f>SUM(M$98:M102)</f>
        <v>3439883.0200000037</v>
      </c>
      <c r="N153" s="176">
        <f>SUM(N$98:N102)</f>
        <v>4489151.6500000069</v>
      </c>
      <c r="O153" s="176">
        <f>SUM(O$98:O102)</f>
        <v>4629872.2100000158</v>
      </c>
      <c r="P153" s="176">
        <f>SUM(P$98:P102)</f>
        <v>4904750.7500000084</v>
      </c>
      <c r="Q153" s="176">
        <f>SUM(Q$98:Q102)</f>
        <v>4950007.360000019</v>
      </c>
      <c r="R153" s="176">
        <f>SUM(R$98:R102)</f>
        <v>4778369.0800000159</v>
      </c>
      <c r="S153" s="176">
        <f>SUM(S$98:S102)</f>
        <v>5613196.0000000279</v>
      </c>
      <c r="T153" s="176">
        <f>SUM(T$98:T102)</f>
        <v>4991264.2600000231</v>
      </c>
      <c r="U153" s="176">
        <f>SUM(U$98:U102)</f>
        <v>5082926.3500000173</v>
      </c>
      <c r="V153" s="176">
        <f>SUM(V$98:V102)</f>
        <v>4767033.2600000184</v>
      </c>
      <c r="W153" s="176">
        <f>SUM(W$98:W102)</f>
        <v>4835348.0000000242</v>
      </c>
      <c r="X153" s="176">
        <f>SUM(X$98:X102)</f>
        <v>4330296.0399999879</v>
      </c>
      <c r="Y153" s="176">
        <f>SUM(Y$98:Y102)</f>
        <v>4555024.1299999896</v>
      </c>
      <c r="Z153" s="176">
        <f>SUM(Z$98:Z102)</f>
        <v>5496666.2399999714</v>
      </c>
      <c r="AA153" s="176">
        <f>SUM(AA$98:AA102)</f>
        <v>4601069.6599999908</v>
      </c>
      <c r="AB153" s="176">
        <f>SUM(AB$98:AB102)</f>
        <v>5093287.7799999965</v>
      </c>
      <c r="AC153" s="176">
        <f>SUM(AC$98:AC102)</f>
        <v>5255853.8699999861</v>
      </c>
      <c r="AD153" s="176">
        <f>SUM(AD$98:AD102)</f>
        <v>4970176.6499999892</v>
      </c>
      <c r="AE153" s="176">
        <f>SUM(AE$98:AE102)</f>
        <v>5695164.6099999826</v>
      </c>
      <c r="AF153" s="176">
        <f>SUM(AF$98:AF102)</f>
        <v>5196123.9999999935</v>
      </c>
      <c r="AG153" s="176">
        <f>SUM(AG$98:AG102)</f>
        <v>6059983.1800000016</v>
      </c>
      <c r="AH153" s="176">
        <f>SUM(AH$98:AH102)</f>
        <v>5691598.2099999804</v>
      </c>
      <c r="AI153" s="176">
        <f>SUM(AI$98:AI102)</f>
        <v>5294588.3699999973</v>
      </c>
      <c r="AJ153" s="176">
        <f>SUM(AJ$98:AJ102)</f>
        <v>5174161.2699999912</v>
      </c>
      <c r="AK153" s="176">
        <f>SUM(AK$98:AK102)</f>
        <v>3917198.8800000069</v>
      </c>
      <c r="AL153" s="176">
        <f>SUM(AL$98:AL102)</f>
        <v>1157133.2399999991</v>
      </c>
      <c r="AS153" s="141"/>
      <c r="AT153" s="141"/>
    </row>
    <row r="154" spans="1:46" x14ac:dyDescent="0.2">
      <c r="A154" s="568" t="s">
        <v>983</v>
      </c>
      <c r="B154" s="7"/>
      <c r="C154" s="176">
        <f>SUM(C$98:C103)</f>
        <v>3409382.0200000014</v>
      </c>
      <c r="D154" s="176">
        <f>SUM(D$98:D103)</f>
        <v>3432465.430000002</v>
      </c>
      <c r="E154" s="176">
        <f>SUM(E$98:E103)</f>
        <v>3710666.7999999966</v>
      </c>
      <c r="F154" s="176">
        <f>SUM(F$98:F103)</f>
        <v>4037234.0700000008</v>
      </c>
      <c r="G154" s="176">
        <f>SUM(G$98:G103)</f>
        <v>4638748.37</v>
      </c>
      <c r="H154" s="176">
        <f>SUM(H$98:H103)</f>
        <v>4494814.2499999916</v>
      </c>
      <c r="I154" s="176">
        <f>SUM(I$98:I103)</f>
        <v>4567083.0999999978</v>
      </c>
      <c r="J154" s="176">
        <f>SUM(J$98:J103)</f>
        <v>4553022.4299999978</v>
      </c>
      <c r="K154" s="176">
        <f>SUM(K$98:K103)</f>
        <v>4665824.2600000007</v>
      </c>
      <c r="L154" s="176">
        <f>SUM(L$98:L103)</f>
        <v>3636655.8800000073</v>
      </c>
      <c r="M154" s="176">
        <f>SUM(M$98:M103)</f>
        <v>3710108.4900000035</v>
      </c>
      <c r="N154" s="176">
        <f>SUM(N$98:N103)</f>
        <v>4886867.3000000073</v>
      </c>
      <c r="O154" s="176">
        <f>SUM(O$98:O103)</f>
        <v>4742728.660000016</v>
      </c>
      <c r="P154" s="176">
        <f>SUM(P$98:P103)</f>
        <v>4934677.4100000085</v>
      </c>
      <c r="Q154" s="176">
        <f>SUM(Q$98:Q103)</f>
        <v>4996935.8300000187</v>
      </c>
      <c r="R154" s="176">
        <f>SUM(R$98:R103)</f>
        <v>4816255.6500000162</v>
      </c>
      <c r="S154" s="176">
        <f>SUM(S$98:S103)</f>
        <v>5648039.1100000283</v>
      </c>
      <c r="T154" s="176">
        <f>SUM(T$98:T103)</f>
        <v>5067424.6400000229</v>
      </c>
      <c r="U154" s="176">
        <f>SUM(U$98:U103)</f>
        <v>5120645.3500000173</v>
      </c>
      <c r="V154" s="176">
        <f>SUM(V$98:V103)</f>
        <v>4793348.4300000183</v>
      </c>
      <c r="W154" s="176">
        <f>SUM(W$98:W103)</f>
        <v>4886188.4200000241</v>
      </c>
      <c r="X154" s="176">
        <f>SUM(X$98:X103)</f>
        <v>4357187.4199999878</v>
      </c>
      <c r="Y154" s="176">
        <f>SUM(Y$98:Y103)</f>
        <v>4616675.7999999896</v>
      </c>
      <c r="Z154" s="176">
        <f>SUM(Z$98:Z103)</f>
        <v>5562684.2199999718</v>
      </c>
      <c r="AA154" s="176">
        <f>SUM(AA$98:AA103)</f>
        <v>4653120.9599999906</v>
      </c>
      <c r="AB154" s="176">
        <f>SUM(AB$98:AB103)</f>
        <v>5151003.2199999969</v>
      </c>
      <c r="AC154" s="176">
        <f>SUM(AC$98:AC103)</f>
        <v>5322215.6499999864</v>
      </c>
      <c r="AD154" s="176">
        <f>SUM(AD$98:AD103)</f>
        <v>4998306.0799999889</v>
      </c>
      <c r="AE154" s="176">
        <f>SUM(AE$98:AE103)</f>
        <v>5738395.7399999825</v>
      </c>
      <c r="AF154" s="176">
        <f>SUM(AF$98:AF103)</f>
        <v>5251117.2799999937</v>
      </c>
      <c r="AG154" s="176">
        <f>SUM(AG$98:AG103)</f>
        <v>6118778.3800000018</v>
      </c>
      <c r="AH154" s="176">
        <f>SUM(AH$98:AH103)</f>
        <v>5691598.2099999804</v>
      </c>
      <c r="AI154" s="176">
        <f>SUM(AI$98:AI103)</f>
        <v>5294588.3699999973</v>
      </c>
      <c r="AJ154" s="176">
        <f>SUM(AJ$98:AJ103)</f>
        <v>5174161.2699999912</v>
      </c>
      <c r="AK154" s="176">
        <f>SUM(AK$98:AK103)</f>
        <v>3917198.8800000069</v>
      </c>
      <c r="AL154" s="176">
        <f>SUM(AL$98:AL103)</f>
        <v>1157133.2399999991</v>
      </c>
      <c r="AS154" s="141"/>
      <c r="AT154" s="141"/>
    </row>
    <row r="155" spans="1:46" x14ac:dyDescent="0.2">
      <c r="A155" s="568" t="s">
        <v>984</v>
      </c>
      <c r="B155" s="7"/>
      <c r="C155" s="176">
        <f>SUM(C$98:C104)</f>
        <v>3463605.7800000012</v>
      </c>
      <c r="D155" s="176">
        <f>SUM(D$98:D104)</f>
        <v>3556024.3200000022</v>
      </c>
      <c r="E155" s="176">
        <f>SUM(E$98:E104)</f>
        <v>3919564.9499999965</v>
      </c>
      <c r="F155" s="176">
        <f>SUM(F$98:F104)</f>
        <v>4084167.2800000007</v>
      </c>
      <c r="G155" s="176">
        <f>SUM(G$98:G104)</f>
        <v>4690413.05</v>
      </c>
      <c r="H155" s="176">
        <f>SUM(H$98:H104)</f>
        <v>4612602.7299999921</v>
      </c>
      <c r="I155" s="176">
        <f>SUM(I$98:I104)</f>
        <v>4661861.5999999978</v>
      </c>
      <c r="J155" s="176">
        <f>SUM(J$98:J104)</f>
        <v>4651100.2099999981</v>
      </c>
      <c r="K155" s="176">
        <f>SUM(K$98:K104)</f>
        <v>4808563.2100000009</v>
      </c>
      <c r="L155" s="176">
        <f>SUM(L$98:L104)</f>
        <v>3875697.5600000075</v>
      </c>
      <c r="M155" s="176">
        <f>SUM(M$98:M104)</f>
        <v>3863755.6500000032</v>
      </c>
      <c r="N155" s="176">
        <f>SUM(N$98:N104)</f>
        <v>4994901.2000000076</v>
      </c>
      <c r="O155" s="176">
        <f>SUM(O$98:O104)</f>
        <v>4763026.8700000159</v>
      </c>
      <c r="P155" s="176">
        <f>SUM(P$98:P104)</f>
        <v>4953751.4800000088</v>
      </c>
      <c r="Q155" s="176">
        <f>SUM(Q$98:Q104)</f>
        <v>5017202.8300000187</v>
      </c>
      <c r="R155" s="176">
        <f>SUM(R$98:R104)</f>
        <v>4849104.6700000158</v>
      </c>
      <c r="S155" s="176">
        <f>SUM(S$98:S104)</f>
        <v>5677727.3700000281</v>
      </c>
      <c r="T155" s="176">
        <f>SUM(T$98:T104)</f>
        <v>5096322.4600000232</v>
      </c>
      <c r="U155" s="176">
        <f>SUM(U$98:U104)</f>
        <v>5151396.3000000175</v>
      </c>
      <c r="V155" s="176">
        <f>SUM(V$98:V104)</f>
        <v>4852361.7300000181</v>
      </c>
      <c r="W155" s="176">
        <f>SUM(W$98:W104)</f>
        <v>4908061.9400000237</v>
      </c>
      <c r="X155" s="176">
        <f>SUM(X$98:X104)</f>
        <v>4413454.7699999874</v>
      </c>
      <c r="Y155" s="176">
        <f>SUM(Y$98:Y104)</f>
        <v>4657535.4099999899</v>
      </c>
      <c r="Z155" s="176">
        <f>SUM(Z$98:Z104)</f>
        <v>5646098.3699999722</v>
      </c>
      <c r="AA155" s="176">
        <f>SUM(AA$98:AA104)</f>
        <v>4691706.8899999904</v>
      </c>
      <c r="AB155" s="176">
        <f>SUM(AB$98:AB104)</f>
        <v>5177480.009999997</v>
      </c>
      <c r="AC155" s="176">
        <f>SUM(AC$98:AC104)</f>
        <v>5371934.0099999867</v>
      </c>
      <c r="AD155" s="176">
        <f>SUM(AD$98:AD104)</f>
        <v>5040062.6699999887</v>
      </c>
      <c r="AE155" s="176">
        <f>SUM(AE$98:AE104)</f>
        <v>5782850.8599999826</v>
      </c>
      <c r="AF155" s="176">
        <f>SUM(AF$98:AF104)</f>
        <v>5279025.1699999934</v>
      </c>
      <c r="AG155" s="176">
        <f>SUM(AG$98:AG104)</f>
        <v>6118778.3800000018</v>
      </c>
      <c r="AH155" s="176">
        <f>SUM(AH$98:AH104)</f>
        <v>5691598.2099999804</v>
      </c>
      <c r="AI155" s="176">
        <f>SUM(AI$98:AI104)</f>
        <v>5294588.3699999973</v>
      </c>
      <c r="AJ155" s="176">
        <f>SUM(AJ$98:AJ104)</f>
        <v>5174161.2699999912</v>
      </c>
      <c r="AK155" s="176">
        <f>SUM(AK$98:AK104)</f>
        <v>3917198.8800000069</v>
      </c>
      <c r="AL155" s="176">
        <f>SUM(AL$98:AL104)</f>
        <v>1157133.2399999991</v>
      </c>
      <c r="AS155" s="141"/>
      <c r="AT155" s="141"/>
    </row>
    <row r="156" spans="1:46" x14ac:dyDescent="0.2">
      <c r="A156" s="568" t="s">
        <v>985</v>
      </c>
      <c r="B156" s="7"/>
      <c r="C156" s="176">
        <f>SUM(C$98:C105)</f>
        <v>3591794.1700000013</v>
      </c>
      <c r="D156" s="176">
        <f>SUM(D$98:D105)</f>
        <v>3668236.620000002</v>
      </c>
      <c r="E156" s="176">
        <f>SUM(E$98:E105)</f>
        <v>3950051.7599999965</v>
      </c>
      <c r="F156" s="176">
        <f>SUM(F$98:F105)</f>
        <v>4121187.7000000007</v>
      </c>
      <c r="G156" s="176">
        <f>SUM(G$98:G105)</f>
        <v>4739774.6499999994</v>
      </c>
      <c r="H156" s="176">
        <f>SUM(H$98:H105)</f>
        <v>4673486.2199999923</v>
      </c>
      <c r="I156" s="176">
        <f>SUM(I$98:I105)</f>
        <v>4744224.9099999974</v>
      </c>
      <c r="J156" s="176">
        <f>SUM(J$98:J105)</f>
        <v>4784403.4399999976</v>
      </c>
      <c r="K156" s="176">
        <f>SUM(K$98:K105)</f>
        <v>5017908.1900000013</v>
      </c>
      <c r="L156" s="176">
        <f>SUM(L$98:L105)</f>
        <v>3975885.7400000077</v>
      </c>
      <c r="M156" s="176">
        <f>SUM(M$98:M105)</f>
        <v>3965304.7800000031</v>
      </c>
      <c r="N156" s="176">
        <f>SUM(N$98:N105)</f>
        <v>5016745.060000008</v>
      </c>
      <c r="O156" s="176">
        <f>SUM(O$98:O105)</f>
        <v>4779002.4000000162</v>
      </c>
      <c r="P156" s="176">
        <f>SUM(P$98:P105)</f>
        <v>4994860.6500000088</v>
      </c>
      <c r="Q156" s="176">
        <f>SUM(Q$98:Q105)</f>
        <v>5031066.6200000187</v>
      </c>
      <c r="R156" s="176">
        <f>SUM(R$98:R105)</f>
        <v>4872841.9300000155</v>
      </c>
      <c r="S156" s="176">
        <f>SUM(S$98:S105)</f>
        <v>5701211.3700000281</v>
      </c>
      <c r="T156" s="176">
        <f>SUM(T$98:T105)</f>
        <v>5117783.0700000236</v>
      </c>
      <c r="U156" s="176">
        <f>SUM(U$98:U105)</f>
        <v>5182518.1200000178</v>
      </c>
      <c r="V156" s="176">
        <f>SUM(V$98:V105)</f>
        <v>4886504.7900000177</v>
      </c>
      <c r="W156" s="176">
        <f>SUM(W$98:W105)</f>
        <v>4955463.6700000241</v>
      </c>
      <c r="X156" s="176">
        <f>SUM(X$98:X105)</f>
        <v>4452739.249999987</v>
      </c>
      <c r="Y156" s="176">
        <f>SUM(Y$98:Y105)</f>
        <v>4689161.7999999896</v>
      </c>
      <c r="Z156" s="176">
        <f>SUM(Z$98:Z105)</f>
        <v>5687128.0899999719</v>
      </c>
      <c r="AA156" s="176">
        <f>SUM(AA$98:AA105)</f>
        <v>4710602.02999999</v>
      </c>
      <c r="AB156" s="176">
        <f>SUM(AB$98:AB105)</f>
        <v>5247587.6199999973</v>
      </c>
      <c r="AC156" s="176">
        <f>SUM(AC$98:AC105)</f>
        <v>5392302.6299999868</v>
      </c>
      <c r="AD156" s="176">
        <f>SUM(AD$98:AD105)</f>
        <v>5079925.0899999887</v>
      </c>
      <c r="AE156" s="176">
        <f>SUM(AE$98:AE105)</f>
        <v>5836334.2899999823</v>
      </c>
      <c r="AF156" s="176">
        <f>SUM(AF$98:AF105)</f>
        <v>5279025.1699999934</v>
      </c>
      <c r="AG156" s="176">
        <f>SUM(AG$98:AG105)</f>
        <v>6118778.3800000018</v>
      </c>
      <c r="AH156" s="176">
        <f>SUM(AH$98:AH105)</f>
        <v>5691598.2099999804</v>
      </c>
      <c r="AI156" s="176">
        <f>SUM(AI$98:AI105)</f>
        <v>5294588.3699999973</v>
      </c>
      <c r="AJ156" s="176">
        <f>SUM(AJ$98:AJ105)</f>
        <v>5174161.2699999912</v>
      </c>
      <c r="AK156" s="176">
        <f>SUM(AK$98:AK105)</f>
        <v>3917198.8800000069</v>
      </c>
      <c r="AL156" s="176">
        <f>SUM(AL$98:AL105)</f>
        <v>1157133.2399999991</v>
      </c>
      <c r="AS156" s="141"/>
      <c r="AT156" s="141"/>
    </row>
    <row r="157" spans="1:46" x14ac:dyDescent="0.2">
      <c r="A157" s="568" t="s">
        <v>986</v>
      </c>
      <c r="B157" s="7"/>
      <c r="C157" s="176">
        <f>SUM(C$98:C106)</f>
        <v>3658209.9700000011</v>
      </c>
      <c r="D157" s="176">
        <f>SUM(D$98:D106)</f>
        <v>3696334.5100000021</v>
      </c>
      <c r="E157" s="176">
        <f>SUM(E$98:E106)</f>
        <v>3971429.7399999965</v>
      </c>
      <c r="F157" s="176">
        <f>SUM(F$98:F106)</f>
        <v>4162182.1600000006</v>
      </c>
      <c r="G157" s="176">
        <f>SUM(G$98:G106)</f>
        <v>4770827.3199999994</v>
      </c>
      <c r="H157" s="176">
        <f>SUM(H$98:H106)</f>
        <v>4733727.8399999924</v>
      </c>
      <c r="I157" s="176">
        <f>SUM(I$98:I106)</f>
        <v>4779884.9899999974</v>
      </c>
      <c r="J157" s="176">
        <f>SUM(J$98:J106)</f>
        <v>4871160.3499999978</v>
      </c>
      <c r="K157" s="176">
        <f>SUM(K$98:K106)</f>
        <v>5097601.7300000014</v>
      </c>
      <c r="L157" s="176">
        <f>SUM(L$98:L106)</f>
        <v>4038332.5600000075</v>
      </c>
      <c r="M157" s="176">
        <f>SUM(M$98:M106)</f>
        <v>3977502.6700000032</v>
      </c>
      <c r="N157" s="176">
        <f>SUM(N$98:N106)</f>
        <v>5047123.0400000084</v>
      </c>
      <c r="O157" s="176">
        <f>SUM(O$98:O106)</f>
        <v>4795108.0500000166</v>
      </c>
      <c r="P157" s="176">
        <f>SUM(P$98:P106)</f>
        <v>5016444.180000009</v>
      </c>
      <c r="Q157" s="176">
        <f>SUM(Q$98:Q106)</f>
        <v>5073645.4100000188</v>
      </c>
      <c r="R157" s="176">
        <f>SUM(R$98:R106)</f>
        <v>4885464.5800000159</v>
      </c>
      <c r="S157" s="176">
        <f>SUM(S$98:S106)</f>
        <v>5744349.3900000276</v>
      </c>
      <c r="T157" s="176">
        <f>SUM(T$98:T106)</f>
        <v>5138527.7100000232</v>
      </c>
      <c r="U157" s="176">
        <f>SUM(U$98:U106)</f>
        <v>5203899.6000000183</v>
      </c>
      <c r="V157" s="176">
        <f>SUM(V$98:V106)</f>
        <v>4911047.6700000176</v>
      </c>
      <c r="W157" s="176">
        <f>SUM(W$98:W106)</f>
        <v>4980586.0800000243</v>
      </c>
      <c r="X157" s="176">
        <f>SUM(X$98:X106)</f>
        <v>4496301.6599999871</v>
      </c>
      <c r="Y157" s="176">
        <f>SUM(Y$98:Y106)</f>
        <v>4716170.9099999899</v>
      </c>
      <c r="Z157" s="176">
        <f>SUM(Z$98:Z106)</f>
        <v>5699318.3799999719</v>
      </c>
      <c r="AA157" s="176">
        <f>SUM(AA$98:AA106)</f>
        <v>4728344.0499999896</v>
      </c>
      <c r="AB157" s="176">
        <f>SUM(AB$98:AB106)</f>
        <v>5271888.3299999973</v>
      </c>
      <c r="AC157" s="176">
        <f>SUM(AC$98:AC106)</f>
        <v>5421825.9399999864</v>
      </c>
      <c r="AD157" s="176">
        <f>SUM(AD$98:AD106)</f>
        <v>5091384.0599999884</v>
      </c>
      <c r="AE157" s="176">
        <f>SUM(AE$98:AE106)</f>
        <v>5836334.2899999823</v>
      </c>
      <c r="AF157" s="176">
        <f>SUM(AF$98:AF106)</f>
        <v>5279025.1699999934</v>
      </c>
      <c r="AG157" s="176">
        <f>SUM(AG$98:AG106)</f>
        <v>6118778.3800000018</v>
      </c>
      <c r="AH157" s="176">
        <f>SUM(AH$98:AH106)</f>
        <v>5691598.2099999804</v>
      </c>
      <c r="AI157" s="176">
        <f>SUM(AI$98:AI106)</f>
        <v>5294588.3699999973</v>
      </c>
      <c r="AJ157" s="176">
        <f>SUM(AJ$98:AJ106)</f>
        <v>5174161.2699999912</v>
      </c>
      <c r="AK157" s="176">
        <f>SUM(AK$98:AK106)</f>
        <v>3917198.8800000069</v>
      </c>
      <c r="AL157" s="176">
        <f>SUM(AL$98:AL106)</f>
        <v>1157133.2399999991</v>
      </c>
      <c r="AS157" s="141"/>
      <c r="AT157" s="141"/>
    </row>
    <row r="158" spans="1:46" x14ac:dyDescent="0.2">
      <c r="A158" s="568" t="s">
        <v>987</v>
      </c>
      <c r="B158" s="7"/>
      <c r="C158" s="176">
        <f>SUM(C$98:C107)</f>
        <v>3682554.1900000013</v>
      </c>
      <c r="D158" s="176">
        <f>SUM(D$98:D107)</f>
        <v>3722157.9800000023</v>
      </c>
      <c r="E158" s="176">
        <f>SUM(E$98:E107)</f>
        <v>3996378.1599999964</v>
      </c>
      <c r="F158" s="176">
        <f>SUM(F$98:F107)</f>
        <v>4182207.8300000005</v>
      </c>
      <c r="G158" s="176">
        <f>SUM(G$98:G107)</f>
        <v>4808661.47</v>
      </c>
      <c r="H158" s="176">
        <f>SUM(H$98:H107)</f>
        <v>4766417.0899999924</v>
      </c>
      <c r="I158" s="176">
        <f>SUM(I$98:I107)</f>
        <v>4863002.0699999975</v>
      </c>
      <c r="J158" s="176">
        <f>SUM(J$98:J107)</f>
        <v>4909363.9799999977</v>
      </c>
      <c r="K158" s="176">
        <f>SUM(K$98:K107)</f>
        <v>5234949.330000001</v>
      </c>
      <c r="L158" s="176">
        <f>SUM(L$98:L107)</f>
        <v>4052913.8700000076</v>
      </c>
      <c r="M158" s="176">
        <f>SUM(M$98:M107)</f>
        <v>4016529.2500000033</v>
      </c>
      <c r="N158" s="176">
        <f>SUM(N$98:N107)</f>
        <v>5066728.0500000082</v>
      </c>
      <c r="O158" s="176">
        <f>SUM(O$98:O107)</f>
        <v>4820958.3500000164</v>
      </c>
      <c r="P158" s="176">
        <f>SUM(P$98:P107)</f>
        <v>5050400.7600000091</v>
      </c>
      <c r="Q158" s="176">
        <f>SUM(Q$98:Q107)</f>
        <v>5093751.3500000192</v>
      </c>
      <c r="R158" s="176">
        <f>SUM(R$98:R107)</f>
        <v>4899995.1400000155</v>
      </c>
      <c r="S158" s="176">
        <f>SUM(S$98:S107)</f>
        <v>5759300.1100000273</v>
      </c>
      <c r="T158" s="176">
        <f>SUM(T$98:T107)</f>
        <v>5168191.680000023</v>
      </c>
      <c r="U158" s="176">
        <f>SUM(U$98:U107)</f>
        <v>5215302.9600000186</v>
      </c>
      <c r="V158" s="176">
        <f>SUM(V$98:V107)</f>
        <v>4926991.6400000174</v>
      </c>
      <c r="W158" s="176">
        <f>SUM(W$98:W107)</f>
        <v>5012672.6500000246</v>
      </c>
      <c r="X158" s="176">
        <f>SUM(X$98:X107)</f>
        <v>4517243.1299999868</v>
      </c>
      <c r="Y158" s="176">
        <f>SUM(Y$98:Y107)</f>
        <v>4731436.73999999</v>
      </c>
      <c r="Z158" s="176">
        <f>SUM(Z$98:Z107)</f>
        <v>5720173.1799999718</v>
      </c>
      <c r="AA158" s="176">
        <f>SUM(AA$98:AA107)</f>
        <v>4746352.8199999891</v>
      </c>
      <c r="AB158" s="176">
        <f>SUM(AB$98:AB107)</f>
        <v>5292234.6299999971</v>
      </c>
      <c r="AC158" s="176">
        <f>SUM(AC$98:AC107)</f>
        <v>5428880.2999999868</v>
      </c>
      <c r="AD158" s="176">
        <f>SUM(AD$98:AD107)</f>
        <v>5091384.0599999884</v>
      </c>
      <c r="AE158" s="176">
        <f>SUM(AE$98:AE107)</f>
        <v>5836334.2899999823</v>
      </c>
      <c r="AF158" s="176">
        <f>SUM(AF$98:AF107)</f>
        <v>5279025.1699999934</v>
      </c>
      <c r="AG158" s="176">
        <f>SUM(AG$98:AG107)</f>
        <v>6118778.3800000018</v>
      </c>
      <c r="AH158" s="176">
        <f>SUM(AH$98:AH107)</f>
        <v>5691598.2099999804</v>
      </c>
      <c r="AI158" s="176">
        <f>SUM(AI$98:AI107)</f>
        <v>5294588.3699999973</v>
      </c>
      <c r="AJ158" s="176">
        <f>SUM(AJ$98:AJ107)</f>
        <v>5174161.2699999912</v>
      </c>
      <c r="AK158" s="176">
        <f>SUM(AK$98:AK107)</f>
        <v>3917198.8800000069</v>
      </c>
      <c r="AL158" s="176">
        <f>SUM(AL$98:AL107)</f>
        <v>1157133.2399999991</v>
      </c>
      <c r="AS158" s="141"/>
      <c r="AT158" s="141"/>
    </row>
    <row r="159" spans="1:46" x14ac:dyDescent="0.2">
      <c r="A159" s="568" t="s">
        <v>988</v>
      </c>
      <c r="B159" s="7"/>
      <c r="C159" s="176">
        <f>SUM(C$98:C108)</f>
        <v>3698422.3900000015</v>
      </c>
      <c r="D159" s="176">
        <f>SUM(D$98:D108)</f>
        <v>3753424.2700000023</v>
      </c>
      <c r="E159" s="176">
        <f>SUM(E$98:E108)</f>
        <v>4020829.7999999966</v>
      </c>
      <c r="F159" s="176">
        <f>SUM(F$98:F108)</f>
        <v>4200258.66</v>
      </c>
      <c r="G159" s="176">
        <f>SUM(G$98:G108)</f>
        <v>4832217.18</v>
      </c>
      <c r="H159" s="176">
        <f>SUM(H$98:H108)</f>
        <v>4823355.5099999923</v>
      </c>
      <c r="I159" s="176">
        <f>SUM(I$98:I108)</f>
        <v>4893759.3799999971</v>
      </c>
      <c r="J159" s="176">
        <f>SUM(J$98:J108)</f>
        <v>4961673.6199999973</v>
      </c>
      <c r="K159" s="176">
        <f>SUM(K$98:K108)</f>
        <v>5262457.1900000013</v>
      </c>
      <c r="L159" s="176">
        <f>SUM(L$98:L108)</f>
        <v>4066312.4100000076</v>
      </c>
      <c r="M159" s="176">
        <f>SUM(M$98:M108)</f>
        <v>4058206.8000000031</v>
      </c>
      <c r="N159" s="176">
        <f>SUM(N$98:N108)</f>
        <v>5082682.7900000084</v>
      </c>
      <c r="O159" s="176">
        <f>SUM(O$98:O108)</f>
        <v>4828395.0600000164</v>
      </c>
      <c r="P159" s="176">
        <f>SUM(P$98:P108)</f>
        <v>5071243.6600000095</v>
      </c>
      <c r="Q159" s="176">
        <f>SUM(Q$98:Q108)</f>
        <v>5109698.610000019</v>
      </c>
      <c r="R159" s="176">
        <f>SUM(R$98:R108)</f>
        <v>4924010.1400000155</v>
      </c>
      <c r="S159" s="176">
        <f>SUM(S$98:S108)</f>
        <v>5785460.000000027</v>
      </c>
      <c r="T159" s="176">
        <f>SUM(T$98:T108)</f>
        <v>5178879.5900000231</v>
      </c>
      <c r="U159" s="176">
        <f>SUM(U$98:U108)</f>
        <v>5226490.3100000182</v>
      </c>
      <c r="V159" s="176">
        <f>SUM(V$98:V108)</f>
        <v>4946509.0900000175</v>
      </c>
      <c r="W159" s="176">
        <f>SUM(W$98:W108)</f>
        <v>5033974.8100000247</v>
      </c>
      <c r="X159" s="176">
        <f>SUM(X$98:X108)</f>
        <v>4542013.289999987</v>
      </c>
      <c r="Y159" s="176">
        <f>SUM(Y$98:Y108)</f>
        <v>4743115.0499999896</v>
      </c>
      <c r="Z159" s="176">
        <f>SUM(Z$98:Z108)</f>
        <v>5735202.1199999722</v>
      </c>
      <c r="AA159" s="176">
        <f>SUM(AA$98:AA108)</f>
        <v>4758156.8299999889</v>
      </c>
      <c r="AB159" s="176">
        <f>SUM(AB$98:AB108)</f>
        <v>5316008.1099999975</v>
      </c>
      <c r="AC159" s="176">
        <f>SUM(AC$98:AC108)</f>
        <v>5428880.2999999868</v>
      </c>
      <c r="AD159" s="176">
        <f>SUM(AD$98:AD108)</f>
        <v>5091384.0599999884</v>
      </c>
      <c r="AE159" s="176">
        <f>SUM(AE$98:AE108)</f>
        <v>5836334.2899999823</v>
      </c>
      <c r="AF159" s="176">
        <f>SUM(AF$98:AF108)</f>
        <v>5279025.1699999934</v>
      </c>
      <c r="AG159" s="176">
        <f>SUM(AG$98:AG108)</f>
        <v>6118778.3800000018</v>
      </c>
      <c r="AH159" s="176">
        <f>SUM(AH$98:AH108)</f>
        <v>5691598.2099999804</v>
      </c>
      <c r="AI159" s="176">
        <f>SUM(AI$98:AI108)</f>
        <v>5294588.3699999973</v>
      </c>
      <c r="AJ159" s="176">
        <f>SUM(AJ$98:AJ108)</f>
        <v>5174161.2699999912</v>
      </c>
      <c r="AK159" s="176">
        <f>SUM(AK$98:AK108)</f>
        <v>3917198.8800000069</v>
      </c>
      <c r="AL159" s="176">
        <f>SUM(AL$98:AL108)</f>
        <v>1157133.2399999991</v>
      </c>
      <c r="AS159" s="141"/>
      <c r="AT159" s="141"/>
    </row>
    <row r="160" spans="1:46" x14ac:dyDescent="0.2">
      <c r="A160" s="568" t="s">
        <v>989</v>
      </c>
      <c r="B160" s="7"/>
      <c r="C160" s="176">
        <f>SUM(C$98:C109)</f>
        <v>3730664.5500000017</v>
      </c>
      <c r="D160" s="176">
        <f>SUM(D$98:D109)</f>
        <v>3767460.1500000022</v>
      </c>
      <c r="E160" s="176">
        <f>SUM(E$98:E109)</f>
        <v>4037586.7799999965</v>
      </c>
      <c r="F160" s="176">
        <f>SUM(F$98:F109)</f>
        <v>4219028.74</v>
      </c>
      <c r="G160" s="176">
        <f>SUM(G$98:G109)</f>
        <v>4929984.3</v>
      </c>
      <c r="H160" s="176">
        <f>SUM(H$98:H109)</f>
        <v>4853171.5799999926</v>
      </c>
      <c r="I160" s="176">
        <f>SUM(I$98:I109)</f>
        <v>4979814.3999999966</v>
      </c>
      <c r="J160" s="176">
        <f>SUM(J$98:J109)</f>
        <v>4990987.9999999972</v>
      </c>
      <c r="K160" s="176">
        <f>SUM(K$98:K109)</f>
        <v>5312663.4600000009</v>
      </c>
      <c r="L160" s="176">
        <f>SUM(L$98:L109)</f>
        <v>4080134.8300000075</v>
      </c>
      <c r="M160" s="176">
        <f>SUM(M$98:M109)</f>
        <v>4083606.510000003</v>
      </c>
      <c r="N160" s="176">
        <f>SUM(N$98:N109)</f>
        <v>5088475.8000000082</v>
      </c>
      <c r="O160" s="176">
        <f>SUM(O$98:O109)</f>
        <v>4870586.1100000162</v>
      </c>
      <c r="P160" s="176">
        <f>SUM(P$98:P109)</f>
        <v>5085837.5700000096</v>
      </c>
      <c r="Q160" s="176">
        <f>SUM(Q$98:Q109)</f>
        <v>5119716.7500000186</v>
      </c>
      <c r="R160" s="176">
        <f>SUM(R$98:R109)</f>
        <v>4935187.1200000159</v>
      </c>
      <c r="S160" s="176">
        <f>SUM(S$98:S109)</f>
        <v>5791226.5600000266</v>
      </c>
      <c r="T160" s="176">
        <f>SUM(T$98:T109)</f>
        <v>5213135.9900000235</v>
      </c>
      <c r="U160" s="176">
        <f>SUM(U$98:U109)</f>
        <v>5252461.9200000186</v>
      </c>
      <c r="V160" s="176">
        <f>SUM(V$98:V109)</f>
        <v>4956914.7600000175</v>
      </c>
      <c r="W160" s="176">
        <f>SUM(W$98:W109)</f>
        <v>5042364.6600000244</v>
      </c>
      <c r="X160" s="176">
        <f>SUM(X$98:X109)</f>
        <v>4554635.579999987</v>
      </c>
      <c r="Y160" s="176">
        <f>SUM(Y$98:Y109)</f>
        <v>4750346.2599999895</v>
      </c>
      <c r="Z160" s="176">
        <f>SUM(Z$98:Z109)</f>
        <v>5751488.2999999719</v>
      </c>
      <c r="AA160" s="176">
        <f>SUM(AA$98:AA109)</f>
        <v>4763552.8999999892</v>
      </c>
      <c r="AB160" s="176">
        <f>SUM(AB$98:AB109)</f>
        <v>5316008.1099999975</v>
      </c>
      <c r="AC160" s="176">
        <f>SUM(AC$98:AC109)</f>
        <v>5428880.2999999868</v>
      </c>
      <c r="AD160" s="176">
        <f>SUM(AD$98:AD109)</f>
        <v>5091384.0599999884</v>
      </c>
      <c r="AE160" s="176">
        <f>SUM(AE$98:AE109)</f>
        <v>5836334.2899999823</v>
      </c>
      <c r="AF160" s="176">
        <f>SUM(AF$98:AF109)</f>
        <v>5279025.1699999934</v>
      </c>
      <c r="AG160" s="176">
        <f>SUM(AG$98:AG109)</f>
        <v>6118778.3800000018</v>
      </c>
      <c r="AH160" s="176">
        <f>SUM(AH$98:AH109)</f>
        <v>5691598.2099999804</v>
      </c>
      <c r="AI160" s="176">
        <f>SUM(AI$98:AI109)</f>
        <v>5294588.3699999973</v>
      </c>
      <c r="AJ160" s="176">
        <f>SUM(AJ$98:AJ109)</f>
        <v>5174161.2699999912</v>
      </c>
      <c r="AK160" s="176">
        <f>SUM(AK$98:AK109)</f>
        <v>3917198.8800000069</v>
      </c>
      <c r="AL160" s="176">
        <f>SUM(AL$98:AL109)</f>
        <v>1157133.2399999991</v>
      </c>
      <c r="AS160" s="141"/>
      <c r="AT160" s="141"/>
    </row>
    <row r="161" spans="1:46" x14ac:dyDescent="0.2">
      <c r="A161" s="568" t="s">
        <v>990</v>
      </c>
      <c r="B161" s="7"/>
      <c r="C161" s="176">
        <f>SUM(C$98:C110)</f>
        <v>3752586.2400000016</v>
      </c>
      <c r="D161" s="176">
        <f>SUM(D$98:D110)</f>
        <v>3784122.3700000024</v>
      </c>
      <c r="E161" s="176">
        <f>SUM(E$98:E110)</f>
        <v>4047377.7099999967</v>
      </c>
      <c r="F161" s="176">
        <f>SUM(F$98:F110)</f>
        <v>4236237.9800000004</v>
      </c>
      <c r="G161" s="176">
        <f>SUM(G$98:G110)</f>
        <v>4961457.1499999994</v>
      </c>
      <c r="H161" s="176">
        <f>SUM(H$98:H110)</f>
        <v>4921074.2399999928</v>
      </c>
      <c r="I161" s="176">
        <f>SUM(I$98:I110)</f>
        <v>5012348.3499999968</v>
      </c>
      <c r="J161" s="176">
        <f>SUM(J$98:J110)</f>
        <v>5035185.4399999976</v>
      </c>
      <c r="K161" s="176">
        <f>SUM(K$98:K110)</f>
        <v>5346903.9300000006</v>
      </c>
      <c r="L161" s="176">
        <f>SUM(L$98:L110)</f>
        <v>4139244.7600000077</v>
      </c>
      <c r="M161" s="176">
        <f>SUM(M$98:M110)</f>
        <v>4100769.7300000032</v>
      </c>
      <c r="N161" s="176">
        <f>SUM(N$98:N110)</f>
        <v>5099609.350000008</v>
      </c>
      <c r="O161" s="176">
        <f>SUM(O$98:O110)</f>
        <v>4883348.7800000161</v>
      </c>
      <c r="P161" s="176">
        <f>SUM(P$98:P110)</f>
        <v>5090755.9500000095</v>
      </c>
      <c r="Q161" s="176">
        <f>SUM(Q$98:Q110)</f>
        <v>5135634.360000019</v>
      </c>
      <c r="R161" s="176">
        <f>SUM(R$98:R110)</f>
        <v>4947320.2400000161</v>
      </c>
      <c r="S161" s="176">
        <f>SUM(S$98:S110)</f>
        <v>5803156.8900000267</v>
      </c>
      <c r="T161" s="176">
        <f>SUM(T$98:T110)</f>
        <v>5222697.1300000232</v>
      </c>
      <c r="U161" s="176">
        <f>SUM(U$98:U110)</f>
        <v>5271889.4400000181</v>
      </c>
      <c r="V161" s="176">
        <f>SUM(V$98:V110)</f>
        <v>4975757.6700000176</v>
      </c>
      <c r="W161" s="176">
        <f>SUM(W$98:W110)</f>
        <v>5060676.3600000245</v>
      </c>
      <c r="X161" s="176">
        <f>SUM(X$98:X110)</f>
        <v>4562343.6299999868</v>
      </c>
      <c r="Y161" s="176">
        <f>SUM(Y$98:Y110)</f>
        <v>4766759.2899999898</v>
      </c>
      <c r="Z161" s="176">
        <f>SUM(Z$98:Z110)</f>
        <v>5761664.9499999722</v>
      </c>
      <c r="AA161" s="176">
        <f>SUM(AA$98:AA110)</f>
        <v>4763552.8999999892</v>
      </c>
      <c r="AB161" s="176">
        <f>SUM(AB$98:AB110)</f>
        <v>5316008.1099999975</v>
      </c>
      <c r="AC161" s="176">
        <f>SUM(AC$98:AC110)</f>
        <v>5428880.2999999868</v>
      </c>
      <c r="AD161" s="176">
        <f>SUM(AD$98:AD110)</f>
        <v>5091384.0599999884</v>
      </c>
      <c r="AE161" s="176">
        <f>SUM(AE$98:AE110)</f>
        <v>5836334.2899999823</v>
      </c>
      <c r="AF161" s="176">
        <f>SUM(AF$98:AF110)</f>
        <v>5279025.1699999934</v>
      </c>
      <c r="AG161" s="176">
        <f>SUM(AG$98:AG110)</f>
        <v>6118778.3800000018</v>
      </c>
      <c r="AH161" s="176">
        <f>SUM(AH$98:AH110)</f>
        <v>5691598.2099999804</v>
      </c>
      <c r="AI161" s="176">
        <f>SUM(AI$98:AI110)</f>
        <v>5294588.3699999973</v>
      </c>
      <c r="AJ161" s="176">
        <f>SUM(AJ$98:AJ110)</f>
        <v>5174161.2699999912</v>
      </c>
      <c r="AK161" s="176">
        <f>SUM(AK$98:AK110)</f>
        <v>3917198.8800000069</v>
      </c>
      <c r="AL161" s="176">
        <f>SUM(AL$98:AL110)</f>
        <v>1157133.2399999991</v>
      </c>
      <c r="AS161" s="141"/>
      <c r="AT161" s="141"/>
    </row>
    <row r="162" spans="1:46" x14ac:dyDescent="0.2">
      <c r="A162" s="568" t="s">
        <v>991</v>
      </c>
      <c r="B162" s="7"/>
      <c r="C162" s="176">
        <f>SUM(C$98:C111)</f>
        <v>3760873.0300000017</v>
      </c>
      <c r="D162" s="176">
        <f>SUM(D$98:D111)</f>
        <v>3791201.1600000025</v>
      </c>
      <c r="E162" s="176">
        <f>SUM(E$98:E111)</f>
        <v>4069281.5899999966</v>
      </c>
      <c r="F162" s="176">
        <f>SUM(F$98:F111)</f>
        <v>4259242.03</v>
      </c>
      <c r="G162" s="176">
        <f>SUM(G$98:G111)</f>
        <v>5034389.3999999994</v>
      </c>
      <c r="H162" s="176">
        <f>SUM(H$98:H111)</f>
        <v>4935050.689999993</v>
      </c>
      <c r="I162" s="176">
        <f>SUM(I$98:I111)</f>
        <v>5038387.3899999969</v>
      </c>
      <c r="J162" s="176">
        <f>SUM(J$98:J111)</f>
        <v>5066728.9299999978</v>
      </c>
      <c r="K162" s="176">
        <f>SUM(K$98:K111)</f>
        <v>5357434.8100000005</v>
      </c>
      <c r="L162" s="176">
        <f>SUM(L$98:L111)</f>
        <v>4146392.5200000075</v>
      </c>
      <c r="M162" s="176">
        <f>SUM(M$98:M111)</f>
        <v>4105833.240000003</v>
      </c>
      <c r="N162" s="176">
        <f>SUM(N$98:N111)</f>
        <v>5110677.8700000076</v>
      </c>
      <c r="O162" s="176">
        <f>SUM(O$98:O111)</f>
        <v>4887582.6900000162</v>
      </c>
      <c r="P162" s="176">
        <f>SUM(P$98:P111)</f>
        <v>5108109.8700000094</v>
      </c>
      <c r="Q162" s="176">
        <f>SUM(Q$98:Q111)</f>
        <v>5138539.5700000189</v>
      </c>
      <c r="R162" s="176">
        <f>SUM(R$98:R111)</f>
        <v>4959652.6100000162</v>
      </c>
      <c r="S162" s="176">
        <f>SUM(S$98:S111)</f>
        <v>5807948.3500000266</v>
      </c>
      <c r="T162" s="176">
        <f>SUM(T$98:T111)</f>
        <v>5228370.2900000233</v>
      </c>
      <c r="U162" s="176">
        <f>SUM(U$98:U111)</f>
        <v>5287502.9400000181</v>
      </c>
      <c r="V162" s="176">
        <f>SUM(V$98:V111)</f>
        <v>4993225.4400000172</v>
      </c>
      <c r="W162" s="176">
        <f>SUM(W$98:W111)</f>
        <v>5071070.7600000249</v>
      </c>
      <c r="X162" s="176">
        <f>SUM(X$98:X111)</f>
        <v>4573659.0199999865</v>
      </c>
      <c r="Y162" s="176">
        <f>SUM(Y$98:Y111)</f>
        <v>4771663.9699999895</v>
      </c>
      <c r="Z162" s="176">
        <f>SUM(Z$98:Z111)</f>
        <v>5761664.9499999722</v>
      </c>
      <c r="AA162" s="176">
        <f>SUM(AA$98:AA111)</f>
        <v>4763552.8999999892</v>
      </c>
      <c r="AB162" s="176">
        <f>SUM(AB$98:AB111)</f>
        <v>5316008.1099999975</v>
      </c>
      <c r="AC162" s="176">
        <f>SUM(AC$98:AC111)</f>
        <v>5428880.2999999868</v>
      </c>
      <c r="AD162" s="176">
        <f>SUM(AD$98:AD111)</f>
        <v>5091384.0599999884</v>
      </c>
      <c r="AE162" s="176">
        <f>SUM(AE$98:AE111)</f>
        <v>5836334.2899999823</v>
      </c>
      <c r="AF162" s="176">
        <f>SUM(AF$98:AF111)</f>
        <v>5279025.1699999934</v>
      </c>
      <c r="AG162" s="176">
        <f>SUM(AG$98:AG111)</f>
        <v>6118778.3800000018</v>
      </c>
      <c r="AH162" s="176">
        <f>SUM(AH$98:AH111)</f>
        <v>5691598.2099999804</v>
      </c>
      <c r="AI162" s="176">
        <f>SUM(AI$98:AI111)</f>
        <v>5294588.3699999973</v>
      </c>
      <c r="AJ162" s="176">
        <f>SUM(AJ$98:AJ111)</f>
        <v>5174161.2699999912</v>
      </c>
      <c r="AK162" s="176">
        <f>SUM(AK$98:AK111)</f>
        <v>3917198.8800000069</v>
      </c>
      <c r="AL162" s="176">
        <f>SUM(AL$98:AL111)</f>
        <v>1157133.2399999991</v>
      </c>
      <c r="AS162" s="141"/>
      <c r="AT162" s="141"/>
    </row>
    <row r="163" spans="1:46" x14ac:dyDescent="0.2">
      <c r="A163" s="568" t="s">
        <v>992</v>
      </c>
      <c r="B163" s="7"/>
      <c r="C163" s="176">
        <f>SUM(C$98:C112)</f>
        <v>3763312.4700000016</v>
      </c>
      <c r="D163" s="176">
        <f>SUM(D$98:D112)</f>
        <v>3819013.0700000026</v>
      </c>
      <c r="E163" s="176">
        <f>SUM(E$98:E112)</f>
        <v>4080109.6499999966</v>
      </c>
      <c r="F163" s="176">
        <f>SUM(F$98:F112)</f>
        <v>4287668.8600000003</v>
      </c>
      <c r="G163" s="176">
        <f>SUM(G$98:G112)</f>
        <v>5040483.3599999994</v>
      </c>
      <c r="H163" s="176">
        <f>SUM(H$98:H112)</f>
        <v>4945830.3899999931</v>
      </c>
      <c r="I163" s="176">
        <f>SUM(I$98:I112)</f>
        <v>5059253.8199999966</v>
      </c>
      <c r="J163" s="176">
        <f>SUM(J$98:J112)</f>
        <v>5074691.7299999977</v>
      </c>
      <c r="K163" s="176">
        <f>SUM(K$98:K112)</f>
        <v>5359329.7700000005</v>
      </c>
      <c r="L163" s="176">
        <f>SUM(L$98:L112)</f>
        <v>4151232.3000000073</v>
      </c>
      <c r="M163" s="176">
        <f>SUM(M$98:M112)</f>
        <v>4113924.490000003</v>
      </c>
      <c r="N163" s="176">
        <f>SUM(N$98:N112)</f>
        <v>5117578.9600000074</v>
      </c>
      <c r="O163" s="176">
        <f>SUM(O$98:O112)</f>
        <v>4904090.0000000158</v>
      </c>
      <c r="P163" s="176">
        <f>SUM(P$98:P112)</f>
        <v>5119446.3800000092</v>
      </c>
      <c r="Q163" s="176">
        <f>SUM(Q$98:Q112)</f>
        <v>5152267.440000019</v>
      </c>
      <c r="R163" s="176">
        <f>SUM(R$98:R112)</f>
        <v>4963652.5200000163</v>
      </c>
      <c r="S163" s="176">
        <f>SUM(S$98:S112)</f>
        <v>5809293.0300000263</v>
      </c>
      <c r="T163" s="176">
        <f>SUM(T$98:T112)</f>
        <v>5237309.0000000233</v>
      </c>
      <c r="U163" s="176">
        <f>SUM(U$98:U112)</f>
        <v>5300062.570000018</v>
      </c>
      <c r="V163" s="176">
        <f>SUM(V$98:V112)</f>
        <v>5000656.990000017</v>
      </c>
      <c r="W163" s="176">
        <f>SUM(W$98:W112)</f>
        <v>5074124.2100000251</v>
      </c>
      <c r="X163" s="176">
        <f>SUM(X$98:X112)</f>
        <v>4578453.5399999861</v>
      </c>
      <c r="Y163" s="176">
        <f>SUM(Y$98:Y112)</f>
        <v>4771663.9699999895</v>
      </c>
      <c r="Z163" s="176">
        <f>SUM(Z$98:Z112)</f>
        <v>5761664.9499999722</v>
      </c>
      <c r="AA163" s="176">
        <f>SUM(AA$98:AA112)</f>
        <v>4763552.8999999892</v>
      </c>
      <c r="AB163" s="176">
        <f>SUM(AB$98:AB112)</f>
        <v>5316008.1099999975</v>
      </c>
      <c r="AC163" s="176">
        <f>SUM(AC$98:AC112)</f>
        <v>5428880.2999999868</v>
      </c>
      <c r="AD163" s="176">
        <f>SUM(AD$98:AD112)</f>
        <v>5091384.0599999884</v>
      </c>
      <c r="AE163" s="176">
        <f>SUM(AE$98:AE112)</f>
        <v>5836334.2899999823</v>
      </c>
      <c r="AF163" s="176">
        <f>SUM(AF$98:AF112)</f>
        <v>5279025.1699999934</v>
      </c>
      <c r="AG163" s="176">
        <f>SUM(AG$98:AG112)</f>
        <v>6118778.3800000018</v>
      </c>
      <c r="AH163" s="176">
        <f>SUM(AH$98:AH112)</f>
        <v>5691598.2099999804</v>
      </c>
      <c r="AI163" s="176">
        <f>SUM(AI$98:AI112)</f>
        <v>5294588.3699999973</v>
      </c>
      <c r="AJ163" s="176">
        <f>SUM(AJ$98:AJ112)</f>
        <v>5174161.2699999912</v>
      </c>
      <c r="AK163" s="176">
        <f>SUM(AK$98:AK112)</f>
        <v>3917198.8800000069</v>
      </c>
      <c r="AL163" s="176">
        <f>SUM(AL$98:AL112)</f>
        <v>1157133.2399999991</v>
      </c>
      <c r="AS163" s="141"/>
      <c r="AT163" s="141"/>
    </row>
    <row r="164" spans="1:46" x14ac:dyDescent="0.2">
      <c r="A164" s="568" t="s">
        <v>993</v>
      </c>
      <c r="B164" s="7"/>
      <c r="C164" s="176">
        <f>SUM(C$98:C113)</f>
        <v>3778527.3400000017</v>
      </c>
      <c r="D164" s="176">
        <f>SUM(D$98:D113)</f>
        <v>3827003.3700000024</v>
      </c>
      <c r="E164" s="176">
        <f>SUM(E$98:E113)</f>
        <v>4118784.0099999965</v>
      </c>
      <c r="F164" s="176">
        <f>SUM(F$98:F113)</f>
        <v>4292390.45</v>
      </c>
      <c r="G164" s="176">
        <f>SUM(G$98:G113)</f>
        <v>5052064.5799999991</v>
      </c>
      <c r="H164" s="176">
        <f>SUM(H$98:H113)</f>
        <v>4951725.8599999929</v>
      </c>
      <c r="I164" s="176">
        <f>SUM(I$98:I113)</f>
        <v>5066991.0899999961</v>
      </c>
      <c r="J164" s="176">
        <f>SUM(J$98:J113)</f>
        <v>5087112.5299999975</v>
      </c>
      <c r="K164" s="176">
        <f>SUM(K$98:K113)</f>
        <v>5364255.62</v>
      </c>
      <c r="L164" s="176">
        <f>SUM(L$98:L113)</f>
        <v>4159436.5800000071</v>
      </c>
      <c r="M164" s="176">
        <f>SUM(M$98:M113)</f>
        <v>4117451.5300000031</v>
      </c>
      <c r="N164" s="176">
        <f>SUM(N$98:N113)</f>
        <v>5120345.9300000072</v>
      </c>
      <c r="O164" s="176">
        <f>SUM(O$98:O113)</f>
        <v>4907662.5700000161</v>
      </c>
      <c r="P164" s="176">
        <f>SUM(P$98:P113)</f>
        <v>5131129.2100000093</v>
      </c>
      <c r="Q164" s="176">
        <f>SUM(Q$98:Q113)</f>
        <v>5153830.2700000191</v>
      </c>
      <c r="R164" s="176">
        <f>SUM(R$98:R113)</f>
        <v>4967588.200000016</v>
      </c>
      <c r="S164" s="176">
        <f>SUM(S$98:S113)</f>
        <v>5820091.1600000262</v>
      </c>
      <c r="T164" s="176">
        <f>SUM(T$98:T113)</f>
        <v>5242718.7400000235</v>
      </c>
      <c r="U164" s="176">
        <f>SUM(U$98:U113)</f>
        <v>5310702.570000018</v>
      </c>
      <c r="V164" s="176">
        <f>SUM(V$98:V113)</f>
        <v>5011123.1200000169</v>
      </c>
      <c r="W164" s="176">
        <f>SUM(W$98:W113)</f>
        <v>5081907.6000000248</v>
      </c>
      <c r="X164" s="176">
        <f>SUM(X$98:X113)</f>
        <v>4578453.5399999861</v>
      </c>
      <c r="Y164" s="176">
        <f>SUM(Y$98:Y113)</f>
        <v>4771663.9699999895</v>
      </c>
      <c r="Z164" s="176">
        <f>SUM(Z$98:Z113)</f>
        <v>5761664.9499999722</v>
      </c>
      <c r="AA164" s="176">
        <f>SUM(AA$98:AA113)</f>
        <v>4763552.8999999892</v>
      </c>
      <c r="AB164" s="176">
        <f>SUM(AB$98:AB113)</f>
        <v>5316008.1099999975</v>
      </c>
      <c r="AC164" s="176">
        <f>SUM(AC$98:AC113)</f>
        <v>5428880.2999999868</v>
      </c>
      <c r="AD164" s="176">
        <f>SUM(AD$98:AD113)</f>
        <v>5091384.0599999884</v>
      </c>
      <c r="AE164" s="176">
        <f>SUM(AE$98:AE113)</f>
        <v>5836334.2899999823</v>
      </c>
      <c r="AF164" s="176">
        <f>SUM(AF$98:AF113)</f>
        <v>5279025.1699999934</v>
      </c>
      <c r="AG164" s="176">
        <f>SUM(AG$98:AG113)</f>
        <v>6118778.3800000018</v>
      </c>
      <c r="AH164" s="176">
        <f>SUM(AH$98:AH113)</f>
        <v>5691598.2099999804</v>
      </c>
      <c r="AI164" s="176">
        <f>SUM(AI$98:AI113)</f>
        <v>5294588.3699999973</v>
      </c>
      <c r="AJ164" s="176">
        <f>SUM(AJ$98:AJ113)</f>
        <v>5174161.2699999912</v>
      </c>
      <c r="AK164" s="176">
        <f>SUM(AK$98:AK113)</f>
        <v>3917198.8800000069</v>
      </c>
      <c r="AL164" s="176">
        <f>SUM(AL$98:AL113)</f>
        <v>1157133.2399999991</v>
      </c>
      <c r="AS164" s="141"/>
      <c r="AT164" s="141"/>
    </row>
    <row r="165" spans="1:46" x14ac:dyDescent="0.2">
      <c r="A165" s="568" t="s">
        <v>994</v>
      </c>
      <c r="B165" s="7"/>
      <c r="C165" s="176">
        <f>SUM(C$98:C114)</f>
        <v>3786061.6200000015</v>
      </c>
      <c r="D165" s="176">
        <f>SUM(D$98:D114)</f>
        <v>3858838.2200000025</v>
      </c>
      <c r="E165" s="176">
        <f>SUM(E$98:E114)</f>
        <v>4130961.3399999966</v>
      </c>
      <c r="F165" s="176">
        <f>SUM(F$98:F114)</f>
        <v>4292982.4400000004</v>
      </c>
      <c r="G165" s="176">
        <f>SUM(G$98:G114)</f>
        <v>5054333.8399999989</v>
      </c>
      <c r="H165" s="176">
        <f>SUM(H$98:H114)</f>
        <v>4954937.2599999933</v>
      </c>
      <c r="I165" s="176">
        <f>SUM(I$98:I114)</f>
        <v>5097215.6399999959</v>
      </c>
      <c r="J165" s="176">
        <f>SUM(J$98:J114)</f>
        <v>5089929.3199999975</v>
      </c>
      <c r="K165" s="176">
        <f>SUM(K$98:K114)</f>
        <v>5372843.0700000003</v>
      </c>
      <c r="L165" s="176">
        <f>SUM(L$98:L114)</f>
        <v>4161884.1600000071</v>
      </c>
      <c r="M165" s="176">
        <f>SUM(M$98:M114)</f>
        <v>4119027.5600000028</v>
      </c>
      <c r="N165" s="176">
        <f>SUM(N$98:N114)</f>
        <v>5127728.1500000069</v>
      </c>
      <c r="O165" s="176">
        <f>SUM(O$98:O114)</f>
        <v>4914929.2500000158</v>
      </c>
      <c r="P165" s="176">
        <f>SUM(P$98:P114)</f>
        <v>5165599.8100000089</v>
      </c>
      <c r="Q165" s="176">
        <f>SUM(Q$98:Q114)</f>
        <v>5155757.1000000192</v>
      </c>
      <c r="R165" s="176">
        <f>SUM(R$98:R114)</f>
        <v>4970920.3500000164</v>
      </c>
      <c r="S165" s="176">
        <f>SUM(S$98:S114)</f>
        <v>5822030.2300000265</v>
      </c>
      <c r="T165" s="176">
        <f>SUM(T$98:T114)</f>
        <v>5244426.4900000235</v>
      </c>
      <c r="U165" s="176">
        <f>SUM(U$98:U114)</f>
        <v>5312350.5000000177</v>
      </c>
      <c r="V165" s="176">
        <f>SUM(V$98:V114)</f>
        <v>5011832.2300000172</v>
      </c>
      <c r="W165" s="176">
        <f>SUM(W$98:W114)</f>
        <v>5081907.6000000248</v>
      </c>
      <c r="X165" s="176">
        <f>SUM(X$98:X114)</f>
        <v>4578453.5399999861</v>
      </c>
      <c r="Y165" s="176">
        <f>SUM(Y$98:Y114)</f>
        <v>4771663.9699999895</v>
      </c>
      <c r="Z165" s="176">
        <f>SUM(Z$98:Z114)</f>
        <v>5761664.9499999722</v>
      </c>
      <c r="AA165" s="176">
        <f>SUM(AA$98:AA114)</f>
        <v>4763552.8999999892</v>
      </c>
      <c r="AB165" s="176">
        <f>SUM(AB$98:AB114)</f>
        <v>5316008.1099999975</v>
      </c>
      <c r="AC165" s="176">
        <f>SUM(AC$98:AC114)</f>
        <v>5428880.2999999868</v>
      </c>
      <c r="AD165" s="176">
        <f>SUM(AD$98:AD114)</f>
        <v>5091384.0599999884</v>
      </c>
      <c r="AE165" s="176">
        <f>SUM(AE$98:AE114)</f>
        <v>5836334.2899999823</v>
      </c>
      <c r="AF165" s="176">
        <f>SUM(AF$98:AF114)</f>
        <v>5279025.1699999934</v>
      </c>
      <c r="AG165" s="176">
        <f>SUM(AG$98:AG114)</f>
        <v>6118778.3800000018</v>
      </c>
      <c r="AH165" s="176">
        <f>SUM(AH$98:AH114)</f>
        <v>5691598.2099999804</v>
      </c>
      <c r="AI165" s="176">
        <f>SUM(AI$98:AI114)</f>
        <v>5294588.3699999973</v>
      </c>
      <c r="AJ165" s="176">
        <f>SUM(AJ$98:AJ114)</f>
        <v>5174161.2699999912</v>
      </c>
      <c r="AK165" s="176">
        <f>SUM(AK$98:AK114)</f>
        <v>3917198.8800000069</v>
      </c>
      <c r="AL165" s="176">
        <f>SUM(AL$98:AL114)</f>
        <v>1157133.2399999991</v>
      </c>
      <c r="AS165" s="141"/>
      <c r="AT165" s="141"/>
    </row>
    <row r="166" spans="1:46" x14ac:dyDescent="0.2">
      <c r="A166" s="568" t="s">
        <v>995</v>
      </c>
      <c r="B166" s="7"/>
      <c r="C166" s="176">
        <f>SUM(C$98:C115)</f>
        <v>3808023.1200000015</v>
      </c>
      <c r="D166" s="176">
        <f>SUM(D$98:D115)</f>
        <v>3870068.0000000023</v>
      </c>
      <c r="E166" s="176">
        <f>SUM(E$98:E115)</f>
        <v>4131885.5499999966</v>
      </c>
      <c r="F166" s="176">
        <f>SUM(F$98:F115)</f>
        <v>4294148.4200000009</v>
      </c>
      <c r="G166" s="176">
        <f>SUM(G$98:G115)</f>
        <v>5058724.2999999989</v>
      </c>
      <c r="H166" s="176">
        <f>SUM(H$98:H115)</f>
        <v>4963182.7099999934</v>
      </c>
      <c r="I166" s="176">
        <f>SUM(I$98:I115)</f>
        <v>5100254.6199999964</v>
      </c>
      <c r="J166" s="176">
        <f>SUM(J$98:J115)</f>
        <v>5092571.9399999976</v>
      </c>
      <c r="K166" s="176">
        <f>SUM(K$98:K115)</f>
        <v>5378869.04</v>
      </c>
      <c r="L166" s="176">
        <f>SUM(L$98:L115)</f>
        <v>4164505.5100000072</v>
      </c>
      <c r="M166" s="176">
        <f>SUM(M$98:M115)</f>
        <v>4126052.430000003</v>
      </c>
      <c r="N166" s="176">
        <f>SUM(N$98:N115)</f>
        <v>5129973.6800000072</v>
      </c>
      <c r="O166" s="176">
        <f>SUM(O$98:O115)</f>
        <v>4916915.8100000154</v>
      </c>
      <c r="P166" s="176">
        <f>SUM(P$98:P115)</f>
        <v>5174540.9100000085</v>
      </c>
      <c r="Q166" s="176">
        <f>SUM(Q$98:Q115)</f>
        <v>5158817.650000019</v>
      </c>
      <c r="R166" s="176">
        <f>SUM(R$98:R115)</f>
        <v>4980217.200000016</v>
      </c>
      <c r="S166" s="176">
        <f>SUM(S$98:S115)</f>
        <v>5826466.9300000267</v>
      </c>
      <c r="T166" s="176">
        <f>SUM(T$98:T115)</f>
        <v>5246926.3100000238</v>
      </c>
      <c r="U166" s="176">
        <f>SUM(U$98:U115)</f>
        <v>5314346.360000018</v>
      </c>
      <c r="V166" s="176">
        <f>SUM(V$98:V115)</f>
        <v>5011832.2300000172</v>
      </c>
      <c r="W166" s="176">
        <f>SUM(W$98:W115)</f>
        <v>5081907.6000000248</v>
      </c>
      <c r="X166" s="176">
        <f>SUM(X$98:X115)</f>
        <v>4578453.5399999861</v>
      </c>
      <c r="Y166" s="176">
        <f>SUM(Y$98:Y115)</f>
        <v>4771663.9699999895</v>
      </c>
      <c r="Z166" s="176">
        <f>SUM(Z$98:Z115)</f>
        <v>5761664.9499999722</v>
      </c>
      <c r="AA166" s="176">
        <f>SUM(AA$98:AA115)</f>
        <v>4763552.8999999892</v>
      </c>
      <c r="AB166" s="176">
        <f>SUM(AB$98:AB115)</f>
        <v>5316008.1099999975</v>
      </c>
      <c r="AC166" s="176">
        <f>SUM(AC$98:AC115)</f>
        <v>5428880.2999999868</v>
      </c>
      <c r="AD166" s="176">
        <f>SUM(AD$98:AD115)</f>
        <v>5091384.0599999884</v>
      </c>
      <c r="AE166" s="176">
        <f>SUM(AE$98:AE115)</f>
        <v>5836334.2899999823</v>
      </c>
      <c r="AF166" s="176">
        <f>SUM(AF$98:AF115)</f>
        <v>5279025.1699999934</v>
      </c>
      <c r="AG166" s="176">
        <f>SUM(AG$98:AG115)</f>
        <v>6118778.3800000018</v>
      </c>
      <c r="AH166" s="176">
        <f>SUM(AH$98:AH115)</f>
        <v>5691598.2099999804</v>
      </c>
      <c r="AI166" s="176">
        <f>SUM(AI$98:AI115)</f>
        <v>5294588.3699999973</v>
      </c>
      <c r="AJ166" s="176">
        <f>SUM(AJ$98:AJ115)</f>
        <v>5174161.2699999912</v>
      </c>
      <c r="AK166" s="176">
        <f>SUM(AK$98:AK115)</f>
        <v>3917198.8800000069</v>
      </c>
      <c r="AL166" s="176">
        <f>SUM(AL$98:AL115)</f>
        <v>1157133.2399999991</v>
      </c>
      <c r="AS166" s="141"/>
      <c r="AT166" s="141"/>
    </row>
    <row r="167" spans="1:46" x14ac:dyDescent="0.2">
      <c r="A167" s="568" t="s">
        <v>996</v>
      </c>
      <c r="B167" s="7"/>
      <c r="C167" s="176">
        <f>SUM(C$98:C116)</f>
        <v>3822592.7400000016</v>
      </c>
      <c r="D167" s="176">
        <f>SUM(D$98:D116)</f>
        <v>3887099.6100000022</v>
      </c>
      <c r="E167" s="176">
        <f>SUM(E$98:E116)</f>
        <v>4133349.0099999965</v>
      </c>
      <c r="F167" s="176">
        <f>SUM(F$98:F116)</f>
        <v>4297186.9000000013</v>
      </c>
      <c r="G167" s="176">
        <f>SUM(G$98:G116)</f>
        <v>5119561.9899999993</v>
      </c>
      <c r="H167" s="176">
        <f>SUM(H$98:H116)</f>
        <v>4967095.8999999939</v>
      </c>
      <c r="I167" s="176">
        <f>SUM(I$98:I116)</f>
        <v>5102630.9199999962</v>
      </c>
      <c r="J167" s="176">
        <f>SUM(J$98:J116)</f>
        <v>5100542.9899999974</v>
      </c>
      <c r="K167" s="176">
        <f>SUM(K$98:K116)</f>
        <v>5379888.2199999997</v>
      </c>
      <c r="L167" s="176">
        <f>SUM(L$98:L116)</f>
        <v>4168879.0500000073</v>
      </c>
      <c r="M167" s="176">
        <f>SUM(M$98:M116)</f>
        <v>4130433.5900000031</v>
      </c>
      <c r="N167" s="176">
        <f>SUM(N$98:N116)</f>
        <v>5137306.3800000073</v>
      </c>
      <c r="O167" s="176">
        <f>SUM(O$98:O116)</f>
        <v>4922704.8400000157</v>
      </c>
      <c r="P167" s="176">
        <f>SUM(P$98:P116)</f>
        <v>5182586.8200000087</v>
      </c>
      <c r="Q167" s="176">
        <f>SUM(Q$98:Q116)</f>
        <v>5169953.5500000194</v>
      </c>
      <c r="R167" s="176">
        <f>SUM(R$98:R116)</f>
        <v>4980699.6300000157</v>
      </c>
      <c r="S167" s="176">
        <f>SUM(S$98:S116)</f>
        <v>5827957.5200000266</v>
      </c>
      <c r="T167" s="176">
        <f>SUM(T$98:T116)</f>
        <v>5247006.4900000235</v>
      </c>
      <c r="U167" s="176">
        <f>SUM(U$98:U116)</f>
        <v>5314346.360000018</v>
      </c>
      <c r="V167" s="176">
        <f>SUM(V$98:V116)</f>
        <v>5011832.2300000172</v>
      </c>
      <c r="W167" s="176">
        <f>SUM(W$98:W116)</f>
        <v>5081907.6000000248</v>
      </c>
      <c r="X167" s="176">
        <f>SUM(X$98:X116)</f>
        <v>4578453.5399999861</v>
      </c>
      <c r="Y167" s="176">
        <f>SUM(Y$98:Y116)</f>
        <v>4771663.9699999895</v>
      </c>
      <c r="Z167" s="176">
        <f>SUM(Z$98:Z116)</f>
        <v>5761664.9499999722</v>
      </c>
      <c r="AA167" s="176">
        <f>SUM(AA$98:AA116)</f>
        <v>4763552.8999999892</v>
      </c>
      <c r="AB167" s="176">
        <f>SUM(AB$98:AB116)</f>
        <v>5316008.1099999975</v>
      </c>
      <c r="AC167" s="176">
        <f>SUM(AC$98:AC116)</f>
        <v>5428880.2999999868</v>
      </c>
      <c r="AD167" s="176">
        <f>SUM(AD$98:AD116)</f>
        <v>5091384.0599999884</v>
      </c>
      <c r="AE167" s="176">
        <f>SUM(AE$98:AE116)</f>
        <v>5836334.2899999823</v>
      </c>
      <c r="AF167" s="176">
        <f>SUM(AF$98:AF116)</f>
        <v>5279025.1699999934</v>
      </c>
      <c r="AG167" s="176">
        <f>SUM(AG$98:AG116)</f>
        <v>6118778.3800000018</v>
      </c>
      <c r="AH167" s="176">
        <f>SUM(AH$98:AH116)</f>
        <v>5691598.2099999804</v>
      </c>
      <c r="AI167" s="176">
        <f>SUM(AI$98:AI116)</f>
        <v>5294588.3699999973</v>
      </c>
      <c r="AJ167" s="176">
        <f>SUM(AJ$98:AJ116)</f>
        <v>5174161.2699999912</v>
      </c>
      <c r="AK167" s="176">
        <f>SUM(AK$98:AK116)</f>
        <v>3917198.8800000069</v>
      </c>
      <c r="AL167" s="176">
        <f>SUM(AL$98:AL116)</f>
        <v>1157133.2399999991</v>
      </c>
      <c r="AS167" s="141"/>
      <c r="AT167" s="141"/>
    </row>
    <row r="168" spans="1:46" x14ac:dyDescent="0.2">
      <c r="A168" s="568" t="s">
        <v>997</v>
      </c>
      <c r="B168" s="7"/>
      <c r="C168" s="176">
        <f>SUM(C$98:C117)</f>
        <v>3823601.0200000014</v>
      </c>
      <c r="D168" s="176">
        <f>SUM(D$98:D117)</f>
        <v>3888144.120000002</v>
      </c>
      <c r="E168" s="176">
        <f>SUM(E$98:E117)</f>
        <v>4136105.5399999963</v>
      </c>
      <c r="F168" s="176">
        <f>SUM(F$98:F117)</f>
        <v>4314395.9800000014</v>
      </c>
      <c r="G168" s="176">
        <f>SUM(G$98:G117)</f>
        <v>5121917.629999999</v>
      </c>
      <c r="H168" s="176">
        <f>SUM(H$98:H117)</f>
        <v>4968858.6699999934</v>
      </c>
      <c r="I168" s="176">
        <f>SUM(I$98:I117)</f>
        <v>5115375.2099999962</v>
      </c>
      <c r="J168" s="176">
        <f>SUM(J$98:J117)</f>
        <v>5101023.5299999975</v>
      </c>
      <c r="K168" s="176">
        <f>SUM(K$98:K117)</f>
        <v>5383696.2699999996</v>
      </c>
      <c r="L168" s="176">
        <f>SUM(L$98:L117)</f>
        <v>4177413.0800000071</v>
      </c>
      <c r="M168" s="176">
        <f>SUM(M$98:M117)</f>
        <v>4133256.2100000032</v>
      </c>
      <c r="N168" s="176">
        <f>SUM(N$98:N117)</f>
        <v>5141793.9700000072</v>
      </c>
      <c r="O168" s="176">
        <f>SUM(O$98:O117)</f>
        <v>4924946.950000016</v>
      </c>
      <c r="P168" s="176">
        <f>SUM(P$98:P117)</f>
        <v>5183525.6700000083</v>
      </c>
      <c r="Q168" s="176">
        <f>SUM(Q$98:Q117)</f>
        <v>5170674.6300000194</v>
      </c>
      <c r="R168" s="176">
        <f>SUM(R$98:R117)</f>
        <v>4982746.6900000153</v>
      </c>
      <c r="S168" s="176">
        <f>SUM(S$98:S117)</f>
        <v>5828321.8600000264</v>
      </c>
      <c r="T168" s="176">
        <f>SUM(T$98:T117)</f>
        <v>5247006.4900000235</v>
      </c>
      <c r="U168" s="176">
        <f>SUM(U$98:U117)</f>
        <v>5314346.360000018</v>
      </c>
      <c r="V168" s="176">
        <f>SUM(V$98:V117)</f>
        <v>5011832.2300000172</v>
      </c>
      <c r="W168" s="176">
        <f>SUM(W$98:W117)</f>
        <v>5081907.6000000248</v>
      </c>
      <c r="X168" s="176">
        <f>SUM(X$98:X117)</f>
        <v>4578453.5399999861</v>
      </c>
      <c r="Y168" s="176">
        <f>SUM(Y$98:Y117)</f>
        <v>4771663.9699999895</v>
      </c>
      <c r="Z168" s="176">
        <f>SUM(Z$98:Z117)</f>
        <v>5761664.9499999722</v>
      </c>
      <c r="AA168" s="176">
        <f>SUM(AA$98:AA117)</f>
        <v>4763552.8999999892</v>
      </c>
      <c r="AB168" s="176">
        <f>SUM(AB$98:AB117)</f>
        <v>5316008.1099999975</v>
      </c>
      <c r="AC168" s="176">
        <f>SUM(AC$98:AC117)</f>
        <v>5428880.2999999868</v>
      </c>
      <c r="AD168" s="176">
        <f>SUM(AD$98:AD117)</f>
        <v>5091384.0599999884</v>
      </c>
      <c r="AE168" s="176">
        <f>SUM(AE$98:AE117)</f>
        <v>5836334.2899999823</v>
      </c>
      <c r="AF168" s="176">
        <f>SUM(AF$98:AF117)</f>
        <v>5279025.1699999934</v>
      </c>
      <c r="AG168" s="176">
        <f>SUM(AG$98:AG117)</f>
        <v>6118778.3800000018</v>
      </c>
      <c r="AH168" s="176">
        <f>SUM(AH$98:AH117)</f>
        <v>5691598.2099999804</v>
      </c>
      <c r="AI168" s="176">
        <f>SUM(AI$98:AI117)</f>
        <v>5294588.3699999973</v>
      </c>
      <c r="AJ168" s="176">
        <f>SUM(AJ$98:AJ117)</f>
        <v>5174161.2699999912</v>
      </c>
      <c r="AK168" s="176">
        <f>SUM(AK$98:AK117)</f>
        <v>3917198.8800000069</v>
      </c>
      <c r="AL168" s="176">
        <f>SUM(AL$98:AL117)</f>
        <v>1157133.2399999991</v>
      </c>
      <c r="AS168" s="141"/>
      <c r="AT168" s="141"/>
    </row>
    <row r="169" spans="1:46" x14ac:dyDescent="0.2">
      <c r="A169" s="568" t="s">
        <v>998</v>
      </c>
      <c r="B169" s="7"/>
      <c r="C169" s="176">
        <f>SUM(C$98:C118)</f>
        <v>3824381.6400000015</v>
      </c>
      <c r="D169" s="176">
        <f>SUM(D$98:D118)</f>
        <v>3895430.8000000021</v>
      </c>
      <c r="E169" s="176">
        <f>SUM(E$98:E118)</f>
        <v>4142188.3099999963</v>
      </c>
      <c r="F169" s="176">
        <f>SUM(F$98:F118)</f>
        <v>4315952.6800000016</v>
      </c>
      <c r="G169" s="176">
        <f>SUM(G$98:G118)</f>
        <v>5122793.2599999988</v>
      </c>
      <c r="H169" s="176">
        <f>SUM(H$98:H118)</f>
        <v>4970249.8299999936</v>
      </c>
      <c r="I169" s="176">
        <f>SUM(I$98:I118)</f>
        <v>5116894.219999996</v>
      </c>
      <c r="J169" s="176">
        <f>SUM(J$98:J118)</f>
        <v>5103007.8999999976</v>
      </c>
      <c r="K169" s="176">
        <f>SUM(K$98:K118)</f>
        <v>5384087.7599999998</v>
      </c>
      <c r="L169" s="176">
        <f>SUM(L$98:L118)</f>
        <v>4192385.8000000073</v>
      </c>
      <c r="M169" s="176">
        <f>SUM(M$98:M118)</f>
        <v>4133918.4100000034</v>
      </c>
      <c r="N169" s="176">
        <f>SUM(N$98:N118)</f>
        <v>5144266.3200000068</v>
      </c>
      <c r="O169" s="176">
        <f>SUM(O$98:O118)</f>
        <v>4933501.4800000163</v>
      </c>
      <c r="P169" s="176">
        <f>SUM(P$98:P118)</f>
        <v>5183950.6700000083</v>
      </c>
      <c r="Q169" s="176">
        <f>SUM(Q$98:Q118)</f>
        <v>5173601.7000000197</v>
      </c>
      <c r="R169" s="176">
        <f>SUM(R$98:R118)</f>
        <v>4982746.6900000153</v>
      </c>
      <c r="S169" s="176">
        <f>SUM(S$98:S118)</f>
        <v>5828321.8600000264</v>
      </c>
      <c r="T169" s="176">
        <f>SUM(T$98:T118)</f>
        <v>5247006.4900000235</v>
      </c>
      <c r="U169" s="176">
        <f>SUM(U$98:U118)</f>
        <v>5314346.360000018</v>
      </c>
      <c r="V169" s="176">
        <f>SUM(V$98:V118)</f>
        <v>5011832.2300000172</v>
      </c>
      <c r="W169" s="176">
        <f>SUM(W$98:W118)</f>
        <v>5081907.6000000248</v>
      </c>
      <c r="X169" s="176">
        <f>SUM(X$98:X118)</f>
        <v>4578453.5399999861</v>
      </c>
      <c r="Y169" s="176">
        <f>SUM(Y$98:Y118)</f>
        <v>4771663.9699999895</v>
      </c>
      <c r="Z169" s="176">
        <f>SUM(Z$98:Z118)</f>
        <v>5761664.9499999722</v>
      </c>
      <c r="AA169" s="176">
        <f>SUM(AA$98:AA118)</f>
        <v>4763552.8999999892</v>
      </c>
      <c r="AB169" s="176">
        <f>SUM(AB$98:AB118)</f>
        <v>5316008.1099999975</v>
      </c>
      <c r="AC169" s="176">
        <f>SUM(AC$98:AC118)</f>
        <v>5428880.2999999868</v>
      </c>
      <c r="AD169" s="176">
        <f>SUM(AD$98:AD118)</f>
        <v>5091384.0599999884</v>
      </c>
      <c r="AE169" s="176">
        <f>SUM(AE$98:AE118)</f>
        <v>5836334.2899999823</v>
      </c>
      <c r="AF169" s="176">
        <f>SUM(AF$98:AF118)</f>
        <v>5279025.1699999934</v>
      </c>
      <c r="AG169" s="176">
        <f>SUM(AG$98:AG118)</f>
        <v>6118778.3800000018</v>
      </c>
      <c r="AH169" s="176">
        <f>SUM(AH$98:AH118)</f>
        <v>5691598.2099999804</v>
      </c>
      <c r="AI169" s="176">
        <f>SUM(AI$98:AI118)</f>
        <v>5294588.3699999973</v>
      </c>
      <c r="AJ169" s="176">
        <f>SUM(AJ$98:AJ118)</f>
        <v>5174161.2699999912</v>
      </c>
      <c r="AK169" s="176">
        <f>SUM(AK$98:AK118)</f>
        <v>3917198.8800000069</v>
      </c>
      <c r="AL169" s="176">
        <f>SUM(AL$98:AL118)</f>
        <v>1157133.2399999991</v>
      </c>
      <c r="AS169" s="141"/>
      <c r="AT169" s="141"/>
    </row>
    <row r="170" spans="1:46" x14ac:dyDescent="0.2">
      <c r="A170" s="568" t="s">
        <v>999</v>
      </c>
      <c r="B170" s="7"/>
      <c r="C170" s="176">
        <f>SUM(C$98:C119)</f>
        <v>3826514.1700000013</v>
      </c>
      <c r="D170" s="176">
        <f>SUM(D$98:D119)</f>
        <v>3899303.2400000021</v>
      </c>
      <c r="E170" s="176">
        <f>SUM(E$98:E119)</f>
        <v>4144151.7999999966</v>
      </c>
      <c r="F170" s="176">
        <f>SUM(F$98:F119)</f>
        <v>4320069.1000000015</v>
      </c>
      <c r="G170" s="176">
        <f>SUM(G$98:G119)</f>
        <v>5124452.3399999989</v>
      </c>
      <c r="H170" s="176">
        <f>SUM(H$98:H119)</f>
        <v>4970249.8299999936</v>
      </c>
      <c r="I170" s="176">
        <f>SUM(I$98:I119)</f>
        <v>5123195.429999996</v>
      </c>
      <c r="J170" s="176">
        <f>SUM(J$98:J119)</f>
        <v>5105318.8599999975</v>
      </c>
      <c r="K170" s="176">
        <f>SUM(K$98:K119)</f>
        <v>5385407.5699999994</v>
      </c>
      <c r="L170" s="176">
        <f>SUM(L$98:L119)</f>
        <v>4197502.0800000075</v>
      </c>
      <c r="M170" s="176">
        <f>SUM(M$98:M119)</f>
        <v>4135425.6000000034</v>
      </c>
      <c r="N170" s="176">
        <f>SUM(N$98:N119)</f>
        <v>5144283.9300000072</v>
      </c>
      <c r="O170" s="176">
        <f>SUM(O$98:O119)</f>
        <v>4945953.3000000166</v>
      </c>
      <c r="P170" s="176">
        <f>SUM(P$98:P119)</f>
        <v>5184141.3400000082</v>
      </c>
      <c r="Q170" s="176">
        <f>SUM(Q$98:Q119)</f>
        <v>5173808.2900000196</v>
      </c>
      <c r="R170" s="176">
        <f>SUM(R$98:R119)</f>
        <v>4982746.6900000153</v>
      </c>
      <c r="S170" s="176">
        <f>SUM(S$98:S119)</f>
        <v>5828321.8600000264</v>
      </c>
      <c r="T170" s="176">
        <f>SUM(T$98:T119)</f>
        <v>5247006.4900000235</v>
      </c>
      <c r="U170" s="176">
        <f>SUM(U$98:U119)</f>
        <v>5314346.360000018</v>
      </c>
      <c r="V170" s="176">
        <f>SUM(V$98:V119)</f>
        <v>5011832.2300000172</v>
      </c>
      <c r="W170" s="176">
        <f>SUM(W$98:W119)</f>
        <v>5081907.6000000248</v>
      </c>
      <c r="X170" s="176">
        <f>SUM(X$98:X119)</f>
        <v>4578453.5399999861</v>
      </c>
      <c r="Y170" s="176">
        <f>SUM(Y$98:Y119)</f>
        <v>4771663.9699999895</v>
      </c>
      <c r="Z170" s="176">
        <f>SUM(Z$98:Z119)</f>
        <v>5761664.9499999722</v>
      </c>
      <c r="AA170" s="176">
        <f>SUM(AA$98:AA119)</f>
        <v>4763552.8999999892</v>
      </c>
      <c r="AB170" s="176">
        <f>SUM(AB$98:AB119)</f>
        <v>5316008.1099999975</v>
      </c>
      <c r="AC170" s="176">
        <f>SUM(AC$98:AC119)</f>
        <v>5428880.2999999868</v>
      </c>
      <c r="AD170" s="176">
        <f>SUM(AD$98:AD119)</f>
        <v>5091384.0599999884</v>
      </c>
      <c r="AE170" s="176">
        <f>SUM(AE$98:AE119)</f>
        <v>5836334.2899999823</v>
      </c>
      <c r="AF170" s="176">
        <f>SUM(AF$98:AF119)</f>
        <v>5279025.1699999934</v>
      </c>
      <c r="AG170" s="176">
        <f>SUM(AG$98:AG119)</f>
        <v>6118778.3800000018</v>
      </c>
      <c r="AH170" s="176">
        <f>SUM(AH$98:AH119)</f>
        <v>5691598.2099999804</v>
      </c>
      <c r="AI170" s="176">
        <f>SUM(AI$98:AI119)</f>
        <v>5294588.3699999973</v>
      </c>
      <c r="AJ170" s="176">
        <f>SUM(AJ$98:AJ119)</f>
        <v>5174161.2699999912</v>
      </c>
      <c r="AK170" s="176">
        <f>SUM(AK$98:AK119)</f>
        <v>3917198.8800000069</v>
      </c>
      <c r="AL170" s="176">
        <f>SUM(AL$98:AL119)</f>
        <v>1157133.2399999991</v>
      </c>
      <c r="AS170" s="141"/>
      <c r="AT170" s="141"/>
    </row>
    <row r="171" spans="1:46" x14ac:dyDescent="0.2">
      <c r="A171" s="568" t="s">
        <v>1000</v>
      </c>
      <c r="B171" s="7"/>
      <c r="C171" s="176">
        <f>SUM(C$98:C120)</f>
        <v>3829076.9200000013</v>
      </c>
      <c r="D171" s="176">
        <f>SUM(D$98:D120)</f>
        <v>3903442.160000002</v>
      </c>
      <c r="E171" s="176">
        <f>SUM(E$98:E120)</f>
        <v>4144609.8399999966</v>
      </c>
      <c r="F171" s="176">
        <f>SUM(F$98:F120)</f>
        <v>4320533.4500000011</v>
      </c>
      <c r="G171" s="176">
        <f>SUM(G$98:G120)</f>
        <v>5126142.0899999989</v>
      </c>
      <c r="H171" s="176">
        <f>SUM(H$98:H120)</f>
        <v>4974431.1699999934</v>
      </c>
      <c r="I171" s="176">
        <f>SUM(I$98:I120)</f>
        <v>5125851.429999996</v>
      </c>
      <c r="J171" s="176">
        <f>SUM(J$98:J120)</f>
        <v>5105687.6499999976</v>
      </c>
      <c r="K171" s="176">
        <f>SUM(K$98:K120)</f>
        <v>5387656.7299999995</v>
      </c>
      <c r="L171" s="176">
        <f>SUM(L$98:L120)</f>
        <v>4230469.9000000078</v>
      </c>
      <c r="M171" s="176">
        <f>SUM(M$98:M120)</f>
        <v>4137940.4200000032</v>
      </c>
      <c r="N171" s="176">
        <f>SUM(N$98:N120)</f>
        <v>5146747.0700000068</v>
      </c>
      <c r="O171" s="176">
        <f>SUM(O$98:O120)</f>
        <v>4947458.0600000164</v>
      </c>
      <c r="P171" s="176">
        <f>SUM(P$98:P120)</f>
        <v>5184205.140000008</v>
      </c>
      <c r="Q171" s="176">
        <f>SUM(Q$98:Q120)</f>
        <v>5173808.2900000196</v>
      </c>
      <c r="R171" s="176">
        <f>SUM(R$98:R120)</f>
        <v>4982746.6900000153</v>
      </c>
      <c r="S171" s="176">
        <f>SUM(S$98:S120)</f>
        <v>5828321.8600000264</v>
      </c>
      <c r="T171" s="176">
        <f>SUM(T$98:T120)</f>
        <v>5247006.4900000235</v>
      </c>
      <c r="U171" s="176">
        <f>SUM(U$98:U120)</f>
        <v>5314346.360000018</v>
      </c>
      <c r="V171" s="176">
        <f>SUM(V$98:V120)</f>
        <v>5011832.2300000172</v>
      </c>
      <c r="W171" s="176">
        <f>SUM(W$98:W120)</f>
        <v>5081907.6000000248</v>
      </c>
      <c r="X171" s="176">
        <f>SUM(X$98:X120)</f>
        <v>4578453.5399999861</v>
      </c>
      <c r="Y171" s="176">
        <f>SUM(Y$98:Y120)</f>
        <v>4771663.9699999895</v>
      </c>
      <c r="Z171" s="176">
        <f>SUM(Z$98:Z120)</f>
        <v>5761664.9499999722</v>
      </c>
      <c r="AA171" s="176">
        <f>SUM(AA$98:AA120)</f>
        <v>4763552.8999999892</v>
      </c>
      <c r="AB171" s="176">
        <f>SUM(AB$98:AB120)</f>
        <v>5316008.1099999975</v>
      </c>
      <c r="AC171" s="176">
        <f>SUM(AC$98:AC120)</f>
        <v>5428880.2999999868</v>
      </c>
      <c r="AD171" s="176">
        <f>SUM(AD$98:AD120)</f>
        <v>5091384.0599999884</v>
      </c>
      <c r="AE171" s="176">
        <f>SUM(AE$98:AE120)</f>
        <v>5836334.2899999823</v>
      </c>
      <c r="AF171" s="176">
        <f>SUM(AF$98:AF120)</f>
        <v>5279025.1699999934</v>
      </c>
      <c r="AG171" s="176">
        <f>SUM(AG$98:AG120)</f>
        <v>6118778.3800000018</v>
      </c>
      <c r="AH171" s="176">
        <f>SUM(AH$98:AH120)</f>
        <v>5691598.2099999804</v>
      </c>
      <c r="AI171" s="176">
        <f>SUM(AI$98:AI120)</f>
        <v>5294588.3699999973</v>
      </c>
      <c r="AJ171" s="176">
        <f>SUM(AJ$98:AJ120)</f>
        <v>5174161.2699999912</v>
      </c>
      <c r="AK171" s="176">
        <f>SUM(AK$98:AK120)</f>
        <v>3917198.8800000069</v>
      </c>
      <c r="AL171" s="176">
        <f>SUM(AL$98:AL120)</f>
        <v>1157133.2399999991</v>
      </c>
      <c r="AS171" s="141"/>
      <c r="AT171" s="141"/>
    </row>
    <row r="172" spans="1:46" x14ac:dyDescent="0.2">
      <c r="A172" s="568" t="s">
        <v>1001</v>
      </c>
      <c r="B172" s="6"/>
      <c r="C172" s="176">
        <f>SUM(C$98:C121)</f>
        <v>3831107.2600000012</v>
      </c>
      <c r="D172" s="176">
        <f>SUM(D$98:D121)</f>
        <v>3905335.0300000021</v>
      </c>
      <c r="E172" s="176">
        <f>SUM(E$98:E121)</f>
        <v>4145169.4499999965</v>
      </c>
      <c r="F172" s="176">
        <f>SUM(F$98:F121)</f>
        <v>4320858.4500000011</v>
      </c>
      <c r="G172" s="176">
        <f>SUM(G$98:G121)</f>
        <v>5128246.0899999989</v>
      </c>
      <c r="H172" s="176">
        <f>SUM(H$98:H121)</f>
        <v>4974631.1699999934</v>
      </c>
      <c r="I172" s="176">
        <f>SUM(I$98:I121)</f>
        <v>5126929.0299999956</v>
      </c>
      <c r="J172" s="176">
        <f>SUM(J$98:J121)</f>
        <v>5107378.8699999973</v>
      </c>
      <c r="K172" s="176">
        <f>SUM(K$98:K121)</f>
        <v>5388176.0599999996</v>
      </c>
      <c r="L172" s="176">
        <f>SUM(L$98:L121)</f>
        <v>4230975.1900000079</v>
      </c>
      <c r="M172" s="176">
        <f>SUM(M$98:M121)</f>
        <v>4137940.4200000032</v>
      </c>
      <c r="N172" s="176">
        <f>SUM(N$98:N121)</f>
        <v>5147427.1300000064</v>
      </c>
      <c r="O172" s="176">
        <f>SUM(O$98:O121)</f>
        <v>4947613.3400000166</v>
      </c>
      <c r="P172" s="176">
        <f>SUM(P$98:P121)</f>
        <v>5184205.140000008</v>
      </c>
      <c r="Q172" s="176">
        <f>SUM(Q$98:Q121)</f>
        <v>5173808.2900000196</v>
      </c>
      <c r="R172" s="176">
        <f>SUM(R$98:R121)</f>
        <v>4982746.6900000153</v>
      </c>
      <c r="S172" s="176">
        <f>SUM(S$98:S121)</f>
        <v>5828321.8600000264</v>
      </c>
      <c r="T172" s="176">
        <f>SUM(T$98:T121)</f>
        <v>5247006.4900000235</v>
      </c>
      <c r="U172" s="176">
        <f>SUM(U$98:U121)</f>
        <v>5314346.360000018</v>
      </c>
      <c r="V172" s="176">
        <f>SUM(V$98:V121)</f>
        <v>5011832.2300000172</v>
      </c>
      <c r="W172" s="176">
        <f>SUM(W$98:W121)</f>
        <v>5081907.6000000248</v>
      </c>
      <c r="X172" s="176">
        <f>SUM(X$98:X121)</f>
        <v>4578453.5399999861</v>
      </c>
      <c r="Y172" s="176">
        <f>SUM(Y$98:Y121)</f>
        <v>4771663.9699999895</v>
      </c>
      <c r="Z172" s="176">
        <f>SUM(Z$98:Z121)</f>
        <v>5761664.9499999722</v>
      </c>
      <c r="AA172" s="176">
        <f>SUM(AA$98:AA121)</f>
        <v>4763552.8999999892</v>
      </c>
      <c r="AB172" s="176">
        <f>SUM(AB$98:AB121)</f>
        <v>5316008.1099999975</v>
      </c>
      <c r="AC172" s="176">
        <f>SUM(AC$98:AC121)</f>
        <v>5428880.2999999868</v>
      </c>
      <c r="AD172" s="176">
        <f>SUM(AD$98:AD121)</f>
        <v>5091384.0599999884</v>
      </c>
      <c r="AE172" s="176">
        <f>SUM(AE$98:AE121)</f>
        <v>5836334.2899999823</v>
      </c>
      <c r="AF172" s="176">
        <f>SUM(AF$98:AF121)</f>
        <v>5279025.1699999934</v>
      </c>
      <c r="AG172" s="176">
        <f>SUM(AG$98:AG121)</f>
        <v>6118778.3800000018</v>
      </c>
      <c r="AH172" s="176">
        <f>SUM(AH$98:AH121)</f>
        <v>5691598.2099999804</v>
      </c>
      <c r="AI172" s="176">
        <f>SUM(AI$98:AI121)</f>
        <v>5294588.3699999973</v>
      </c>
      <c r="AJ172" s="176">
        <f>SUM(AJ$98:AJ121)</f>
        <v>5174161.2699999912</v>
      </c>
      <c r="AK172" s="176">
        <f>SUM(AK$98:AK121)</f>
        <v>3917198.8800000069</v>
      </c>
      <c r="AL172" s="176">
        <f>SUM(AL$98:AL121)</f>
        <v>1157133.2399999991</v>
      </c>
      <c r="AS172" s="141"/>
      <c r="AT172" s="141"/>
    </row>
    <row r="173" spans="1:46" x14ac:dyDescent="0.2">
      <c r="A173" s="568" t="s">
        <v>1043</v>
      </c>
      <c r="B173" s="6"/>
      <c r="C173" s="176">
        <f>SUM(C$98:C122)</f>
        <v>3831218.8800000013</v>
      </c>
      <c r="D173" s="176">
        <f>SUM(D$98:D122)</f>
        <v>3906035.2600000021</v>
      </c>
      <c r="E173" s="176">
        <f>SUM(E$98:E122)</f>
        <v>4145365.9499999965</v>
      </c>
      <c r="F173" s="176">
        <f>SUM(F$98:F122)</f>
        <v>4320958.4500000011</v>
      </c>
      <c r="G173" s="176">
        <f>SUM(G$98:G122)</f>
        <v>5130512.2199999988</v>
      </c>
      <c r="H173" s="176">
        <f>SUM(H$98:H122)</f>
        <v>4974642.3499999931</v>
      </c>
      <c r="I173" s="176">
        <f>SUM(I$98:I122)</f>
        <v>5127911.1399999959</v>
      </c>
      <c r="J173" s="176">
        <f>SUM(J$98:J122)</f>
        <v>5108671.1499999976</v>
      </c>
      <c r="K173" s="176">
        <f>SUM(K$98:K122)</f>
        <v>5388176.0599999996</v>
      </c>
      <c r="L173" s="176">
        <f>SUM(L$98:L122)</f>
        <v>4232756.0700000077</v>
      </c>
      <c r="M173" s="176">
        <f>SUM(M$98:M122)</f>
        <v>4139015.1400000034</v>
      </c>
      <c r="N173" s="176">
        <f>SUM(N$98:N122)</f>
        <v>5147624.0600000061</v>
      </c>
      <c r="O173" s="176">
        <f>SUM(O$98:O122)</f>
        <v>4947613.3400000166</v>
      </c>
      <c r="P173" s="176">
        <f>SUM(P$98:P122)</f>
        <v>5184205.140000008</v>
      </c>
      <c r="Q173" s="176">
        <f>SUM(Q$98:Q122)</f>
        <v>5173808.2900000196</v>
      </c>
      <c r="R173" s="176">
        <f>SUM(R$98:R122)</f>
        <v>4982746.6900000153</v>
      </c>
      <c r="S173" s="176">
        <f>SUM(S$98:S122)</f>
        <v>5828321.8600000264</v>
      </c>
      <c r="T173" s="176">
        <f>SUM(T$98:T122)</f>
        <v>5247006.4900000235</v>
      </c>
      <c r="U173" s="176">
        <f>SUM(U$98:U122)</f>
        <v>5314346.360000018</v>
      </c>
      <c r="V173" s="176">
        <f>SUM(V$98:V122)</f>
        <v>5011832.2300000172</v>
      </c>
      <c r="W173" s="176">
        <f>SUM(W$98:W122)</f>
        <v>5081907.6000000248</v>
      </c>
      <c r="X173" s="176">
        <f>SUM(X$98:X122)</f>
        <v>4578453.5399999861</v>
      </c>
      <c r="Y173" s="176">
        <f>SUM(Y$98:Y122)</f>
        <v>4771663.9699999895</v>
      </c>
      <c r="Z173" s="176">
        <f>SUM(Z$98:Z122)</f>
        <v>5761664.9499999722</v>
      </c>
      <c r="AA173" s="176">
        <f>SUM(AA$98:AA122)</f>
        <v>4763552.8999999892</v>
      </c>
      <c r="AB173" s="176">
        <f>SUM(AB$98:AB122)</f>
        <v>5316008.1099999975</v>
      </c>
      <c r="AC173" s="176">
        <f>SUM(AC$98:AC122)</f>
        <v>5428880.2999999868</v>
      </c>
      <c r="AD173" s="176">
        <f>SUM(AD$98:AD122)</f>
        <v>5091384.0599999884</v>
      </c>
      <c r="AE173" s="176">
        <f>SUM(AE$98:AE122)</f>
        <v>5836334.2899999823</v>
      </c>
      <c r="AF173" s="176">
        <f>SUM(AF$98:AF122)</f>
        <v>5279025.1699999934</v>
      </c>
      <c r="AG173" s="176">
        <f>SUM(AG$98:AG122)</f>
        <v>6118778.3800000018</v>
      </c>
      <c r="AH173" s="176">
        <f>SUM(AH$98:AH122)</f>
        <v>5691598.2099999804</v>
      </c>
      <c r="AI173" s="176">
        <f>SUM(AI$98:AI122)</f>
        <v>5294588.3699999973</v>
      </c>
      <c r="AJ173" s="176">
        <f>SUM(AJ$98:AJ122)</f>
        <v>5174161.2699999912</v>
      </c>
      <c r="AK173" s="176">
        <f>SUM(AK$98:AK122)</f>
        <v>3917198.8800000069</v>
      </c>
      <c r="AL173" s="176">
        <f>SUM(AL$98:AL122)</f>
        <v>1157133.2399999991</v>
      </c>
      <c r="AS173" s="141"/>
      <c r="AT173" s="141"/>
    </row>
    <row r="174" spans="1:46" x14ac:dyDescent="0.2">
      <c r="A174" s="568" t="s">
        <v>1044</v>
      </c>
      <c r="B174" s="6"/>
      <c r="C174" s="176">
        <f>SUM(C$98:C123)</f>
        <v>3838798.6200000015</v>
      </c>
      <c r="D174" s="176">
        <f>SUM(D$98:D123)</f>
        <v>3906035.2600000021</v>
      </c>
      <c r="E174" s="176">
        <f>SUM(E$98:E123)</f>
        <v>4145627.5499999966</v>
      </c>
      <c r="F174" s="176">
        <f>SUM(F$98:F123)</f>
        <v>4321018.4500000011</v>
      </c>
      <c r="G174" s="176">
        <f>SUM(G$98:G123)</f>
        <v>5131912.0299999984</v>
      </c>
      <c r="H174" s="176">
        <f>SUM(H$98:H123)</f>
        <v>4975534.7899999935</v>
      </c>
      <c r="I174" s="176">
        <f>SUM(I$98:I123)</f>
        <v>5128576.8699999964</v>
      </c>
      <c r="J174" s="176">
        <f>SUM(J$98:J123)</f>
        <v>5108671.1499999976</v>
      </c>
      <c r="K174" s="176">
        <f>SUM(K$98:K123)</f>
        <v>5388501.3699999992</v>
      </c>
      <c r="L174" s="176">
        <f>SUM(L$98:L123)</f>
        <v>4233060.1300000073</v>
      </c>
      <c r="M174" s="176">
        <f>SUM(M$98:M123)</f>
        <v>4139015.1400000034</v>
      </c>
      <c r="N174" s="176">
        <f>SUM(N$98:N123)</f>
        <v>5147624.0600000061</v>
      </c>
      <c r="O174" s="176">
        <f>SUM(O$98:O123)</f>
        <v>4947613.3400000166</v>
      </c>
      <c r="P174" s="176">
        <f>SUM(P$98:P123)</f>
        <v>5184205.140000008</v>
      </c>
      <c r="Q174" s="176">
        <f>SUM(Q$98:Q123)</f>
        <v>5173808.2900000196</v>
      </c>
      <c r="R174" s="176">
        <f>SUM(R$98:R123)</f>
        <v>4982746.6900000153</v>
      </c>
      <c r="S174" s="176">
        <f>SUM(S$98:S123)</f>
        <v>5828321.8600000264</v>
      </c>
      <c r="T174" s="176">
        <f>SUM(T$98:T123)</f>
        <v>5247006.4900000235</v>
      </c>
      <c r="U174" s="176">
        <f>SUM(U$98:U123)</f>
        <v>5314346.360000018</v>
      </c>
      <c r="V174" s="176">
        <f>SUM(V$98:V123)</f>
        <v>5011832.2300000172</v>
      </c>
      <c r="W174" s="176">
        <f>SUM(W$98:W123)</f>
        <v>5081907.6000000248</v>
      </c>
      <c r="X174" s="176">
        <f>SUM(X$98:X123)</f>
        <v>4578453.5399999861</v>
      </c>
      <c r="Y174" s="176">
        <f>SUM(Y$98:Y123)</f>
        <v>4771663.9699999895</v>
      </c>
      <c r="Z174" s="176">
        <f>SUM(Z$98:Z123)</f>
        <v>5761664.9499999722</v>
      </c>
      <c r="AA174" s="176">
        <f>SUM(AA$98:AA123)</f>
        <v>4763552.8999999892</v>
      </c>
      <c r="AB174" s="176">
        <f>SUM(AB$98:AB123)</f>
        <v>5316008.1099999975</v>
      </c>
      <c r="AC174" s="176">
        <f>SUM(AC$98:AC123)</f>
        <v>5428880.2999999868</v>
      </c>
      <c r="AD174" s="176">
        <f>SUM(AD$98:AD123)</f>
        <v>5091384.0599999884</v>
      </c>
      <c r="AE174" s="176">
        <f>SUM(AE$98:AE123)</f>
        <v>5836334.2899999823</v>
      </c>
      <c r="AF174" s="176">
        <f>SUM(AF$98:AF123)</f>
        <v>5279025.1699999934</v>
      </c>
      <c r="AG174" s="176">
        <f>SUM(AG$98:AG123)</f>
        <v>6118778.3800000018</v>
      </c>
      <c r="AH174" s="176">
        <f>SUM(AH$98:AH123)</f>
        <v>5691598.2099999804</v>
      </c>
      <c r="AI174" s="176">
        <f>SUM(AI$98:AI123)</f>
        <v>5294588.3699999973</v>
      </c>
      <c r="AJ174" s="176">
        <f>SUM(AJ$98:AJ123)</f>
        <v>5174161.2699999912</v>
      </c>
      <c r="AK174" s="176">
        <f>SUM(AK$98:AK123)</f>
        <v>3917198.8800000069</v>
      </c>
      <c r="AL174" s="176">
        <f>SUM(AL$98:AL123)</f>
        <v>1157133.2399999991</v>
      </c>
      <c r="AS174" s="141"/>
      <c r="AT174" s="141"/>
    </row>
    <row r="175" spans="1:46" x14ac:dyDescent="0.2">
      <c r="A175" s="568" t="s">
        <v>1045</v>
      </c>
      <c r="B175" s="6"/>
      <c r="C175" s="176">
        <f>SUM(C$98:C124)</f>
        <v>3838798.6200000015</v>
      </c>
      <c r="D175" s="176">
        <f>SUM(D$98:D124)</f>
        <v>3906075.2600000021</v>
      </c>
      <c r="E175" s="176">
        <f>SUM(E$98:E124)</f>
        <v>4149815.4499999965</v>
      </c>
      <c r="F175" s="176">
        <f>SUM(F$98:F124)</f>
        <v>4321850.7200000007</v>
      </c>
      <c r="G175" s="176">
        <f>SUM(G$98:G124)</f>
        <v>5132651.4699999988</v>
      </c>
      <c r="H175" s="176">
        <f>SUM(H$98:H124)</f>
        <v>4977432.2299999939</v>
      </c>
      <c r="I175" s="176">
        <f>SUM(I$98:I124)</f>
        <v>5128576.8699999964</v>
      </c>
      <c r="J175" s="176">
        <f>SUM(J$98:J124)</f>
        <v>5107211.879999998</v>
      </c>
      <c r="K175" s="176">
        <f>SUM(K$98:K124)</f>
        <v>5389396.6899999995</v>
      </c>
      <c r="L175" s="176">
        <f>SUM(L$98:L124)</f>
        <v>4233060.1300000073</v>
      </c>
      <c r="M175" s="176">
        <f>SUM(M$98:M124)</f>
        <v>4139015.1400000034</v>
      </c>
      <c r="N175" s="176">
        <f>SUM(N$98:N124)</f>
        <v>5147624.0600000061</v>
      </c>
      <c r="O175" s="176">
        <f>SUM(O$98:O124)</f>
        <v>4947613.3400000166</v>
      </c>
      <c r="P175" s="176">
        <f>SUM(P$98:P124)</f>
        <v>5184205.140000008</v>
      </c>
      <c r="Q175" s="176">
        <f>SUM(Q$98:Q124)</f>
        <v>5173808.2900000196</v>
      </c>
      <c r="R175" s="176">
        <f>SUM(R$98:R124)</f>
        <v>4982746.6900000153</v>
      </c>
      <c r="S175" s="176">
        <f>SUM(S$98:S124)</f>
        <v>5828321.8600000264</v>
      </c>
      <c r="T175" s="176">
        <f>SUM(T$98:T124)</f>
        <v>5247006.4900000235</v>
      </c>
      <c r="U175" s="176">
        <f>SUM(U$98:U124)</f>
        <v>5314346.360000018</v>
      </c>
      <c r="V175" s="176">
        <f>SUM(V$98:V124)</f>
        <v>5011832.2300000172</v>
      </c>
      <c r="W175" s="176">
        <f>SUM(W$98:W124)</f>
        <v>5081907.6000000248</v>
      </c>
      <c r="X175" s="176">
        <f>SUM(X$98:X124)</f>
        <v>4578453.5399999861</v>
      </c>
      <c r="Y175" s="176">
        <f>SUM(Y$98:Y124)</f>
        <v>4771663.9699999895</v>
      </c>
      <c r="Z175" s="176">
        <f>SUM(Z$98:Z124)</f>
        <v>5761664.9499999722</v>
      </c>
      <c r="AA175" s="176">
        <f>SUM(AA$98:AA124)</f>
        <v>4763552.8999999892</v>
      </c>
      <c r="AB175" s="176">
        <f>SUM(AB$98:AB124)</f>
        <v>5316008.1099999975</v>
      </c>
      <c r="AC175" s="176">
        <f>SUM(AC$98:AC124)</f>
        <v>5428880.2999999868</v>
      </c>
      <c r="AD175" s="176">
        <f>SUM(AD$98:AD124)</f>
        <v>5091384.0599999884</v>
      </c>
      <c r="AE175" s="176">
        <f>SUM(AE$98:AE124)</f>
        <v>5836334.2899999823</v>
      </c>
      <c r="AF175" s="176">
        <f>SUM(AF$98:AF124)</f>
        <v>5279025.1699999934</v>
      </c>
      <c r="AG175" s="176">
        <f>SUM(AG$98:AG124)</f>
        <v>6118778.3800000018</v>
      </c>
      <c r="AH175" s="176">
        <f>SUM(AH$98:AH124)</f>
        <v>5691598.2099999804</v>
      </c>
      <c r="AI175" s="176">
        <f>SUM(AI$98:AI124)</f>
        <v>5294588.3699999973</v>
      </c>
      <c r="AJ175" s="176">
        <f>SUM(AJ$98:AJ124)</f>
        <v>5174161.2699999912</v>
      </c>
      <c r="AK175" s="176">
        <f>SUM(AK$98:AK124)</f>
        <v>3917198.8800000069</v>
      </c>
      <c r="AL175" s="176">
        <f>SUM(AL$98:AL124)</f>
        <v>1157133.2399999991</v>
      </c>
      <c r="AS175" s="141"/>
      <c r="AT175" s="141"/>
    </row>
    <row r="176" spans="1:46" x14ac:dyDescent="0.2">
      <c r="A176" s="568" t="s">
        <v>1046</v>
      </c>
      <c r="B176" s="6"/>
      <c r="C176" s="176">
        <f>SUM(C$98:C125)</f>
        <v>3838798.6200000015</v>
      </c>
      <c r="D176" s="176">
        <f>SUM(D$98:D125)</f>
        <v>3906559.9200000023</v>
      </c>
      <c r="E176" s="176">
        <f>SUM(E$98:E125)</f>
        <v>4149977.9999999963</v>
      </c>
      <c r="F176" s="176">
        <f>SUM(F$98:F125)</f>
        <v>4322128.3600000003</v>
      </c>
      <c r="G176" s="176">
        <f>SUM(G$98:G125)</f>
        <v>5133997.0099999988</v>
      </c>
      <c r="H176" s="176">
        <f>SUM(H$98:H125)</f>
        <v>4977432.2299999939</v>
      </c>
      <c r="I176" s="176">
        <f>SUM(I$98:I125)</f>
        <v>5125783.5599999968</v>
      </c>
      <c r="J176" s="176">
        <f>SUM(J$98:J125)</f>
        <v>5109544.6599999983</v>
      </c>
      <c r="K176" s="176">
        <f>SUM(K$98:K125)</f>
        <v>5389396.6899999995</v>
      </c>
      <c r="L176" s="176">
        <f>SUM(L$98:L125)</f>
        <v>4233060.1300000073</v>
      </c>
      <c r="M176" s="176">
        <f>SUM(M$98:M125)</f>
        <v>4139015.1400000034</v>
      </c>
      <c r="N176" s="176">
        <f>SUM(N$98:N125)</f>
        <v>5147624.0600000061</v>
      </c>
      <c r="O176" s="176">
        <f>SUM(O$98:O125)</f>
        <v>4947613.3400000166</v>
      </c>
      <c r="P176" s="176">
        <f>SUM(P$98:P125)</f>
        <v>5184205.140000008</v>
      </c>
      <c r="Q176" s="176">
        <f>SUM(Q$98:Q125)</f>
        <v>5173808.2900000196</v>
      </c>
      <c r="R176" s="176">
        <f>SUM(R$98:R125)</f>
        <v>4982746.6900000153</v>
      </c>
      <c r="S176" s="176">
        <f>SUM(S$98:S125)</f>
        <v>5828321.8600000264</v>
      </c>
      <c r="T176" s="176">
        <f>SUM(T$98:T125)</f>
        <v>5247006.4900000235</v>
      </c>
      <c r="U176" s="176">
        <f>SUM(U$98:U125)</f>
        <v>5314346.360000018</v>
      </c>
      <c r="V176" s="176">
        <f>SUM(V$98:V125)</f>
        <v>5011832.2300000172</v>
      </c>
      <c r="W176" s="176">
        <f>SUM(W$98:W125)</f>
        <v>5081907.6000000248</v>
      </c>
      <c r="X176" s="176">
        <f>SUM(X$98:X125)</f>
        <v>4578453.5399999861</v>
      </c>
      <c r="Y176" s="176">
        <f>SUM(Y$98:Y125)</f>
        <v>4771663.9699999895</v>
      </c>
      <c r="Z176" s="176">
        <f>SUM(Z$98:Z125)</f>
        <v>5761664.9499999722</v>
      </c>
      <c r="AA176" s="176">
        <f>SUM(AA$98:AA125)</f>
        <v>4763552.8999999892</v>
      </c>
      <c r="AB176" s="176">
        <f>SUM(AB$98:AB125)</f>
        <v>5316008.1099999975</v>
      </c>
      <c r="AC176" s="176">
        <f>SUM(AC$98:AC125)</f>
        <v>5428880.2999999868</v>
      </c>
      <c r="AD176" s="176">
        <f>SUM(AD$98:AD125)</f>
        <v>5091384.0599999884</v>
      </c>
      <c r="AE176" s="176">
        <f>SUM(AE$98:AE125)</f>
        <v>5836334.2899999823</v>
      </c>
      <c r="AF176" s="176">
        <f>SUM(AF$98:AF125)</f>
        <v>5279025.1699999934</v>
      </c>
      <c r="AG176" s="176">
        <f>SUM(AG$98:AG125)</f>
        <v>6118778.3800000018</v>
      </c>
      <c r="AH176" s="176">
        <f>SUM(AH$98:AH125)</f>
        <v>5691598.2099999804</v>
      </c>
      <c r="AI176" s="176">
        <f>SUM(AI$98:AI125)</f>
        <v>5294588.3699999973</v>
      </c>
      <c r="AJ176" s="176">
        <f>SUM(AJ$98:AJ125)</f>
        <v>5174161.2699999912</v>
      </c>
      <c r="AK176" s="176">
        <f>SUM(AK$98:AK125)</f>
        <v>3917198.8800000069</v>
      </c>
      <c r="AL176" s="176">
        <f>SUM(AL$98:AL125)</f>
        <v>1157133.2399999991</v>
      </c>
      <c r="AS176" s="141"/>
      <c r="AT176" s="141"/>
    </row>
    <row r="177" spans="1:46" x14ac:dyDescent="0.2">
      <c r="A177" s="568" t="s">
        <v>1047</v>
      </c>
      <c r="B177" s="6"/>
      <c r="C177" s="176">
        <f>SUM(C$98:C126)</f>
        <v>3839277.2300000014</v>
      </c>
      <c r="D177" s="176">
        <f>SUM(D$98:D126)</f>
        <v>3917770.180000002</v>
      </c>
      <c r="E177" s="176">
        <f>SUM(E$98:E126)</f>
        <v>4150224.9199999962</v>
      </c>
      <c r="F177" s="176">
        <f>SUM(F$98:F126)</f>
        <v>4322870.99</v>
      </c>
      <c r="G177" s="176">
        <f>SUM(G$98:G126)</f>
        <v>5133997.0099999988</v>
      </c>
      <c r="H177" s="176">
        <f>SUM(H$98:H126)</f>
        <v>4977432.2299999939</v>
      </c>
      <c r="I177" s="176">
        <f>SUM(I$98:I126)</f>
        <v>5127093.0199999968</v>
      </c>
      <c r="J177" s="176">
        <f>SUM(J$98:J126)</f>
        <v>5109764.6199999982</v>
      </c>
      <c r="K177" s="176">
        <f>SUM(K$98:K126)</f>
        <v>5389396.6899999995</v>
      </c>
      <c r="L177" s="176">
        <f>SUM(L$98:L126)</f>
        <v>4233060.1300000073</v>
      </c>
      <c r="M177" s="176">
        <f>SUM(M$98:M126)</f>
        <v>4139015.1400000034</v>
      </c>
      <c r="N177" s="176">
        <f>SUM(N$98:N126)</f>
        <v>5147624.0600000061</v>
      </c>
      <c r="O177" s="176">
        <f>SUM(O$98:O126)</f>
        <v>4947613.3400000166</v>
      </c>
      <c r="P177" s="176">
        <f>SUM(P$98:P126)</f>
        <v>5184205.140000008</v>
      </c>
      <c r="Q177" s="176">
        <f>SUM(Q$98:Q126)</f>
        <v>5173808.2900000196</v>
      </c>
      <c r="R177" s="176">
        <f>SUM(R$98:R126)</f>
        <v>4982746.6900000153</v>
      </c>
      <c r="S177" s="176">
        <f>SUM(S$98:S126)</f>
        <v>5828321.8600000264</v>
      </c>
      <c r="T177" s="176">
        <f>SUM(T$98:T126)</f>
        <v>5247006.4900000235</v>
      </c>
      <c r="U177" s="176">
        <f>SUM(U$98:U126)</f>
        <v>5314346.360000018</v>
      </c>
      <c r="V177" s="176">
        <f>SUM(V$98:V126)</f>
        <v>5011832.2300000172</v>
      </c>
      <c r="W177" s="176">
        <f>SUM(W$98:W126)</f>
        <v>5081907.6000000248</v>
      </c>
      <c r="X177" s="176">
        <f>SUM(X$98:X126)</f>
        <v>4578453.5399999861</v>
      </c>
      <c r="Y177" s="176">
        <f>SUM(Y$98:Y126)</f>
        <v>4771663.9699999895</v>
      </c>
      <c r="Z177" s="176">
        <f>SUM(Z$98:Z126)</f>
        <v>5761664.9499999722</v>
      </c>
      <c r="AA177" s="176">
        <f>SUM(AA$98:AA126)</f>
        <v>4763552.8999999892</v>
      </c>
      <c r="AB177" s="176">
        <f>SUM(AB$98:AB126)</f>
        <v>5316008.1099999975</v>
      </c>
      <c r="AC177" s="176">
        <f>SUM(AC$98:AC126)</f>
        <v>5428880.2999999868</v>
      </c>
      <c r="AD177" s="176">
        <f>SUM(AD$98:AD126)</f>
        <v>5091384.0599999884</v>
      </c>
      <c r="AE177" s="176">
        <f>SUM(AE$98:AE126)</f>
        <v>5836334.2899999823</v>
      </c>
      <c r="AF177" s="176">
        <f>SUM(AF$98:AF126)</f>
        <v>5279025.1699999934</v>
      </c>
      <c r="AG177" s="176">
        <f>SUM(AG$98:AG126)</f>
        <v>6118778.3800000018</v>
      </c>
      <c r="AH177" s="176">
        <f>SUM(AH$98:AH126)</f>
        <v>5691598.2099999804</v>
      </c>
      <c r="AI177" s="176">
        <f>SUM(AI$98:AI126)</f>
        <v>5294588.3699999973</v>
      </c>
      <c r="AJ177" s="176">
        <f>SUM(AJ$98:AJ126)</f>
        <v>5174161.2699999912</v>
      </c>
      <c r="AK177" s="176">
        <f>SUM(AK$98:AK126)</f>
        <v>3917198.8800000069</v>
      </c>
      <c r="AL177" s="176">
        <f>SUM(AL$98:AL126)</f>
        <v>1157133.2399999991</v>
      </c>
      <c r="AS177" s="141"/>
      <c r="AT177" s="141"/>
    </row>
    <row r="178" spans="1:46" x14ac:dyDescent="0.2">
      <c r="A178" s="568" t="s">
        <v>1048</v>
      </c>
      <c r="B178" s="6"/>
      <c r="C178" s="176">
        <f>SUM(C$98:C127)</f>
        <v>3840508.4300000016</v>
      </c>
      <c r="D178" s="176">
        <f>SUM(D$98:D127)</f>
        <v>3918349.1500000022</v>
      </c>
      <c r="E178" s="176">
        <f>SUM(E$98:E127)</f>
        <v>4151660.6699999962</v>
      </c>
      <c r="F178" s="176">
        <f>SUM(F$98:F127)</f>
        <v>4323020.78</v>
      </c>
      <c r="G178" s="176">
        <f>SUM(G$98:G127)</f>
        <v>5134084.0799999991</v>
      </c>
      <c r="H178" s="176">
        <f>SUM(H$98:H127)</f>
        <v>4979252.309999994</v>
      </c>
      <c r="I178" s="176">
        <f>SUM(I$98:I127)</f>
        <v>5127093.0199999968</v>
      </c>
      <c r="J178" s="176">
        <f>SUM(J$98:J127)</f>
        <v>5109764.6199999982</v>
      </c>
      <c r="K178" s="176">
        <f>SUM(K$98:K127)</f>
        <v>5389396.6899999995</v>
      </c>
      <c r="L178" s="176">
        <f>SUM(L$98:L127)</f>
        <v>4233060.1300000073</v>
      </c>
      <c r="M178" s="176">
        <f>SUM(M$98:M127)</f>
        <v>4139015.1400000034</v>
      </c>
      <c r="N178" s="176">
        <f>SUM(N$98:N127)</f>
        <v>5147624.0600000061</v>
      </c>
      <c r="O178" s="176">
        <f>SUM(O$98:O127)</f>
        <v>4947613.3400000166</v>
      </c>
      <c r="P178" s="176">
        <f>SUM(P$98:P127)</f>
        <v>5184205.140000008</v>
      </c>
      <c r="Q178" s="176">
        <f>SUM(Q$98:Q127)</f>
        <v>5173808.2900000196</v>
      </c>
      <c r="R178" s="176">
        <f>SUM(R$98:R127)</f>
        <v>4982746.6900000153</v>
      </c>
      <c r="S178" s="176">
        <f>SUM(S$98:S127)</f>
        <v>5828321.8600000264</v>
      </c>
      <c r="T178" s="176">
        <f>SUM(T$98:T127)</f>
        <v>5247006.4900000235</v>
      </c>
      <c r="U178" s="176">
        <f>SUM(U$98:U127)</f>
        <v>5314346.360000018</v>
      </c>
      <c r="V178" s="176">
        <f>SUM(V$98:V127)</f>
        <v>5011832.2300000172</v>
      </c>
      <c r="W178" s="176">
        <f>SUM(W$98:W127)</f>
        <v>5081907.6000000248</v>
      </c>
      <c r="X178" s="176">
        <f>SUM(X$98:X127)</f>
        <v>4578453.5399999861</v>
      </c>
      <c r="Y178" s="176">
        <f>SUM(Y$98:Y127)</f>
        <v>4771663.9699999895</v>
      </c>
      <c r="Z178" s="176">
        <f>SUM(Z$98:Z127)</f>
        <v>5761664.9499999722</v>
      </c>
      <c r="AA178" s="176">
        <f>SUM(AA$98:AA127)</f>
        <v>4763552.8999999892</v>
      </c>
      <c r="AB178" s="176">
        <f>SUM(AB$98:AB127)</f>
        <v>5316008.1099999975</v>
      </c>
      <c r="AC178" s="176">
        <f>SUM(AC$98:AC127)</f>
        <v>5428880.2999999868</v>
      </c>
      <c r="AD178" s="176">
        <f>SUM(AD$98:AD127)</f>
        <v>5091384.0599999884</v>
      </c>
      <c r="AE178" s="176">
        <f>SUM(AE$98:AE127)</f>
        <v>5836334.2899999823</v>
      </c>
      <c r="AF178" s="176">
        <f>SUM(AF$98:AF127)</f>
        <v>5279025.1699999934</v>
      </c>
      <c r="AG178" s="176">
        <f>SUM(AG$98:AG127)</f>
        <v>6118778.3800000018</v>
      </c>
      <c r="AH178" s="176">
        <f>SUM(AH$98:AH127)</f>
        <v>5691598.2099999804</v>
      </c>
      <c r="AI178" s="176">
        <f>SUM(AI$98:AI127)</f>
        <v>5294588.3699999973</v>
      </c>
      <c r="AJ178" s="176">
        <f>SUM(AJ$98:AJ127)</f>
        <v>5174161.2699999912</v>
      </c>
      <c r="AK178" s="176">
        <f>SUM(AK$98:AK127)</f>
        <v>3917198.8800000069</v>
      </c>
      <c r="AL178" s="176">
        <f>SUM(AL$98:AL127)</f>
        <v>1157133.2399999991</v>
      </c>
      <c r="AS178" s="141"/>
      <c r="AT178" s="141"/>
    </row>
    <row r="179" spans="1:46" x14ac:dyDescent="0.2">
      <c r="A179" s="568" t="s">
        <v>1049</v>
      </c>
      <c r="B179" s="6"/>
      <c r="C179" s="176">
        <f>SUM(C$98:C128)</f>
        <v>3841024.8100000015</v>
      </c>
      <c r="D179" s="176">
        <f>SUM(D$98:D128)</f>
        <v>3919258.8300000024</v>
      </c>
      <c r="E179" s="176">
        <f>SUM(E$98:E128)</f>
        <v>4151660.6699999962</v>
      </c>
      <c r="F179" s="176">
        <f>SUM(F$98:F128)</f>
        <v>4323396.1500000004</v>
      </c>
      <c r="G179" s="176">
        <f>SUM(G$98:G128)</f>
        <v>5136299.629999999</v>
      </c>
      <c r="H179" s="176">
        <f>SUM(H$98:H128)</f>
        <v>4979252.309999994</v>
      </c>
      <c r="I179" s="176">
        <f>SUM(I$98:I128)</f>
        <v>5127093.0199999968</v>
      </c>
      <c r="J179" s="176">
        <f>SUM(J$98:J128)</f>
        <v>5109764.6199999982</v>
      </c>
      <c r="K179" s="176">
        <f>SUM(K$98:K128)</f>
        <v>5389396.6899999995</v>
      </c>
      <c r="L179" s="176">
        <f>SUM(L$98:L128)</f>
        <v>4233060.1300000073</v>
      </c>
      <c r="M179" s="176">
        <f>SUM(M$98:M128)</f>
        <v>4139015.1400000034</v>
      </c>
      <c r="N179" s="176">
        <f>SUM(N$98:N128)</f>
        <v>5147624.0600000061</v>
      </c>
      <c r="O179" s="176">
        <f>SUM(O$98:O128)</f>
        <v>4947613.3400000166</v>
      </c>
      <c r="P179" s="176">
        <f>SUM(P$98:P128)</f>
        <v>5184205.140000008</v>
      </c>
      <c r="Q179" s="176">
        <f>SUM(Q$98:Q128)</f>
        <v>5173808.2900000196</v>
      </c>
      <c r="R179" s="176">
        <f>SUM(R$98:R128)</f>
        <v>4982746.6900000153</v>
      </c>
      <c r="S179" s="176">
        <f>SUM(S$98:S128)</f>
        <v>5828321.8600000264</v>
      </c>
      <c r="T179" s="176">
        <f>SUM(T$98:T128)</f>
        <v>5247006.4900000235</v>
      </c>
      <c r="U179" s="176">
        <f>SUM(U$98:U128)</f>
        <v>5314346.360000018</v>
      </c>
      <c r="V179" s="176">
        <f>SUM(V$98:V128)</f>
        <v>5011832.2300000172</v>
      </c>
      <c r="W179" s="176">
        <f>SUM(W$98:W128)</f>
        <v>5081907.6000000248</v>
      </c>
      <c r="X179" s="176">
        <f>SUM(X$98:X128)</f>
        <v>4578453.5399999861</v>
      </c>
      <c r="Y179" s="176">
        <f>SUM(Y$98:Y128)</f>
        <v>4771663.9699999895</v>
      </c>
      <c r="Z179" s="176">
        <f>SUM(Z$98:Z128)</f>
        <v>5761664.9499999722</v>
      </c>
      <c r="AA179" s="176">
        <f>SUM(AA$98:AA128)</f>
        <v>4763552.8999999892</v>
      </c>
      <c r="AB179" s="176">
        <f>SUM(AB$98:AB128)</f>
        <v>5316008.1099999975</v>
      </c>
      <c r="AC179" s="176">
        <f>SUM(AC$98:AC128)</f>
        <v>5428880.2999999868</v>
      </c>
      <c r="AD179" s="176">
        <f>SUM(AD$98:AD128)</f>
        <v>5091384.0599999884</v>
      </c>
      <c r="AE179" s="176">
        <f>SUM(AE$98:AE128)</f>
        <v>5836334.2899999823</v>
      </c>
      <c r="AF179" s="176">
        <f>SUM(AF$98:AF128)</f>
        <v>5279025.1699999934</v>
      </c>
      <c r="AG179" s="176">
        <f>SUM(AG$98:AG128)</f>
        <v>6118778.3800000018</v>
      </c>
      <c r="AH179" s="176">
        <f>SUM(AH$98:AH128)</f>
        <v>5691598.2099999804</v>
      </c>
      <c r="AI179" s="176">
        <f>SUM(AI$98:AI128)</f>
        <v>5294588.3699999973</v>
      </c>
      <c r="AJ179" s="176">
        <f>SUM(AJ$98:AJ128)</f>
        <v>5174161.2699999912</v>
      </c>
      <c r="AK179" s="176">
        <f>SUM(AK$98:AK128)</f>
        <v>3917198.8800000069</v>
      </c>
      <c r="AL179" s="176">
        <f>SUM(AL$98:AL128)</f>
        <v>1157133.2399999991</v>
      </c>
      <c r="AS179" s="141"/>
      <c r="AT179" s="141"/>
    </row>
    <row r="180" spans="1:46" x14ac:dyDescent="0.2">
      <c r="A180" s="568" t="s">
        <v>1050</v>
      </c>
      <c r="B180" s="6"/>
      <c r="C180" s="176">
        <f>SUM(C$98:C129)</f>
        <v>3841024.8100000015</v>
      </c>
      <c r="D180" s="176">
        <f>SUM(D$98:D129)</f>
        <v>3919186.3300000024</v>
      </c>
      <c r="E180" s="176">
        <f>SUM(E$98:E129)</f>
        <v>4152155.2299999963</v>
      </c>
      <c r="F180" s="176">
        <f>SUM(F$98:F129)</f>
        <v>4326367.0200000005</v>
      </c>
      <c r="G180" s="176">
        <f>SUM(G$98:G129)</f>
        <v>5136808.9499999993</v>
      </c>
      <c r="H180" s="176">
        <f>SUM(H$98:H129)</f>
        <v>4979252.309999994</v>
      </c>
      <c r="I180" s="176">
        <f>SUM(I$98:I129)</f>
        <v>5127093.0199999968</v>
      </c>
      <c r="J180" s="176">
        <f>SUM(J$98:J129)</f>
        <v>5109764.6199999982</v>
      </c>
      <c r="K180" s="176">
        <f>SUM(K$98:K129)</f>
        <v>5389396.6899999995</v>
      </c>
      <c r="L180" s="176">
        <f>SUM(L$98:L129)</f>
        <v>4233060.1300000073</v>
      </c>
      <c r="M180" s="176">
        <f>SUM(M$98:M129)</f>
        <v>4139015.1400000034</v>
      </c>
      <c r="N180" s="176">
        <f>SUM(N$98:N129)</f>
        <v>5147624.0600000061</v>
      </c>
      <c r="O180" s="176">
        <f>SUM(O$98:O129)</f>
        <v>4947613.3400000166</v>
      </c>
      <c r="P180" s="176">
        <f>SUM(P$98:P129)</f>
        <v>5184205.140000008</v>
      </c>
      <c r="Q180" s="176">
        <f>SUM(Q$98:Q129)</f>
        <v>5173808.2900000196</v>
      </c>
      <c r="R180" s="176">
        <f>SUM(R$98:R129)</f>
        <v>4982746.6900000153</v>
      </c>
      <c r="S180" s="176">
        <f>SUM(S$98:S129)</f>
        <v>5828321.8600000264</v>
      </c>
      <c r="T180" s="176">
        <f>SUM(T$98:T129)</f>
        <v>5247006.4900000235</v>
      </c>
      <c r="U180" s="176">
        <f>SUM(U$98:U129)</f>
        <v>5314346.360000018</v>
      </c>
      <c r="V180" s="176">
        <f>SUM(V$98:V129)</f>
        <v>5011832.2300000172</v>
      </c>
      <c r="W180" s="176">
        <f>SUM(W$98:W129)</f>
        <v>5081907.6000000248</v>
      </c>
      <c r="X180" s="176">
        <f>SUM(X$98:X129)</f>
        <v>4578453.5399999861</v>
      </c>
      <c r="Y180" s="176">
        <f>SUM(Y$98:Y129)</f>
        <v>4771663.9699999895</v>
      </c>
      <c r="Z180" s="176">
        <f>SUM(Z$98:Z129)</f>
        <v>5761664.9499999722</v>
      </c>
      <c r="AA180" s="176">
        <f>SUM(AA$98:AA129)</f>
        <v>4763552.8999999892</v>
      </c>
      <c r="AB180" s="176">
        <f>SUM(AB$98:AB129)</f>
        <v>5316008.1099999975</v>
      </c>
      <c r="AC180" s="176">
        <f>SUM(AC$98:AC129)</f>
        <v>5428880.2999999868</v>
      </c>
      <c r="AD180" s="176">
        <f>SUM(AD$98:AD129)</f>
        <v>5091384.0599999884</v>
      </c>
      <c r="AE180" s="176">
        <f>SUM(AE$98:AE129)</f>
        <v>5836334.2899999823</v>
      </c>
      <c r="AF180" s="176">
        <f>SUM(AF$98:AF129)</f>
        <v>5279025.1699999934</v>
      </c>
      <c r="AG180" s="176">
        <f>SUM(AG$98:AG129)</f>
        <v>6118778.3800000018</v>
      </c>
      <c r="AH180" s="176">
        <f>SUM(AH$98:AH129)</f>
        <v>5691598.2099999804</v>
      </c>
      <c r="AI180" s="176">
        <f>SUM(AI$98:AI129)</f>
        <v>5294588.3699999973</v>
      </c>
      <c r="AJ180" s="176">
        <f>SUM(AJ$98:AJ129)</f>
        <v>5174161.2699999912</v>
      </c>
      <c r="AK180" s="176">
        <f>SUM(AK$98:AK129)</f>
        <v>3917198.8800000069</v>
      </c>
      <c r="AL180" s="176">
        <f>SUM(AL$98:AL129)</f>
        <v>1157133.2399999991</v>
      </c>
    </row>
    <row r="181" spans="1:46" x14ac:dyDescent="0.2">
      <c r="A181" s="568" t="s">
        <v>1051</v>
      </c>
      <c r="B181" s="6"/>
      <c r="C181" s="176">
        <f>SUM(C$98:C130)</f>
        <v>3841024.8100000015</v>
      </c>
      <c r="D181" s="176">
        <f>SUM(D$98:D130)</f>
        <v>3919876.7300000023</v>
      </c>
      <c r="E181" s="176">
        <f>SUM(E$98:E130)</f>
        <v>4155811.3399999961</v>
      </c>
      <c r="F181" s="176">
        <f>SUM(F$98:F130)</f>
        <v>4326591.57</v>
      </c>
      <c r="G181" s="176">
        <f>SUM(G$98:G130)</f>
        <v>5136808.9499999993</v>
      </c>
      <c r="H181" s="176">
        <f>SUM(H$98:H130)</f>
        <v>4979252.309999994</v>
      </c>
      <c r="I181" s="176">
        <f>SUM(I$98:I130)</f>
        <v>5127093.0199999968</v>
      </c>
      <c r="J181" s="176">
        <f>SUM(J$98:J130)</f>
        <v>5109764.6199999982</v>
      </c>
      <c r="K181" s="176">
        <f>SUM(K$98:K130)</f>
        <v>5389396.6899999995</v>
      </c>
      <c r="L181" s="176">
        <f>SUM(L$98:L130)</f>
        <v>4233060.1300000073</v>
      </c>
      <c r="M181" s="176">
        <f>SUM(M$98:M130)</f>
        <v>4139015.1400000034</v>
      </c>
      <c r="N181" s="176">
        <f>SUM(N$98:N130)</f>
        <v>5147624.0600000061</v>
      </c>
      <c r="O181" s="176">
        <f>SUM(O$98:O130)</f>
        <v>4947613.3400000166</v>
      </c>
      <c r="P181" s="176">
        <f>SUM(P$98:P130)</f>
        <v>5184205.140000008</v>
      </c>
      <c r="Q181" s="176">
        <f>SUM(Q$98:Q130)</f>
        <v>5173808.2900000196</v>
      </c>
      <c r="R181" s="176">
        <f>SUM(R$98:R130)</f>
        <v>4982746.6900000153</v>
      </c>
      <c r="S181" s="176">
        <f>SUM(S$98:S130)</f>
        <v>5828321.8600000264</v>
      </c>
      <c r="T181" s="176">
        <f>SUM(T$98:T130)</f>
        <v>5247006.4900000235</v>
      </c>
      <c r="U181" s="176">
        <f>SUM(U$98:U130)</f>
        <v>5314346.360000018</v>
      </c>
      <c r="V181" s="176">
        <f>SUM(V$98:V130)</f>
        <v>5011832.2300000172</v>
      </c>
      <c r="W181" s="176">
        <f>SUM(W$98:W130)</f>
        <v>5081907.6000000248</v>
      </c>
      <c r="X181" s="176">
        <f>SUM(X$98:X130)</f>
        <v>4578453.5399999861</v>
      </c>
      <c r="Y181" s="176">
        <f>SUM(Y$98:Y130)</f>
        <v>4771663.9699999895</v>
      </c>
      <c r="Z181" s="176">
        <f>SUM(Z$98:Z130)</f>
        <v>5761664.9499999722</v>
      </c>
      <c r="AA181" s="176">
        <f>SUM(AA$98:AA130)</f>
        <v>4763552.8999999892</v>
      </c>
      <c r="AB181" s="176">
        <f>SUM(AB$98:AB130)</f>
        <v>5316008.1099999975</v>
      </c>
      <c r="AC181" s="176">
        <f>SUM(AC$98:AC130)</f>
        <v>5428880.2999999868</v>
      </c>
      <c r="AD181" s="176">
        <f>SUM(AD$98:AD130)</f>
        <v>5091384.0599999884</v>
      </c>
      <c r="AE181" s="176">
        <f>SUM(AE$98:AE130)</f>
        <v>5836334.2899999823</v>
      </c>
      <c r="AF181" s="176">
        <f>SUM(AF$98:AF130)</f>
        <v>5279025.1699999934</v>
      </c>
      <c r="AG181" s="176">
        <f>SUM(AG$98:AG130)</f>
        <v>6118778.3800000018</v>
      </c>
      <c r="AH181" s="176">
        <f>SUM(AH$98:AH130)</f>
        <v>5691598.2099999804</v>
      </c>
      <c r="AI181" s="176">
        <f>SUM(AI$98:AI130)</f>
        <v>5294588.3699999973</v>
      </c>
      <c r="AJ181" s="176">
        <f>SUM(AJ$98:AJ130)</f>
        <v>5174161.2699999912</v>
      </c>
      <c r="AK181" s="176">
        <f>SUM(AK$98:AK130)</f>
        <v>3917198.8800000069</v>
      </c>
      <c r="AL181" s="176">
        <f>SUM(AL$98:AL130)</f>
        <v>1157133.2399999991</v>
      </c>
    </row>
    <row r="182" spans="1:46" x14ac:dyDescent="0.2">
      <c r="A182" s="568" t="s">
        <v>1052</v>
      </c>
      <c r="B182" s="6"/>
      <c r="C182" s="176">
        <f>SUM(C$98:C131)</f>
        <v>3841424.8100000015</v>
      </c>
      <c r="D182" s="176">
        <f>SUM(D$98:D131)</f>
        <v>3920582.3300000024</v>
      </c>
      <c r="E182" s="176">
        <f>SUM(E$98:E131)</f>
        <v>4155811.3399999961</v>
      </c>
      <c r="F182" s="176">
        <f>SUM(F$98:F131)</f>
        <v>4326591.57</v>
      </c>
      <c r="G182" s="176">
        <f>SUM(G$98:G131)</f>
        <v>5136808.9499999993</v>
      </c>
      <c r="H182" s="176">
        <f>SUM(H$98:H131)</f>
        <v>4979252.309999994</v>
      </c>
      <c r="I182" s="176">
        <f>SUM(I$98:I131)</f>
        <v>5127093.0199999968</v>
      </c>
      <c r="J182" s="176">
        <f>SUM(J$98:J131)</f>
        <v>5109764.6199999982</v>
      </c>
      <c r="K182" s="176">
        <f>SUM(K$98:K131)</f>
        <v>5389396.6899999995</v>
      </c>
      <c r="L182" s="176">
        <f>SUM(L$98:L131)</f>
        <v>4233060.1300000073</v>
      </c>
      <c r="M182" s="176">
        <f>SUM(M$98:M131)</f>
        <v>4139015.1400000034</v>
      </c>
      <c r="N182" s="176">
        <f>SUM(N$98:N131)</f>
        <v>5147624.0600000061</v>
      </c>
      <c r="O182" s="176">
        <f>SUM(O$98:O131)</f>
        <v>4947613.3400000166</v>
      </c>
      <c r="P182" s="176">
        <f>SUM(P$98:P131)</f>
        <v>5184205.140000008</v>
      </c>
      <c r="Q182" s="176">
        <f>SUM(Q$98:Q131)</f>
        <v>5173808.2900000196</v>
      </c>
      <c r="R182" s="176">
        <f>SUM(R$98:R131)</f>
        <v>4982746.6900000153</v>
      </c>
      <c r="S182" s="176">
        <f>SUM(S$98:S131)</f>
        <v>5828321.8600000264</v>
      </c>
      <c r="T182" s="176">
        <f>SUM(T$98:T131)</f>
        <v>5247006.4900000235</v>
      </c>
      <c r="U182" s="176">
        <f>SUM(U$98:U131)</f>
        <v>5314346.360000018</v>
      </c>
      <c r="V182" s="176">
        <f>SUM(V$98:V131)</f>
        <v>5011832.2300000172</v>
      </c>
      <c r="W182" s="176">
        <f>SUM(W$98:W131)</f>
        <v>5081907.6000000248</v>
      </c>
      <c r="X182" s="176">
        <f>SUM(X$98:X131)</f>
        <v>4578453.5399999861</v>
      </c>
      <c r="Y182" s="176">
        <f>SUM(Y$98:Y131)</f>
        <v>4771663.9699999895</v>
      </c>
      <c r="Z182" s="176">
        <f>SUM(Z$98:Z131)</f>
        <v>5761664.9499999722</v>
      </c>
      <c r="AA182" s="176">
        <f>SUM(AA$98:AA131)</f>
        <v>4763552.8999999892</v>
      </c>
      <c r="AB182" s="176">
        <f>SUM(AB$98:AB131)</f>
        <v>5316008.1099999975</v>
      </c>
      <c r="AC182" s="176">
        <f>SUM(AC$98:AC131)</f>
        <v>5428880.2999999868</v>
      </c>
      <c r="AD182" s="176">
        <f>SUM(AD$98:AD131)</f>
        <v>5091384.0599999884</v>
      </c>
      <c r="AE182" s="176">
        <f>SUM(AE$98:AE131)</f>
        <v>5836334.2899999823</v>
      </c>
      <c r="AF182" s="176">
        <f>SUM(AF$98:AF131)</f>
        <v>5279025.1699999934</v>
      </c>
      <c r="AG182" s="176">
        <f>SUM(AG$98:AG131)</f>
        <v>6118778.3800000018</v>
      </c>
      <c r="AH182" s="176">
        <f>SUM(AH$98:AH131)</f>
        <v>5691598.2099999804</v>
      </c>
      <c r="AI182" s="176">
        <f>SUM(AI$98:AI131)</f>
        <v>5294588.3699999973</v>
      </c>
      <c r="AJ182" s="176">
        <f>SUM(AJ$98:AJ131)</f>
        <v>5174161.2699999912</v>
      </c>
      <c r="AK182" s="176">
        <f>SUM(AK$98:AK131)</f>
        <v>3917198.8800000069</v>
      </c>
      <c r="AL182" s="176">
        <f>SUM(AL$98:AL131)</f>
        <v>1157133.2399999991</v>
      </c>
    </row>
    <row r="183" spans="1:46" x14ac:dyDescent="0.2">
      <c r="A183" s="568" t="s">
        <v>1053</v>
      </c>
      <c r="B183" s="6"/>
      <c r="C183" s="176">
        <f>SUM(C$98:C132)</f>
        <v>3841602.7700000014</v>
      </c>
      <c r="D183" s="176">
        <f>SUM(D$98:D132)</f>
        <v>3920582.3300000024</v>
      </c>
      <c r="E183" s="176">
        <f>SUM(E$98:E132)</f>
        <v>4155811.3399999961</v>
      </c>
      <c r="F183" s="176">
        <f>SUM(F$98:F132)</f>
        <v>4326591.57</v>
      </c>
      <c r="G183" s="176">
        <f>SUM(G$98:G132)</f>
        <v>5136808.9499999993</v>
      </c>
      <c r="H183" s="176">
        <f>SUM(H$98:H132)</f>
        <v>4979252.309999994</v>
      </c>
      <c r="I183" s="176">
        <f>SUM(I$98:I132)</f>
        <v>5127093.0199999968</v>
      </c>
      <c r="J183" s="176">
        <f>SUM(J$98:J132)</f>
        <v>5109764.6199999982</v>
      </c>
      <c r="K183" s="176">
        <f>SUM(K$98:K132)</f>
        <v>5389396.6899999995</v>
      </c>
      <c r="L183" s="176">
        <f>SUM(L$98:L132)</f>
        <v>4233060.1300000073</v>
      </c>
      <c r="M183" s="176">
        <f>SUM(M$98:M132)</f>
        <v>4139015.1400000034</v>
      </c>
      <c r="N183" s="176">
        <f>SUM(N$98:N132)</f>
        <v>5147624.0600000061</v>
      </c>
      <c r="O183" s="176">
        <f>SUM(O$98:O132)</f>
        <v>4947613.3400000166</v>
      </c>
      <c r="P183" s="176">
        <f>SUM(P$98:P132)</f>
        <v>5184205.140000008</v>
      </c>
      <c r="Q183" s="176">
        <f>SUM(Q$98:Q132)</f>
        <v>5173808.2900000196</v>
      </c>
      <c r="R183" s="176">
        <f>SUM(R$98:R132)</f>
        <v>4982746.6900000153</v>
      </c>
      <c r="S183" s="176">
        <f>SUM(S$98:S132)</f>
        <v>5828321.8600000264</v>
      </c>
      <c r="T183" s="176">
        <f>SUM(T$98:T132)</f>
        <v>5247006.4900000235</v>
      </c>
      <c r="U183" s="176">
        <f>SUM(U$98:U132)</f>
        <v>5314346.360000018</v>
      </c>
      <c r="V183" s="176">
        <f>SUM(V$98:V132)</f>
        <v>5011832.2300000172</v>
      </c>
      <c r="W183" s="176">
        <f>SUM(W$98:W132)</f>
        <v>5081907.6000000248</v>
      </c>
      <c r="X183" s="176">
        <f>SUM(X$98:X132)</f>
        <v>4578453.5399999861</v>
      </c>
      <c r="Y183" s="176">
        <f>SUM(Y$98:Y132)</f>
        <v>4771663.9699999895</v>
      </c>
      <c r="Z183" s="176">
        <f>SUM(Z$98:Z132)</f>
        <v>5761664.9499999722</v>
      </c>
      <c r="AA183" s="176">
        <f>SUM(AA$98:AA132)</f>
        <v>4763552.8999999892</v>
      </c>
      <c r="AB183" s="176">
        <f>SUM(AB$98:AB132)</f>
        <v>5316008.1099999975</v>
      </c>
      <c r="AC183" s="176">
        <f>SUM(AC$98:AC132)</f>
        <v>5428880.2999999868</v>
      </c>
      <c r="AD183" s="176">
        <f>SUM(AD$98:AD132)</f>
        <v>5091384.0599999884</v>
      </c>
      <c r="AE183" s="176">
        <f>SUM(AE$98:AE132)</f>
        <v>5836334.2899999823</v>
      </c>
      <c r="AF183" s="176">
        <f>SUM(AF$98:AF132)</f>
        <v>5279025.1699999934</v>
      </c>
      <c r="AG183" s="176">
        <f>SUM(AG$98:AG132)</f>
        <v>6118778.3800000018</v>
      </c>
      <c r="AH183" s="176">
        <f>SUM(AH$98:AH132)</f>
        <v>5691598.2099999804</v>
      </c>
      <c r="AI183" s="176">
        <f>SUM(AI$98:AI132)</f>
        <v>5294588.3699999973</v>
      </c>
      <c r="AJ183" s="176">
        <f>SUM(AJ$98:AJ132)</f>
        <v>5174161.2699999912</v>
      </c>
      <c r="AK183" s="176">
        <f>SUM(AK$98:AK132)</f>
        <v>3917198.8800000069</v>
      </c>
      <c r="AL183" s="176">
        <f>SUM(AL$98:AL132)</f>
        <v>1157133.2399999991</v>
      </c>
    </row>
    <row r="184" spans="1:46" x14ac:dyDescent="0.2">
      <c r="A184" s="568" t="s">
        <v>1054</v>
      </c>
      <c r="B184" s="6"/>
      <c r="C184" s="176">
        <f>SUM(C$98:C133)</f>
        <v>3841701.2300000014</v>
      </c>
      <c r="D184" s="176">
        <f>SUM(D$98:D133)</f>
        <v>3920582.3300000024</v>
      </c>
      <c r="E184" s="176">
        <f>SUM(E$98:E133)</f>
        <v>4155811.3399999961</v>
      </c>
      <c r="F184" s="176">
        <f>SUM(F$98:F133)</f>
        <v>4326591.57</v>
      </c>
      <c r="G184" s="176">
        <f>SUM(G$98:G133)</f>
        <v>5136808.9499999993</v>
      </c>
      <c r="H184" s="176">
        <f>SUM(H$98:H133)</f>
        <v>4979252.309999994</v>
      </c>
      <c r="I184" s="176">
        <f>SUM(I$98:I133)</f>
        <v>5127093.0199999968</v>
      </c>
      <c r="J184" s="176">
        <f>SUM(J$98:J133)</f>
        <v>5109764.6199999982</v>
      </c>
      <c r="K184" s="176">
        <f>SUM(K$98:K133)</f>
        <v>5389396.6899999995</v>
      </c>
      <c r="L184" s="176">
        <f>SUM(L$98:L133)</f>
        <v>4233060.1300000073</v>
      </c>
      <c r="M184" s="176">
        <f>SUM(M$98:M133)</f>
        <v>4139015.1400000034</v>
      </c>
      <c r="N184" s="176">
        <f>SUM(N$98:N133)</f>
        <v>5147624.0600000061</v>
      </c>
      <c r="O184" s="176">
        <f>SUM(O$98:O133)</f>
        <v>4947613.3400000166</v>
      </c>
      <c r="P184" s="176">
        <f>SUM(P$98:P133)</f>
        <v>5184205.140000008</v>
      </c>
      <c r="Q184" s="176">
        <f>SUM(Q$98:Q133)</f>
        <v>5173808.2900000196</v>
      </c>
      <c r="R184" s="176">
        <f>SUM(R$98:R133)</f>
        <v>4982746.6900000153</v>
      </c>
      <c r="S184" s="176">
        <f>SUM(S$98:S133)</f>
        <v>5828321.8600000264</v>
      </c>
      <c r="T184" s="176">
        <f>SUM(T$98:T133)</f>
        <v>5247006.4900000235</v>
      </c>
      <c r="U184" s="176">
        <f>SUM(U$98:U133)</f>
        <v>5314346.360000018</v>
      </c>
      <c r="V184" s="176">
        <f>SUM(V$98:V133)</f>
        <v>5011832.2300000172</v>
      </c>
      <c r="W184" s="176">
        <f>SUM(W$98:W133)</f>
        <v>5081907.6000000248</v>
      </c>
      <c r="X184" s="176">
        <f>SUM(X$98:X133)</f>
        <v>4578453.5399999861</v>
      </c>
      <c r="Y184" s="176">
        <f>SUM(Y$98:Y133)</f>
        <v>4771663.9699999895</v>
      </c>
      <c r="Z184" s="176">
        <f>SUM(Z$98:Z133)</f>
        <v>5761664.9499999722</v>
      </c>
      <c r="AA184" s="176">
        <f>SUM(AA$98:AA133)</f>
        <v>4763552.8999999892</v>
      </c>
      <c r="AB184" s="176">
        <f>SUM(AB$98:AB133)</f>
        <v>5316008.1099999975</v>
      </c>
      <c r="AC184" s="176">
        <f>SUM(AC$98:AC133)</f>
        <v>5428880.2999999868</v>
      </c>
      <c r="AD184" s="176">
        <f>SUM(AD$98:AD133)</f>
        <v>5091384.0599999884</v>
      </c>
      <c r="AE184" s="176">
        <f>SUM(AE$98:AE133)</f>
        <v>5836334.2899999823</v>
      </c>
      <c r="AF184" s="176">
        <f>SUM(AF$98:AF133)</f>
        <v>5279025.1699999934</v>
      </c>
      <c r="AG184" s="176">
        <f>SUM(AG$98:AG133)</f>
        <v>6118778.3800000018</v>
      </c>
      <c r="AH184" s="176">
        <f>SUM(AH$98:AH133)</f>
        <v>5691598.2099999804</v>
      </c>
      <c r="AI184" s="176">
        <f>SUM(AI$98:AI133)</f>
        <v>5294588.3699999973</v>
      </c>
      <c r="AJ184" s="176">
        <f>SUM(AJ$98:AJ133)</f>
        <v>5174161.2699999912</v>
      </c>
      <c r="AK184" s="176">
        <f>SUM(AK$98:AK133)</f>
        <v>3917198.8800000069</v>
      </c>
      <c r="AL184" s="176">
        <f>SUM(AL$98:AL133)</f>
        <v>1157133.2399999991</v>
      </c>
    </row>
    <row r="187" spans="1:46" x14ac:dyDescent="0.2">
      <c r="C187" s="3" t="str">
        <f>+$C$1</f>
        <v>Allied Pacific (APC Commerical)</v>
      </c>
      <c r="M187" s="3" t="s">
        <v>471</v>
      </c>
      <c r="O187" s="3" t="str">
        <f>+$C$1</f>
        <v>Allied Pacific (APC Commerical)</v>
      </c>
      <c r="Y187" s="130" t="s">
        <v>473</v>
      </c>
      <c r="AA187" s="3" t="str">
        <f>+$C$1</f>
        <v>Allied Pacific (APC Commerical)</v>
      </c>
      <c r="AK187" s="130" t="s">
        <v>472</v>
      </c>
    </row>
    <row r="188" spans="1:46" x14ac:dyDescent="0.2">
      <c r="A188" s="1" t="s">
        <v>46</v>
      </c>
    </row>
    <row r="189" spans="1:46" x14ac:dyDescent="0.2">
      <c r="A189" t="s">
        <v>45</v>
      </c>
    </row>
    <row r="190" spans="1:46" x14ac:dyDescent="0.2">
      <c r="A190" t="s">
        <v>48</v>
      </c>
      <c r="C190" s="5">
        <f t="shared" ref="C190:AL190" si="86">+C$6</f>
        <v>44287</v>
      </c>
      <c r="D190" s="5">
        <f t="shared" si="86"/>
        <v>44317</v>
      </c>
      <c r="E190" s="5">
        <f t="shared" si="86"/>
        <v>44348</v>
      </c>
      <c r="F190" s="5">
        <f t="shared" si="86"/>
        <v>44378</v>
      </c>
      <c r="G190" s="5">
        <f t="shared" si="86"/>
        <v>44409</v>
      </c>
      <c r="H190" s="5">
        <f t="shared" si="86"/>
        <v>44440</v>
      </c>
      <c r="I190" s="5">
        <f t="shared" si="86"/>
        <v>44470</v>
      </c>
      <c r="J190" s="5">
        <f t="shared" si="86"/>
        <v>44501</v>
      </c>
      <c r="K190" s="5">
        <f t="shared" si="86"/>
        <v>44531</v>
      </c>
      <c r="L190" s="5">
        <f t="shared" si="86"/>
        <v>44562</v>
      </c>
      <c r="M190" s="5">
        <f t="shared" si="86"/>
        <v>44593</v>
      </c>
      <c r="N190" s="5">
        <f t="shared" si="86"/>
        <v>44621</v>
      </c>
      <c r="O190" s="5">
        <f t="shared" si="86"/>
        <v>44652</v>
      </c>
      <c r="P190" s="5">
        <f t="shared" si="86"/>
        <v>44682</v>
      </c>
      <c r="Q190" s="5">
        <f t="shared" si="86"/>
        <v>44713</v>
      </c>
      <c r="R190" s="5">
        <f t="shared" si="86"/>
        <v>44743</v>
      </c>
      <c r="S190" s="5">
        <f t="shared" si="86"/>
        <v>44774</v>
      </c>
      <c r="T190" s="5">
        <f t="shared" si="86"/>
        <v>44805</v>
      </c>
      <c r="U190" s="5">
        <f t="shared" si="86"/>
        <v>44835</v>
      </c>
      <c r="V190" s="5">
        <f t="shared" si="86"/>
        <v>44866</v>
      </c>
      <c r="W190" s="5">
        <f t="shared" si="86"/>
        <v>44896</v>
      </c>
      <c r="X190" s="5">
        <f t="shared" si="86"/>
        <v>44927</v>
      </c>
      <c r="Y190" s="5">
        <f t="shared" si="86"/>
        <v>44958</v>
      </c>
      <c r="Z190" s="5">
        <f t="shared" si="86"/>
        <v>44986</v>
      </c>
      <c r="AA190" s="5">
        <f t="shared" si="86"/>
        <v>45017</v>
      </c>
      <c r="AB190" s="5">
        <f t="shared" si="86"/>
        <v>45047</v>
      </c>
      <c r="AC190" s="5">
        <f t="shared" si="86"/>
        <v>45078</v>
      </c>
      <c r="AD190" s="5">
        <f t="shared" si="86"/>
        <v>45108</v>
      </c>
      <c r="AE190" s="5">
        <f t="shared" si="86"/>
        <v>45139</v>
      </c>
      <c r="AF190" s="5">
        <f t="shared" si="86"/>
        <v>45170</v>
      </c>
      <c r="AG190" s="5">
        <f t="shared" si="86"/>
        <v>45200</v>
      </c>
      <c r="AH190" s="5">
        <f t="shared" si="86"/>
        <v>45231</v>
      </c>
      <c r="AI190" s="5">
        <f t="shared" si="86"/>
        <v>45261</v>
      </c>
      <c r="AJ190" s="5">
        <f t="shared" si="86"/>
        <v>45292</v>
      </c>
      <c r="AK190" s="5">
        <f t="shared" si="86"/>
        <v>45323</v>
      </c>
      <c r="AL190" s="5">
        <f t="shared" si="86"/>
        <v>45352</v>
      </c>
    </row>
    <row r="192" spans="1:46" x14ac:dyDescent="0.2">
      <c r="A192" s="252" t="s">
        <v>978</v>
      </c>
      <c r="B192" s="7"/>
      <c r="C192" s="598" t="e">
        <f>NA()</f>
        <v>#N/A</v>
      </c>
      <c r="D192" s="598" t="e">
        <f>NA()</f>
        <v>#N/A</v>
      </c>
      <c r="E192" s="598" t="e">
        <f>NA()</f>
        <v>#N/A</v>
      </c>
      <c r="F192" s="598" t="e">
        <f>NA()</f>
        <v>#N/A</v>
      </c>
      <c r="G192" s="598" t="e">
        <f>NA()</f>
        <v>#N/A</v>
      </c>
      <c r="H192" s="598" t="e">
        <f>NA()</f>
        <v>#N/A</v>
      </c>
      <c r="I192" s="598" t="e">
        <f>NA()</f>
        <v>#N/A</v>
      </c>
      <c r="J192" s="598" t="e">
        <f>NA()</f>
        <v>#N/A</v>
      </c>
      <c r="K192" s="598" t="e">
        <f>NA()</f>
        <v>#N/A</v>
      </c>
      <c r="L192" s="598" t="e">
        <f>NA()</f>
        <v>#N/A</v>
      </c>
      <c r="M192" s="598" t="e">
        <f>NA()</f>
        <v>#N/A</v>
      </c>
      <c r="N192" s="598" t="e">
        <f>NA()</f>
        <v>#N/A</v>
      </c>
      <c r="O192" s="598" t="e">
        <f>NA()</f>
        <v>#N/A</v>
      </c>
      <c r="P192" s="598" t="e">
        <f>NA()</f>
        <v>#N/A</v>
      </c>
      <c r="Q192" s="598" t="e">
        <f>NA()</f>
        <v>#N/A</v>
      </c>
      <c r="R192" s="598" t="e">
        <f>NA()</f>
        <v>#N/A</v>
      </c>
      <c r="S192" s="598" t="e">
        <f>NA()</f>
        <v>#N/A</v>
      </c>
      <c r="T192" s="598" t="e">
        <f>NA()</f>
        <v>#N/A</v>
      </c>
      <c r="U192" s="598" t="e">
        <f>NA()</f>
        <v>#N/A</v>
      </c>
      <c r="V192" s="598" t="e">
        <f>NA()</f>
        <v>#N/A</v>
      </c>
      <c r="W192" s="598" t="e">
        <f>NA()</f>
        <v>#N/A</v>
      </c>
      <c r="X192" s="598" t="e">
        <f>NA()</f>
        <v>#N/A</v>
      </c>
      <c r="Y192" s="598" t="e">
        <f>NA()</f>
        <v>#N/A</v>
      </c>
      <c r="Z192" s="598" t="e">
        <f>NA()</f>
        <v>#N/A</v>
      </c>
      <c r="AA192" s="598" t="e">
        <f>NA()</f>
        <v>#N/A</v>
      </c>
      <c r="AB192" s="598" t="e">
        <f>NA()</f>
        <v>#N/A</v>
      </c>
      <c r="AC192" s="598" t="e">
        <f>NA()</f>
        <v>#N/A</v>
      </c>
      <c r="AD192" s="598" t="e">
        <f>NA()</f>
        <v>#N/A</v>
      </c>
      <c r="AE192" s="598" t="e">
        <f>NA()</f>
        <v>#N/A</v>
      </c>
      <c r="AF192" s="598" t="e">
        <f>NA()</f>
        <v>#N/A</v>
      </c>
      <c r="AG192" s="598" t="e">
        <f>NA()</f>
        <v>#N/A</v>
      </c>
      <c r="AH192" s="598" t="e">
        <f>NA()</f>
        <v>#N/A</v>
      </c>
      <c r="AI192" s="598" t="e">
        <f>NA()</f>
        <v>#N/A</v>
      </c>
      <c r="AJ192" s="598" t="e">
        <f>NA()</f>
        <v>#N/A</v>
      </c>
      <c r="AK192" s="598" t="e">
        <f>NA()</f>
        <v>#N/A</v>
      </c>
      <c r="AL192" s="598" t="e">
        <f>NA()</f>
        <v>#N/A</v>
      </c>
    </row>
    <row r="193" spans="1:38" x14ac:dyDescent="0.2">
      <c r="A193" s="252" t="s">
        <v>979</v>
      </c>
      <c r="B193" s="7"/>
      <c r="C193" s="177">
        <f t="shared" ref="C193:AK193" si="87">IF(C150=0,0,+C149/C150)</f>
        <v>0.49344740400625864</v>
      </c>
      <c r="D193" s="177">
        <f t="shared" si="87"/>
        <v>0.32426598063363288</v>
      </c>
      <c r="E193" s="177">
        <f t="shared" si="87"/>
        <v>0.1183849403898871</v>
      </c>
      <c r="F193" s="177">
        <f t="shared" si="87"/>
        <v>0.15104760884885338</v>
      </c>
      <c r="G193" s="177">
        <f t="shared" si="87"/>
        <v>0.27053830766358744</v>
      </c>
      <c r="H193" s="177">
        <f t="shared" si="87"/>
        <v>0.42087551888163238</v>
      </c>
      <c r="I193" s="177">
        <f t="shared" si="87"/>
        <v>0.31987109707287437</v>
      </c>
      <c r="J193" s="177">
        <f t="shared" si="87"/>
        <v>0.24590594902267485</v>
      </c>
      <c r="K193" s="177">
        <f t="shared" si="87"/>
        <v>0.36054902185744592</v>
      </c>
      <c r="L193" s="177">
        <f t="shared" si="87"/>
        <v>7.1143749947736284E-2</v>
      </c>
      <c r="M193" s="177">
        <f t="shared" si="87"/>
        <v>0.34145684588834646</v>
      </c>
      <c r="N193" s="177">
        <f t="shared" si="87"/>
        <v>0.22908733513272755</v>
      </c>
      <c r="O193" s="177">
        <f t="shared" si="87"/>
        <v>0.32933011752074065</v>
      </c>
      <c r="P193" s="177">
        <f t="shared" si="87"/>
        <v>0.32847530062421643</v>
      </c>
      <c r="Q193" s="177">
        <f t="shared" si="87"/>
        <v>0.36946285654209327</v>
      </c>
      <c r="R193" s="177">
        <f t="shared" si="87"/>
        <v>0.32028877686414353</v>
      </c>
      <c r="S193" s="177">
        <f t="shared" si="87"/>
        <v>0.46446205551033415</v>
      </c>
      <c r="T193" s="177">
        <f t="shared" si="87"/>
        <v>0.42461323157711572</v>
      </c>
      <c r="U193" s="177">
        <f t="shared" si="87"/>
        <v>0.42214803771311921</v>
      </c>
      <c r="V193" s="177">
        <f t="shared" si="87"/>
        <v>0.29559040138917997</v>
      </c>
      <c r="W193" s="177">
        <f t="shared" si="87"/>
        <v>0.40785118068361748</v>
      </c>
      <c r="X193" s="177">
        <f t="shared" si="87"/>
        <v>0.44223007858531366</v>
      </c>
      <c r="Y193" s="177">
        <f t="shared" si="87"/>
        <v>0.35306031853462411</v>
      </c>
      <c r="Z193" s="177">
        <f t="shared" si="87"/>
        <v>0.48241408432466482</v>
      </c>
      <c r="AA193" s="177">
        <f t="shared" si="87"/>
        <v>0.29729471147898984</v>
      </c>
      <c r="AB193" s="177">
        <f t="shared" si="87"/>
        <v>0.31193366045848858</v>
      </c>
      <c r="AC193" s="177">
        <f t="shared" si="87"/>
        <v>0.34809572673165357</v>
      </c>
      <c r="AD193" s="177">
        <f t="shared" si="87"/>
        <v>0.29512320117396851</v>
      </c>
      <c r="AE193" s="177">
        <f t="shared" si="87"/>
        <v>0.26140953421884378</v>
      </c>
      <c r="AF193" s="177">
        <f t="shared" si="87"/>
        <v>0.22612690939750812</v>
      </c>
      <c r="AG193" s="177">
        <f t="shared" si="87"/>
        <v>0.33876976004239728</v>
      </c>
      <c r="AH193" s="177">
        <f t="shared" si="87"/>
        <v>0.28972966761392799</v>
      </c>
      <c r="AI193" s="177">
        <f t="shared" si="87"/>
        <v>0.30568368963387266</v>
      </c>
      <c r="AJ193" s="177">
        <f t="shared" si="87"/>
        <v>0.33474525788603721</v>
      </c>
      <c r="AK193" s="177">
        <f t="shared" si="87"/>
        <v>0.27107792137426501</v>
      </c>
      <c r="AL193" s="598" t="e">
        <f>NA()</f>
        <v>#N/A</v>
      </c>
    </row>
    <row r="194" spans="1:38" x14ac:dyDescent="0.2">
      <c r="A194" s="568" t="s">
        <v>980</v>
      </c>
      <c r="B194" s="7"/>
      <c r="C194" s="177">
        <f t="shared" ref="C194:AJ194" si="88">IF(C151=0,0,+C150/C151)</f>
        <v>0.86043648727380617</v>
      </c>
      <c r="D194" s="177">
        <f t="shared" si="88"/>
        <v>0.74003805085336216</v>
      </c>
      <c r="E194" s="177">
        <f t="shared" si="88"/>
        <v>0.78821722377490167</v>
      </c>
      <c r="F194" s="177">
        <f t="shared" si="88"/>
        <v>0.69595268392440346</v>
      </c>
      <c r="G194" s="177">
        <f t="shared" si="88"/>
        <v>0.83951709809484043</v>
      </c>
      <c r="H194" s="177">
        <f t="shared" si="88"/>
        <v>0.7804535773015131</v>
      </c>
      <c r="I194" s="177">
        <f t="shared" si="88"/>
        <v>0.79124156310187777</v>
      </c>
      <c r="J194" s="177">
        <f t="shared" si="88"/>
        <v>0.84767754487261648</v>
      </c>
      <c r="K194" s="177">
        <f t="shared" si="88"/>
        <v>0.59025840427512233</v>
      </c>
      <c r="L194" s="177">
        <f t="shared" si="88"/>
        <v>0.8253093058612756</v>
      </c>
      <c r="M194" s="177">
        <f t="shared" si="88"/>
        <v>0.82176630310407861</v>
      </c>
      <c r="N194" s="177">
        <f t="shared" si="88"/>
        <v>0.82463530416964193</v>
      </c>
      <c r="O194" s="177">
        <f t="shared" si="88"/>
        <v>0.80020675728402757</v>
      </c>
      <c r="P194" s="177">
        <f t="shared" si="88"/>
        <v>0.85090154839209042</v>
      </c>
      <c r="Q194" s="177">
        <f t="shared" si="88"/>
        <v>0.70585500975158832</v>
      </c>
      <c r="R194" s="177">
        <f t="shared" si="88"/>
        <v>0.8762777935528393</v>
      </c>
      <c r="S194" s="177">
        <f t="shared" si="88"/>
        <v>0.85854154638785363</v>
      </c>
      <c r="T194" s="177">
        <f t="shared" si="88"/>
        <v>0.82646343301321479</v>
      </c>
      <c r="U194" s="177">
        <f t="shared" si="88"/>
        <v>0.81337863114284426</v>
      </c>
      <c r="V194" s="177">
        <f t="shared" si="88"/>
        <v>0.8530365619167749</v>
      </c>
      <c r="W194" s="177">
        <f t="shared" si="88"/>
        <v>0.87528513767132676</v>
      </c>
      <c r="X194" s="177">
        <f t="shared" si="88"/>
        <v>0.8499667107789769</v>
      </c>
      <c r="Y194" s="177">
        <f t="shared" si="88"/>
        <v>0.91500333344046658</v>
      </c>
      <c r="Z194" s="177">
        <f t="shared" si="88"/>
        <v>0.84419806516734419</v>
      </c>
      <c r="AA194" s="177">
        <f t="shared" si="88"/>
        <v>0.87151960459850863</v>
      </c>
      <c r="AB194" s="177">
        <f t="shared" si="88"/>
        <v>0.84299369703481475</v>
      </c>
      <c r="AC194" s="177">
        <f t="shared" si="88"/>
        <v>0.81797846616398229</v>
      </c>
      <c r="AD194" s="177">
        <f t="shared" si="88"/>
        <v>0.81963630985437241</v>
      </c>
      <c r="AE194" s="177">
        <f t="shared" si="88"/>
        <v>0.81957323529510795</v>
      </c>
      <c r="AF194" s="177">
        <f t="shared" si="88"/>
        <v>0.84129188515645081</v>
      </c>
      <c r="AG194" s="177">
        <f t="shared" si="88"/>
        <v>0.86432740065833491</v>
      </c>
      <c r="AH194" s="177">
        <f t="shared" si="88"/>
        <v>0.83295087006355784</v>
      </c>
      <c r="AI194" s="177">
        <f t="shared" si="88"/>
        <v>0.83858180296362672</v>
      </c>
      <c r="AJ194" s="177">
        <f t="shared" si="88"/>
        <v>0.82954837432038497</v>
      </c>
      <c r="AK194" s="598" t="e">
        <f>NA()</f>
        <v>#N/A</v>
      </c>
      <c r="AL194" s="598" t="e">
        <f>NA()</f>
        <v>#N/A</v>
      </c>
    </row>
    <row r="195" spans="1:38" x14ac:dyDescent="0.2">
      <c r="A195" s="568" t="s">
        <v>981</v>
      </c>
      <c r="B195" s="7"/>
      <c r="C195" s="177">
        <f t="shared" ref="C195:AI195" si="89">IF(C152=0,0,+C151/C152)</f>
        <v>0.90675575011979803</v>
      </c>
      <c r="D195" s="177">
        <f t="shared" si="89"/>
        <v>0.7961139063252346</v>
      </c>
      <c r="E195" s="177">
        <f t="shared" si="89"/>
        <v>0.84436909123674253</v>
      </c>
      <c r="F195" s="177">
        <f t="shared" si="89"/>
        <v>0.9276556796601122</v>
      </c>
      <c r="G195" s="177">
        <f t="shared" si="89"/>
        <v>0.90718030209841849</v>
      </c>
      <c r="H195" s="177">
        <f t="shared" si="89"/>
        <v>0.90860280133263294</v>
      </c>
      <c r="I195" s="177">
        <f t="shared" si="89"/>
        <v>0.92647564217593859</v>
      </c>
      <c r="J195" s="177">
        <f t="shared" si="89"/>
        <v>0.88419084712749973</v>
      </c>
      <c r="K195" s="177">
        <f t="shared" si="89"/>
        <v>0.85366053771681749</v>
      </c>
      <c r="L195" s="177">
        <f t="shared" si="89"/>
        <v>0.93223331907638585</v>
      </c>
      <c r="M195" s="177">
        <f t="shared" si="89"/>
        <v>0.92669214538987121</v>
      </c>
      <c r="N195" s="177">
        <f t="shared" si="89"/>
        <v>0.89231642990861215</v>
      </c>
      <c r="O195" s="177">
        <f t="shared" si="89"/>
        <v>0.90911948072738491</v>
      </c>
      <c r="P195" s="177">
        <f t="shared" si="89"/>
        <v>0.82064801845834012</v>
      </c>
      <c r="Q195" s="177">
        <f t="shared" si="89"/>
        <v>0.95654975626618954</v>
      </c>
      <c r="R195" s="177">
        <f t="shared" si="89"/>
        <v>0.96204517464451744</v>
      </c>
      <c r="S195" s="177">
        <f t="shared" si="89"/>
        <v>0.95172351618756656</v>
      </c>
      <c r="T195" s="177">
        <f t="shared" si="89"/>
        <v>0.94792141176383093</v>
      </c>
      <c r="U195" s="177">
        <f t="shared" si="89"/>
        <v>0.95095652136410758</v>
      </c>
      <c r="V195" s="177">
        <f t="shared" si="89"/>
        <v>0.95226153046476003</v>
      </c>
      <c r="W195" s="177">
        <f t="shared" si="89"/>
        <v>0.95530590909587654</v>
      </c>
      <c r="X195" s="177">
        <f t="shared" si="89"/>
        <v>0.96011145713583712</v>
      </c>
      <c r="Y195" s="177">
        <f t="shared" si="89"/>
        <v>0.9520079009015443</v>
      </c>
      <c r="Z195" s="177">
        <f t="shared" si="89"/>
        <v>0.96152123837426784</v>
      </c>
      <c r="AA195" s="177">
        <f t="shared" si="89"/>
        <v>0.94850443749705471</v>
      </c>
      <c r="AB195" s="177">
        <f t="shared" si="89"/>
        <v>0.95388000364992576</v>
      </c>
      <c r="AC195" s="177">
        <f t="shared" si="89"/>
        <v>0.9358780213434752</v>
      </c>
      <c r="AD195" s="177">
        <f t="shared" si="89"/>
        <v>0.94128303546918357</v>
      </c>
      <c r="AE195" s="177">
        <f t="shared" si="89"/>
        <v>0.93450736123847522</v>
      </c>
      <c r="AF195" s="177">
        <f t="shared" si="89"/>
        <v>0.94925191234923423</v>
      </c>
      <c r="AG195" s="177">
        <f t="shared" si="89"/>
        <v>0.9382524196355253</v>
      </c>
      <c r="AH195" s="177">
        <f t="shared" si="89"/>
        <v>0.93069719171566456</v>
      </c>
      <c r="AI195" s="177">
        <f t="shared" si="89"/>
        <v>0.9552002850034591</v>
      </c>
      <c r="AJ195" s="598" t="e">
        <f>NA()</f>
        <v>#N/A</v>
      </c>
      <c r="AK195" s="598" t="e">
        <f>NA()</f>
        <v>#N/A</v>
      </c>
      <c r="AL195" s="598" t="e">
        <f>NA()</f>
        <v>#N/A</v>
      </c>
    </row>
    <row r="196" spans="1:38" x14ac:dyDescent="0.2">
      <c r="A196" s="568" t="s">
        <v>982</v>
      </c>
      <c r="B196" s="7"/>
      <c r="C196" s="177">
        <f t="shared" ref="C196:AH196" si="90">IF(C153=0,0,+C152/C153)</f>
        <v>0.92417704019040792</v>
      </c>
      <c r="D196" s="177">
        <f t="shared" si="90"/>
        <v>0.93070297136145752</v>
      </c>
      <c r="E196" s="177">
        <f t="shared" si="90"/>
        <v>0.95434402864031165</v>
      </c>
      <c r="F196" s="177">
        <f t="shared" si="90"/>
        <v>0.93820912209031682</v>
      </c>
      <c r="G196" s="177">
        <f t="shared" si="90"/>
        <v>0.93099068118404749</v>
      </c>
      <c r="H196" s="177">
        <f t="shared" si="90"/>
        <v>0.96460218030107447</v>
      </c>
      <c r="I196" s="177">
        <f t="shared" si="90"/>
        <v>0.9553470567522504</v>
      </c>
      <c r="J196" s="177">
        <f t="shared" si="90"/>
        <v>0.93640644000984519</v>
      </c>
      <c r="K196" s="177">
        <f t="shared" si="90"/>
        <v>0.94867453158773096</v>
      </c>
      <c r="L196" s="177">
        <f t="shared" si="90"/>
        <v>0.941855388184487</v>
      </c>
      <c r="M196" s="177">
        <f t="shared" si="90"/>
        <v>0.93535775236914898</v>
      </c>
      <c r="N196" s="177">
        <f t="shared" si="90"/>
        <v>0.91314004506842639</v>
      </c>
      <c r="O196" s="177">
        <f t="shared" si="90"/>
        <v>0.88645331962628848</v>
      </c>
      <c r="P196" s="177">
        <f t="shared" si="90"/>
        <v>0.97000674906874729</v>
      </c>
      <c r="Q196" s="177">
        <f t="shared" si="90"/>
        <v>0.98675270050507558</v>
      </c>
      <c r="R196" s="177">
        <f t="shared" si="90"/>
        <v>0.97893615827599501</v>
      </c>
      <c r="S196" s="177">
        <f t="shared" si="90"/>
        <v>0.98935796469604842</v>
      </c>
      <c r="T196" s="177">
        <f t="shared" si="90"/>
        <v>0.98887820858437181</v>
      </c>
      <c r="U196" s="177">
        <f t="shared" si="90"/>
        <v>0.98168593766856371</v>
      </c>
      <c r="V196" s="177">
        <f t="shared" si="90"/>
        <v>0.98497930765433772</v>
      </c>
      <c r="W196" s="177">
        <f t="shared" si="90"/>
        <v>0.98866495648296682</v>
      </c>
      <c r="X196" s="177">
        <f t="shared" si="90"/>
        <v>0.97829035725696023</v>
      </c>
      <c r="Y196" s="177">
        <f t="shared" si="90"/>
        <v>0.98814305512800871</v>
      </c>
      <c r="Z196" s="177">
        <f t="shared" si="90"/>
        <v>0.98235180457309323</v>
      </c>
      <c r="AA196" s="177">
        <f t="shared" si="90"/>
        <v>0.98426975565503605</v>
      </c>
      <c r="AB196" s="177">
        <f t="shared" si="90"/>
        <v>0.97692742388100429</v>
      </c>
      <c r="AC196" s="177">
        <f t="shared" si="90"/>
        <v>0.97249137560211507</v>
      </c>
      <c r="AD196" s="177">
        <f t="shared" si="90"/>
        <v>0.98339548756280115</v>
      </c>
      <c r="AE196" s="177">
        <f t="shared" si="90"/>
        <v>0.98338007476837441</v>
      </c>
      <c r="AF196" s="177">
        <f t="shared" si="90"/>
        <v>0.98448809535723159</v>
      </c>
      <c r="AG196" s="177">
        <f t="shared" si="90"/>
        <v>0.97107638176645905</v>
      </c>
      <c r="AH196" s="177">
        <f t="shared" si="90"/>
        <v>0.98234323712038685</v>
      </c>
      <c r="AI196" s="598" t="e">
        <f>NA()</f>
        <v>#N/A</v>
      </c>
      <c r="AJ196" s="598" t="e">
        <f>NA()</f>
        <v>#N/A</v>
      </c>
      <c r="AK196" s="598" t="e">
        <f>NA()</f>
        <v>#N/A</v>
      </c>
      <c r="AL196" s="598" t="e">
        <f>NA()</f>
        <v>#N/A</v>
      </c>
    </row>
    <row r="197" spans="1:38" x14ac:dyDescent="0.2">
      <c r="A197" s="568" t="s">
        <v>983</v>
      </c>
      <c r="B197" s="7"/>
      <c r="C197" s="177">
        <f t="shared" ref="C197:AG197" si="91">IF(C154=0,0,+C153/C154)</f>
        <v>0.96540410276464128</v>
      </c>
      <c r="D197" s="177">
        <f t="shared" si="91"/>
        <v>0.94895924996978054</v>
      </c>
      <c r="E197" s="177">
        <f t="shared" si="91"/>
        <v>0.94229655435513626</v>
      </c>
      <c r="F197" s="177">
        <f t="shared" si="91"/>
        <v>0.93717978308847472</v>
      </c>
      <c r="G197" s="177">
        <f t="shared" si="91"/>
        <v>0.9795616355021215</v>
      </c>
      <c r="H197" s="177">
        <f t="shared" si="91"/>
        <v>0.97671967200869314</v>
      </c>
      <c r="I197" s="177">
        <f t="shared" si="91"/>
        <v>0.96747216182687812</v>
      </c>
      <c r="J197" s="177">
        <f t="shared" si="91"/>
        <v>0.97856108738739522</v>
      </c>
      <c r="K197" s="177">
        <f t="shared" si="91"/>
        <v>0.96636268936541547</v>
      </c>
      <c r="L197" s="177">
        <f t="shared" si="91"/>
        <v>0.95567979063226627</v>
      </c>
      <c r="M197" s="177">
        <f t="shared" si="91"/>
        <v>0.92716507597329056</v>
      </c>
      <c r="N197" s="177">
        <f t="shared" si="91"/>
        <v>0.9186154185115688</v>
      </c>
      <c r="O197" s="177">
        <f t="shared" si="91"/>
        <v>0.97620432074222863</v>
      </c>
      <c r="P197" s="177">
        <f t="shared" si="91"/>
        <v>0.9939354374129189</v>
      </c>
      <c r="Q197" s="177">
        <f t="shared" si="91"/>
        <v>0.99060855060049879</v>
      </c>
      <c r="R197" s="177">
        <f t="shared" si="91"/>
        <v>0.99213360486792257</v>
      </c>
      <c r="S197" s="177">
        <f t="shared" si="91"/>
        <v>0.99383093683995394</v>
      </c>
      <c r="T197" s="177">
        <f t="shared" si="91"/>
        <v>0.98497059445170165</v>
      </c>
      <c r="U197" s="177">
        <f t="shared" si="91"/>
        <v>0.99263393626742769</v>
      </c>
      <c r="V197" s="177">
        <f t="shared" si="91"/>
        <v>0.99451006527393215</v>
      </c>
      <c r="W197" s="177">
        <f t="shared" si="91"/>
        <v>0.98959507582804196</v>
      </c>
      <c r="X197" s="177">
        <f t="shared" si="91"/>
        <v>0.99382827099046389</v>
      </c>
      <c r="Y197" s="177">
        <f t="shared" si="91"/>
        <v>0.98664587407242244</v>
      </c>
      <c r="Z197" s="177">
        <f t="shared" si="91"/>
        <v>0.98813199214820779</v>
      </c>
      <c r="AA197" s="177">
        <f t="shared" si="91"/>
        <v>0.98881368001230729</v>
      </c>
      <c r="AB197" s="177">
        <f t="shared" si="91"/>
        <v>0.98879530112194325</v>
      </c>
      <c r="AC197" s="177">
        <f t="shared" si="91"/>
        <v>0.98753117416427871</v>
      </c>
      <c r="AD197" s="177">
        <f t="shared" si="91"/>
        <v>0.99437220739390975</v>
      </c>
      <c r="AE197" s="177">
        <f t="shared" si="91"/>
        <v>0.99246633868440726</v>
      </c>
      <c r="AF197" s="177">
        <f t="shared" si="91"/>
        <v>0.98952731827006535</v>
      </c>
      <c r="AG197" s="177">
        <f t="shared" si="91"/>
        <v>0.99039102311791849</v>
      </c>
      <c r="AH197" s="598" t="e">
        <f>NA()</f>
        <v>#N/A</v>
      </c>
      <c r="AI197" s="598" t="e">
        <f>NA()</f>
        <v>#N/A</v>
      </c>
      <c r="AJ197" s="598" t="e">
        <f>NA()</f>
        <v>#N/A</v>
      </c>
      <c r="AK197" s="598" t="e">
        <f>NA()</f>
        <v>#N/A</v>
      </c>
      <c r="AL197" s="598" t="e">
        <f>NA()</f>
        <v>#N/A</v>
      </c>
    </row>
    <row r="198" spans="1:38" x14ac:dyDescent="0.2">
      <c r="A198" s="568" t="s">
        <v>984</v>
      </c>
      <c r="B198" s="7"/>
      <c r="C198" s="177">
        <f t="shared" ref="C198:AF198" si="92">IF(C155=0,0,+C154/C155)</f>
        <v>0.98434470795922979</v>
      </c>
      <c r="D198" s="177">
        <f t="shared" si="92"/>
        <v>0.96525364314718742</v>
      </c>
      <c r="E198" s="177">
        <f t="shared" si="92"/>
        <v>0.94670374067917917</v>
      </c>
      <c r="F198" s="177">
        <f t="shared" si="92"/>
        <v>0.98850849958329823</v>
      </c>
      <c r="G198" s="177">
        <f t="shared" si="92"/>
        <v>0.98898504684997846</v>
      </c>
      <c r="H198" s="177">
        <f t="shared" si="92"/>
        <v>0.9744637709131303</v>
      </c>
      <c r="I198" s="177">
        <f t="shared" si="92"/>
        <v>0.97966938786857161</v>
      </c>
      <c r="J198" s="177">
        <f t="shared" si="92"/>
        <v>0.97891299357749162</v>
      </c>
      <c r="K198" s="177">
        <f t="shared" si="92"/>
        <v>0.97031567564648902</v>
      </c>
      <c r="L198" s="177">
        <f t="shared" si="92"/>
        <v>0.93832292734420697</v>
      </c>
      <c r="M198" s="177">
        <f t="shared" si="92"/>
        <v>0.96023372751328118</v>
      </c>
      <c r="N198" s="177">
        <f t="shared" si="92"/>
        <v>0.97837116377797417</v>
      </c>
      <c r="O198" s="177">
        <f t="shared" si="92"/>
        <v>0.99573838011961502</v>
      </c>
      <c r="P198" s="177">
        <f t="shared" si="92"/>
        <v>0.99614957066840981</v>
      </c>
      <c r="Q198" s="177">
        <f t="shared" si="92"/>
        <v>0.9959604981726442</v>
      </c>
      <c r="R198" s="177">
        <f t="shared" si="92"/>
        <v>0.99322575563212179</v>
      </c>
      <c r="S198" s="177">
        <f t="shared" si="92"/>
        <v>0.99477110152261505</v>
      </c>
      <c r="T198" s="177">
        <f t="shared" si="92"/>
        <v>0.99432967198861266</v>
      </c>
      <c r="U198" s="177">
        <f t="shared" si="92"/>
        <v>0.99403056021917779</v>
      </c>
      <c r="V198" s="177">
        <f t="shared" si="92"/>
        <v>0.98783823150793837</v>
      </c>
      <c r="W198" s="177">
        <f t="shared" si="92"/>
        <v>0.99554334882741935</v>
      </c>
      <c r="X198" s="177">
        <f t="shared" si="92"/>
        <v>0.98725095125422579</v>
      </c>
      <c r="Y198" s="177">
        <f t="shared" si="92"/>
        <v>0.99122720357374583</v>
      </c>
      <c r="Z198" s="177">
        <f t="shared" si="92"/>
        <v>0.98522623154367739</v>
      </c>
      <c r="AA198" s="177">
        <f t="shared" si="92"/>
        <v>0.99177571598041592</v>
      </c>
      <c r="AB198" s="177">
        <f t="shared" si="92"/>
        <v>0.99488616277631947</v>
      </c>
      <c r="AC198" s="177">
        <f t="shared" si="92"/>
        <v>0.99074479323322873</v>
      </c>
      <c r="AD198" s="177">
        <f t="shared" si="92"/>
        <v>0.99171506532080489</v>
      </c>
      <c r="AE198" s="177">
        <f t="shared" si="92"/>
        <v>0.99231259441472086</v>
      </c>
      <c r="AF198" s="177">
        <f t="shared" si="92"/>
        <v>0.99471343873134066</v>
      </c>
      <c r="AG198" s="598" t="e">
        <f>NA()</f>
        <v>#N/A</v>
      </c>
      <c r="AH198" s="598" t="e">
        <f>NA()</f>
        <v>#N/A</v>
      </c>
      <c r="AI198" s="598" t="e">
        <f>NA()</f>
        <v>#N/A</v>
      </c>
      <c r="AJ198" s="598" t="e">
        <f>NA()</f>
        <v>#N/A</v>
      </c>
      <c r="AK198" s="598" t="e">
        <f>NA()</f>
        <v>#N/A</v>
      </c>
      <c r="AL198" s="598" t="e">
        <f>NA()</f>
        <v>#N/A</v>
      </c>
    </row>
    <row r="199" spans="1:38" x14ac:dyDescent="0.2">
      <c r="A199" s="568" t="s">
        <v>985</v>
      </c>
      <c r="B199" s="7"/>
      <c r="C199" s="177">
        <f t="shared" ref="C199:AE199" si="93">IF(C156=0,0,+C155/C156)</f>
        <v>0.96431076394335813</v>
      </c>
      <c r="D199" s="177">
        <f t="shared" si="93"/>
        <v>0.96940974325696583</v>
      </c>
      <c r="E199" s="177">
        <f t="shared" si="93"/>
        <v>0.99228192138930349</v>
      </c>
      <c r="F199" s="177">
        <f t="shared" si="93"/>
        <v>0.99101705074000879</v>
      </c>
      <c r="G199" s="177">
        <f t="shared" si="93"/>
        <v>0.98958566521722724</v>
      </c>
      <c r="H199" s="177">
        <f t="shared" si="93"/>
        <v>0.98697257526095794</v>
      </c>
      <c r="I199" s="177">
        <f t="shared" si="93"/>
        <v>0.98263924844153316</v>
      </c>
      <c r="J199" s="177">
        <f t="shared" si="93"/>
        <v>0.97213796209460135</v>
      </c>
      <c r="K199" s="177">
        <f t="shared" si="93"/>
        <v>0.95828042840297556</v>
      </c>
      <c r="L199" s="177">
        <f t="shared" si="93"/>
        <v>0.97480104144039115</v>
      </c>
      <c r="M199" s="177">
        <f t="shared" si="93"/>
        <v>0.9743905864406216</v>
      </c>
      <c r="N199" s="177">
        <f t="shared" si="93"/>
        <v>0.9956458102337773</v>
      </c>
      <c r="O199" s="177">
        <f t="shared" si="93"/>
        <v>0.99665714124772142</v>
      </c>
      <c r="P199" s="177">
        <f t="shared" si="93"/>
        <v>0.9917697063280434</v>
      </c>
      <c r="Q199" s="177">
        <f t="shared" si="93"/>
        <v>0.9972443636613979</v>
      </c>
      <c r="R199" s="177">
        <f t="shared" si="93"/>
        <v>0.99512866201264205</v>
      </c>
      <c r="S199" s="177">
        <f t="shared" si="93"/>
        <v>0.99588087540069581</v>
      </c>
      <c r="T199" s="177">
        <f t="shared" si="93"/>
        <v>0.9958066589172565</v>
      </c>
      <c r="U199" s="177">
        <f t="shared" si="93"/>
        <v>0.99399484588777465</v>
      </c>
      <c r="V199" s="177">
        <f t="shared" si="93"/>
        <v>0.99301278491123723</v>
      </c>
      <c r="W199" s="177">
        <f t="shared" si="93"/>
        <v>0.9904344511116151</v>
      </c>
      <c r="X199" s="177">
        <f t="shared" si="93"/>
        <v>0.99117745778623811</v>
      </c>
      <c r="Y199" s="177">
        <f t="shared" si="93"/>
        <v>0.99325542786772691</v>
      </c>
      <c r="Z199" s="177">
        <f t="shared" si="93"/>
        <v>0.99278551153575301</v>
      </c>
      <c r="AA199" s="177">
        <f t="shared" si="93"/>
        <v>0.99598880570261217</v>
      </c>
      <c r="AB199" s="177">
        <f t="shared" si="93"/>
        <v>0.98664003060514871</v>
      </c>
      <c r="AC199" s="177">
        <f t="shared" si="93"/>
        <v>0.99622264895025003</v>
      </c>
      <c r="AD199" s="177">
        <f t="shared" si="93"/>
        <v>0.99215295121605818</v>
      </c>
      <c r="AE199" s="177">
        <f t="shared" si="93"/>
        <v>0.99083612635217988</v>
      </c>
      <c r="AF199" s="598" t="e">
        <f>NA()</f>
        <v>#N/A</v>
      </c>
      <c r="AG199" s="598" t="e">
        <f>NA()</f>
        <v>#N/A</v>
      </c>
      <c r="AH199" s="598" t="e">
        <f>NA()</f>
        <v>#N/A</v>
      </c>
      <c r="AI199" s="598" t="e">
        <f>NA()</f>
        <v>#N/A</v>
      </c>
      <c r="AJ199" s="598" t="e">
        <f>NA()</f>
        <v>#N/A</v>
      </c>
      <c r="AK199" s="598" t="e">
        <f>NA()</f>
        <v>#N/A</v>
      </c>
      <c r="AL199" s="598" t="e">
        <f>NA()</f>
        <v>#N/A</v>
      </c>
    </row>
    <row r="200" spans="1:38" x14ac:dyDescent="0.2">
      <c r="A200" s="568" t="s">
        <v>986</v>
      </c>
      <c r="B200" s="7"/>
      <c r="C200" s="177">
        <f t="shared" ref="C200:AD200" si="94">IF(C157=0,0,+C156/C157)</f>
        <v>0.98184472719044069</v>
      </c>
      <c r="D200" s="177">
        <f t="shared" si="94"/>
        <v>0.99239844502060504</v>
      </c>
      <c r="E200" s="177">
        <f t="shared" si="94"/>
        <v>0.99461705697958536</v>
      </c>
      <c r="F200" s="177">
        <f t="shared" si="94"/>
        <v>0.99015072901086099</v>
      </c>
      <c r="G200" s="177">
        <f t="shared" si="94"/>
        <v>0.99349113520210164</v>
      </c>
      <c r="H200" s="177">
        <f t="shared" si="94"/>
        <v>0.98727395785390137</v>
      </c>
      <c r="I200" s="177">
        <f t="shared" si="94"/>
        <v>0.99253955271421701</v>
      </c>
      <c r="J200" s="177">
        <f t="shared" si="94"/>
        <v>0.98218968299822029</v>
      </c>
      <c r="K200" s="177">
        <f t="shared" si="94"/>
        <v>0.98436646403131223</v>
      </c>
      <c r="L200" s="177">
        <f t="shared" si="94"/>
        <v>0.98453648403835281</v>
      </c>
      <c r="M200" s="177">
        <f t="shared" si="94"/>
        <v>0.99693327924277675</v>
      </c>
      <c r="N200" s="177">
        <f t="shared" si="94"/>
        <v>0.9939811294951113</v>
      </c>
      <c r="O200" s="177">
        <f t="shared" si="94"/>
        <v>0.99664123314176412</v>
      </c>
      <c r="P200" s="177">
        <f t="shared" si="94"/>
        <v>0.99569744439975005</v>
      </c>
      <c r="Q200" s="177">
        <f t="shared" si="94"/>
        <v>0.99160785065584633</v>
      </c>
      <c r="R200" s="177">
        <f t="shared" si="94"/>
        <v>0.99741628461463527</v>
      </c>
      <c r="S200" s="177">
        <f t="shared" si="94"/>
        <v>0.99249035581382017</v>
      </c>
      <c r="T200" s="177">
        <f t="shared" si="94"/>
        <v>0.99596292144934262</v>
      </c>
      <c r="U200" s="177">
        <f t="shared" si="94"/>
        <v>0.99589125816339719</v>
      </c>
      <c r="V200" s="177">
        <f t="shared" si="94"/>
        <v>0.9950025164386157</v>
      </c>
      <c r="W200" s="177">
        <f t="shared" si="94"/>
        <v>0.99495593297726925</v>
      </c>
      <c r="X200" s="177">
        <f t="shared" si="94"/>
        <v>0.99031150192000239</v>
      </c>
      <c r="Y200" s="177">
        <f t="shared" si="94"/>
        <v>0.99427308498453026</v>
      </c>
      <c r="Z200" s="177">
        <f t="shared" si="94"/>
        <v>0.99786109685628754</v>
      </c>
      <c r="AA200" s="177">
        <f t="shared" si="94"/>
        <v>0.99624773074624307</v>
      </c>
      <c r="AB200" s="177">
        <f t="shared" si="94"/>
        <v>0.99539051124021061</v>
      </c>
      <c r="AC200" s="177">
        <f t="shared" si="94"/>
        <v>0.99455472928738109</v>
      </c>
      <c r="AD200" s="177">
        <f t="shared" si="94"/>
        <v>0.99774934087372702</v>
      </c>
      <c r="AE200" s="598" t="e">
        <f>NA()</f>
        <v>#N/A</v>
      </c>
      <c r="AF200" s="598" t="e">
        <f>NA()</f>
        <v>#N/A</v>
      </c>
      <c r="AG200" s="598" t="e">
        <f>NA()</f>
        <v>#N/A</v>
      </c>
      <c r="AH200" s="598" t="e">
        <f>NA()</f>
        <v>#N/A</v>
      </c>
      <c r="AI200" s="598" t="e">
        <f>NA()</f>
        <v>#N/A</v>
      </c>
      <c r="AJ200" s="598" t="e">
        <f>NA()</f>
        <v>#N/A</v>
      </c>
      <c r="AK200" s="598" t="e">
        <f>NA()</f>
        <v>#N/A</v>
      </c>
      <c r="AL200" s="598" t="e">
        <f>NA()</f>
        <v>#N/A</v>
      </c>
    </row>
    <row r="201" spans="1:38" x14ac:dyDescent="0.2">
      <c r="A201" s="568" t="s">
        <v>987</v>
      </c>
      <c r="B201" s="7"/>
      <c r="C201" s="177">
        <f t="shared" ref="C201:AC201" si="95">IF(C158=0,0,+C157/C158)</f>
        <v>0.9933893111291866</v>
      </c>
      <c r="D201" s="177">
        <f t="shared" si="95"/>
        <v>0.99306223160361395</v>
      </c>
      <c r="E201" s="177">
        <f t="shared" si="95"/>
        <v>0.99375724243273311</v>
      </c>
      <c r="F201" s="177">
        <f t="shared" si="95"/>
        <v>0.99521169898436157</v>
      </c>
      <c r="G201" s="177">
        <f t="shared" si="95"/>
        <v>0.99213208286005616</v>
      </c>
      <c r="H201" s="177">
        <f t="shared" si="95"/>
        <v>0.99314175629560775</v>
      </c>
      <c r="I201" s="177">
        <f t="shared" si="95"/>
        <v>0.98290827789016344</v>
      </c>
      <c r="J201" s="177">
        <f t="shared" si="95"/>
        <v>0.99221821194035809</v>
      </c>
      <c r="K201" s="177">
        <f t="shared" si="95"/>
        <v>0.97376333726615083</v>
      </c>
      <c r="L201" s="177">
        <f t="shared" si="95"/>
        <v>0.9964022650202532</v>
      </c>
      <c r="M201" s="177">
        <f t="shared" si="95"/>
        <v>0.99028350658718589</v>
      </c>
      <c r="N201" s="177">
        <f t="shared" si="95"/>
        <v>0.99613063700942073</v>
      </c>
      <c r="O201" s="177">
        <f t="shared" si="95"/>
        <v>0.99463793334783746</v>
      </c>
      <c r="P201" s="177">
        <f t="shared" si="95"/>
        <v>0.99327645832209166</v>
      </c>
      <c r="Q201" s="177">
        <f t="shared" si="95"/>
        <v>0.99605282264121509</v>
      </c>
      <c r="R201" s="177">
        <f t="shared" si="95"/>
        <v>0.99703457665062101</v>
      </c>
      <c r="S201" s="177">
        <f t="shared" si="95"/>
        <v>0.99740407346128046</v>
      </c>
      <c r="T201" s="177">
        <f t="shared" si="95"/>
        <v>0.99426028060940652</v>
      </c>
      <c r="U201" s="177">
        <f t="shared" si="95"/>
        <v>0.99781348081071009</v>
      </c>
      <c r="V201" s="177">
        <f t="shared" si="95"/>
        <v>0.99676395432243925</v>
      </c>
      <c r="W201" s="177">
        <f t="shared" si="95"/>
        <v>0.993598909755258</v>
      </c>
      <c r="X201" s="177">
        <f t="shared" si="95"/>
        <v>0.99536410385774388</v>
      </c>
      <c r="Y201" s="177">
        <f t="shared" si="95"/>
        <v>0.99677353183844952</v>
      </c>
      <c r="Z201" s="177">
        <f t="shared" si="95"/>
        <v>0.99635416632613216</v>
      </c>
      <c r="AA201" s="177">
        <f t="shared" si="95"/>
        <v>0.99620576668381777</v>
      </c>
      <c r="AB201" s="177">
        <f t="shared" si="95"/>
        <v>0.9961554425639666</v>
      </c>
      <c r="AC201" s="177">
        <f t="shared" si="95"/>
        <v>0.99870058656478389</v>
      </c>
      <c r="AD201" s="598" t="e">
        <f>NA()</f>
        <v>#N/A</v>
      </c>
      <c r="AE201" s="598" t="e">
        <f>NA()</f>
        <v>#N/A</v>
      </c>
      <c r="AF201" s="598" t="e">
        <f>NA()</f>
        <v>#N/A</v>
      </c>
      <c r="AG201" s="598" t="e">
        <f>NA()</f>
        <v>#N/A</v>
      </c>
      <c r="AH201" s="598" t="e">
        <f>NA()</f>
        <v>#N/A</v>
      </c>
      <c r="AI201" s="598" t="e">
        <f>NA()</f>
        <v>#N/A</v>
      </c>
      <c r="AJ201" s="598" t="e">
        <f>NA()</f>
        <v>#N/A</v>
      </c>
      <c r="AK201" s="598" t="e">
        <f>NA()</f>
        <v>#N/A</v>
      </c>
      <c r="AL201" s="598" t="e">
        <f>NA()</f>
        <v>#N/A</v>
      </c>
    </row>
    <row r="202" spans="1:38" x14ac:dyDescent="0.2">
      <c r="A202" s="568" t="s">
        <v>988</v>
      </c>
      <c r="B202" s="7"/>
      <c r="C202" s="177">
        <f t="shared" ref="C202:AB202" si="96">IF(C159=0,0,+C158/C159)</f>
        <v>0.99570946789558012</v>
      </c>
      <c r="D202" s="177">
        <f t="shared" si="96"/>
        <v>0.99166992917643171</v>
      </c>
      <c r="E202" s="177">
        <f t="shared" si="96"/>
        <v>0.99391875776487726</v>
      </c>
      <c r="F202" s="177">
        <f t="shared" si="96"/>
        <v>0.99570244800114294</v>
      </c>
      <c r="G202" s="177">
        <f t="shared" si="96"/>
        <v>0.99512527911669735</v>
      </c>
      <c r="H202" s="177">
        <f t="shared" si="96"/>
        <v>0.98819526782092826</v>
      </c>
      <c r="I202" s="177">
        <f t="shared" si="96"/>
        <v>0.99371499340043168</v>
      </c>
      <c r="J202" s="177">
        <f t="shared" si="96"/>
        <v>0.98945725898028747</v>
      </c>
      <c r="K202" s="177">
        <f t="shared" si="96"/>
        <v>0.99477281068390022</v>
      </c>
      <c r="L202" s="177">
        <f t="shared" si="96"/>
        <v>0.99670499001329804</v>
      </c>
      <c r="M202" s="177">
        <f t="shared" si="96"/>
        <v>0.98973005762052346</v>
      </c>
      <c r="N202" s="177">
        <f t="shared" si="96"/>
        <v>0.99686096090210652</v>
      </c>
      <c r="O202" s="177">
        <f t="shared" si="96"/>
        <v>0.99845979670105955</v>
      </c>
      <c r="P202" s="177">
        <f t="shared" si="96"/>
        <v>0.99588998253734073</v>
      </c>
      <c r="Q202" s="177">
        <f t="shared" si="96"/>
        <v>0.99687902140279072</v>
      </c>
      <c r="R202" s="177">
        <f t="shared" si="96"/>
        <v>0.99512287763079221</v>
      </c>
      <c r="S202" s="177">
        <f t="shared" si="96"/>
        <v>0.9954783388010634</v>
      </c>
      <c r="T202" s="177">
        <f t="shared" si="96"/>
        <v>0.99793625053174873</v>
      </c>
      <c r="U202" s="177">
        <f t="shared" si="96"/>
        <v>0.99785949091332005</v>
      </c>
      <c r="V202" s="177">
        <f t="shared" si="96"/>
        <v>0.99605429816363678</v>
      </c>
      <c r="W202" s="177">
        <f t="shared" si="96"/>
        <v>0.99576832209059063</v>
      </c>
      <c r="X202" s="177">
        <f t="shared" si="96"/>
        <v>0.99454643603651804</v>
      </c>
      <c r="Y202" s="177">
        <f t="shared" si="96"/>
        <v>0.99753783961027898</v>
      </c>
      <c r="Z202" s="177">
        <f t="shared" si="96"/>
        <v>0.99737952740190428</v>
      </c>
      <c r="AA202" s="177">
        <f t="shared" si="96"/>
        <v>0.99751920535162353</v>
      </c>
      <c r="AB202" s="177">
        <f t="shared" si="96"/>
        <v>0.99552794512196474</v>
      </c>
      <c r="AC202" s="598" t="e">
        <f>NA()</f>
        <v>#N/A</v>
      </c>
      <c r="AD202" s="598" t="e">
        <f>NA()</f>
        <v>#N/A</v>
      </c>
      <c r="AE202" s="598" t="e">
        <f>NA()</f>
        <v>#N/A</v>
      </c>
      <c r="AF202" s="598" t="e">
        <f>NA()</f>
        <v>#N/A</v>
      </c>
      <c r="AG202" s="598" t="e">
        <f>NA()</f>
        <v>#N/A</v>
      </c>
      <c r="AH202" s="598" t="e">
        <f>NA()</f>
        <v>#N/A</v>
      </c>
      <c r="AI202" s="598" t="e">
        <f>NA()</f>
        <v>#N/A</v>
      </c>
      <c r="AJ202" s="598" t="e">
        <f>NA()</f>
        <v>#N/A</v>
      </c>
      <c r="AK202" s="598" t="e">
        <f>NA()</f>
        <v>#N/A</v>
      </c>
      <c r="AL202" s="598" t="e">
        <f>NA()</f>
        <v>#N/A</v>
      </c>
    </row>
    <row r="203" spans="1:38" x14ac:dyDescent="0.2">
      <c r="A203" s="568" t="s">
        <v>989</v>
      </c>
      <c r="B203" s="7"/>
      <c r="C203" s="177">
        <f t="shared" ref="C203:AA203" si="97">IF(C160=0,0,+C159/C160)</f>
        <v>0.9913575290493486</v>
      </c>
      <c r="D203" s="177">
        <f t="shared" si="97"/>
        <v>0.99627444499976991</v>
      </c>
      <c r="E203" s="177">
        <f t="shared" si="97"/>
        <v>0.99584975359959937</v>
      </c>
      <c r="F203" s="177">
        <f t="shared" si="97"/>
        <v>0.99555108979892848</v>
      </c>
      <c r="G203" s="177">
        <f t="shared" si="97"/>
        <v>0.98016887802259323</v>
      </c>
      <c r="H203" s="177">
        <f t="shared" si="97"/>
        <v>0.99385637422693385</v>
      </c>
      <c r="I203" s="177">
        <f t="shared" si="97"/>
        <v>0.98271923146372697</v>
      </c>
      <c r="J203" s="177">
        <f t="shared" si="97"/>
        <v>0.99412653767149917</v>
      </c>
      <c r="K203" s="177">
        <f t="shared" si="97"/>
        <v>0.9905496987757626</v>
      </c>
      <c r="L203" s="177">
        <f t="shared" si="97"/>
        <v>0.99661226391383739</v>
      </c>
      <c r="M203" s="177">
        <f t="shared" si="97"/>
        <v>0.9937800789723984</v>
      </c>
      <c r="N203" s="177">
        <f t="shared" si="97"/>
        <v>0.99886154317565978</v>
      </c>
      <c r="O203" s="177">
        <f t="shared" si="97"/>
        <v>0.99133758257278826</v>
      </c>
      <c r="P203" s="177">
        <f t="shared" si="97"/>
        <v>0.99713048051591624</v>
      </c>
      <c r="Q203" s="177">
        <f t="shared" si="97"/>
        <v>0.99804322377795618</v>
      </c>
      <c r="R203" s="177">
        <f t="shared" si="97"/>
        <v>0.99773524696668436</v>
      </c>
      <c r="S203" s="177">
        <f t="shared" si="97"/>
        <v>0.99900425929805114</v>
      </c>
      <c r="T203" s="177">
        <f t="shared" si="97"/>
        <v>0.99342883054159492</v>
      </c>
      <c r="U203" s="177">
        <f t="shared" si="97"/>
        <v>0.99505534539886764</v>
      </c>
      <c r="V203" s="177">
        <f t="shared" si="97"/>
        <v>0.99790077689373058</v>
      </c>
      <c r="W203" s="177">
        <f t="shared" si="97"/>
        <v>0.99833612787536874</v>
      </c>
      <c r="X203" s="177">
        <f t="shared" si="97"/>
        <v>0.9972286937608299</v>
      </c>
      <c r="Y203" s="177">
        <f t="shared" si="97"/>
        <v>0.99847775096714741</v>
      </c>
      <c r="Z203" s="177">
        <f t="shared" si="97"/>
        <v>0.99716835379809432</v>
      </c>
      <c r="AA203" s="177">
        <f t="shared" si="97"/>
        <v>0.99886721736626449</v>
      </c>
      <c r="AB203" s="598" t="e">
        <f>NA()</f>
        <v>#N/A</v>
      </c>
      <c r="AC203" s="598" t="e">
        <f>NA()</f>
        <v>#N/A</v>
      </c>
      <c r="AD203" s="598" t="e">
        <f>NA()</f>
        <v>#N/A</v>
      </c>
      <c r="AE203" s="598" t="e">
        <f>NA()</f>
        <v>#N/A</v>
      </c>
      <c r="AF203" s="598" t="e">
        <f>NA()</f>
        <v>#N/A</v>
      </c>
      <c r="AG203" s="598" t="e">
        <f>NA()</f>
        <v>#N/A</v>
      </c>
      <c r="AH203" s="598" t="e">
        <f>NA()</f>
        <v>#N/A</v>
      </c>
      <c r="AI203" s="598" t="e">
        <f>NA()</f>
        <v>#N/A</v>
      </c>
      <c r="AJ203" s="598" t="e">
        <f>NA()</f>
        <v>#N/A</v>
      </c>
      <c r="AK203" s="598" t="e">
        <f>NA()</f>
        <v>#N/A</v>
      </c>
      <c r="AL203" s="598" t="e">
        <f>NA()</f>
        <v>#N/A</v>
      </c>
    </row>
    <row r="204" spans="1:38" x14ac:dyDescent="0.2">
      <c r="A204" s="568" t="s">
        <v>990</v>
      </c>
      <c r="B204" s="7"/>
      <c r="C204" s="177">
        <f t="shared" ref="C204:Z204" si="98">IF(C161=0,0,+C160/C161)</f>
        <v>0.99415824484822501</v>
      </c>
      <c r="D204" s="177">
        <f t="shared" si="98"/>
        <v>0.99559680729880828</v>
      </c>
      <c r="E204" s="177">
        <f t="shared" si="98"/>
        <v>0.99758092011629917</v>
      </c>
      <c r="F204" s="177">
        <f t="shared" si="98"/>
        <v>0.99593761255121926</v>
      </c>
      <c r="G204" s="177">
        <f t="shared" si="98"/>
        <v>0.99365653092458939</v>
      </c>
      <c r="H204" s="177">
        <f t="shared" si="98"/>
        <v>0.98620165909141</v>
      </c>
      <c r="I204" s="177">
        <f t="shared" si="98"/>
        <v>0.99350924003516228</v>
      </c>
      <c r="J204" s="177">
        <f t="shared" si="98"/>
        <v>0.99122228157698189</v>
      </c>
      <c r="K204" s="177">
        <f t="shared" si="98"/>
        <v>0.99359620624416201</v>
      </c>
      <c r="L204" s="177">
        <f t="shared" si="98"/>
        <v>0.9857196340329486</v>
      </c>
      <c r="M204" s="177">
        <f t="shared" si="98"/>
        <v>0.99581463453691654</v>
      </c>
      <c r="N204" s="177">
        <f t="shared" si="98"/>
        <v>0.99781678375030824</v>
      </c>
      <c r="O204" s="177">
        <f t="shared" si="98"/>
        <v>0.99738649222593523</v>
      </c>
      <c r="P204" s="177">
        <f t="shared" si="98"/>
        <v>0.99903386058017574</v>
      </c>
      <c r="Q204" s="177">
        <f t="shared" si="98"/>
        <v>0.99690055621483142</v>
      </c>
      <c r="R204" s="177">
        <f t="shared" si="98"/>
        <v>0.99754753696720466</v>
      </c>
      <c r="S204" s="177">
        <f t="shared" si="98"/>
        <v>0.99794416552470633</v>
      </c>
      <c r="T204" s="177">
        <f t="shared" si="98"/>
        <v>0.99816930988682473</v>
      </c>
      <c r="U204" s="177">
        <f t="shared" si="98"/>
        <v>0.99631488478256114</v>
      </c>
      <c r="V204" s="177">
        <f t="shared" si="98"/>
        <v>0.99621305713628128</v>
      </c>
      <c r="W204" s="177">
        <f t="shared" si="98"/>
        <v>0.99638157062468224</v>
      </c>
      <c r="X204" s="177">
        <f t="shared" si="98"/>
        <v>0.99831050647975861</v>
      </c>
      <c r="Y204" s="177">
        <f t="shared" si="98"/>
        <v>0.99655677389994657</v>
      </c>
      <c r="Z204" s="177">
        <f t="shared" si="98"/>
        <v>0.99823373103290214</v>
      </c>
      <c r="AA204" s="598" t="e">
        <f>NA()</f>
        <v>#N/A</v>
      </c>
      <c r="AB204" s="598" t="e">
        <f>NA()</f>
        <v>#N/A</v>
      </c>
      <c r="AC204" s="598" t="e">
        <f>NA()</f>
        <v>#N/A</v>
      </c>
      <c r="AD204" s="598" t="e">
        <f>NA()</f>
        <v>#N/A</v>
      </c>
      <c r="AE204" s="598" t="e">
        <f>NA()</f>
        <v>#N/A</v>
      </c>
      <c r="AF204" s="598" t="e">
        <f>NA()</f>
        <v>#N/A</v>
      </c>
      <c r="AG204" s="598" t="e">
        <f>NA()</f>
        <v>#N/A</v>
      </c>
      <c r="AH204" s="598" t="e">
        <f>NA()</f>
        <v>#N/A</v>
      </c>
      <c r="AI204" s="598" t="e">
        <f>NA()</f>
        <v>#N/A</v>
      </c>
      <c r="AJ204" s="598" t="e">
        <f>NA()</f>
        <v>#N/A</v>
      </c>
      <c r="AK204" s="598" t="e">
        <f>NA()</f>
        <v>#N/A</v>
      </c>
      <c r="AL204" s="598" t="e">
        <f>NA()</f>
        <v>#N/A</v>
      </c>
    </row>
    <row r="205" spans="1:38" x14ac:dyDescent="0.2">
      <c r="A205" s="568" t="s">
        <v>991</v>
      </c>
      <c r="B205" s="7"/>
      <c r="C205" s="177">
        <f t="shared" ref="C205:Y205" si="99">IF(C162=0,0,+C161/C162)</f>
        <v>0.99779657809931432</v>
      </c>
      <c r="D205" s="177">
        <f t="shared" si="99"/>
        <v>0.99813283714019541</v>
      </c>
      <c r="E205" s="177">
        <f t="shared" si="99"/>
        <v>0.99461726117606919</v>
      </c>
      <c r="F205" s="177">
        <f t="shared" si="99"/>
        <v>0.9945990272827957</v>
      </c>
      <c r="G205" s="177">
        <f t="shared" si="99"/>
        <v>0.98551318855073067</v>
      </c>
      <c r="H205" s="177">
        <f t="shared" si="99"/>
        <v>0.997167921693627</v>
      </c>
      <c r="I205" s="177">
        <f t="shared" si="99"/>
        <v>0.99483187020281905</v>
      </c>
      <c r="J205" s="177">
        <f t="shared" si="99"/>
        <v>0.99377438768961335</v>
      </c>
      <c r="K205" s="177">
        <f t="shared" si="99"/>
        <v>0.99803434285745418</v>
      </c>
      <c r="L205" s="177">
        <f t="shared" si="99"/>
        <v>0.99827614969747247</v>
      </c>
      <c r="M205" s="177">
        <f t="shared" si="99"/>
        <v>0.99876675215382105</v>
      </c>
      <c r="N205" s="177">
        <f t="shared" si="99"/>
        <v>0.99783423641999192</v>
      </c>
      <c r="O205" s="177">
        <f t="shared" si="99"/>
        <v>0.99913374151016154</v>
      </c>
      <c r="P205" s="177">
        <f t="shared" si="99"/>
        <v>0.99660267291783999</v>
      </c>
      <c r="Q205" s="177">
        <f t="shared" si="99"/>
        <v>0.99943462340604294</v>
      </c>
      <c r="R205" s="177">
        <f t="shared" si="99"/>
        <v>0.99751346092765958</v>
      </c>
      <c r="S205" s="177">
        <f t="shared" si="99"/>
        <v>0.99917501676818454</v>
      </c>
      <c r="T205" s="177">
        <f t="shared" si="99"/>
        <v>0.99891492765712275</v>
      </c>
      <c r="U205" s="177">
        <f t="shared" si="99"/>
        <v>0.99704709384048118</v>
      </c>
      <c r="V205" s="177">
        <f t="shared" si="99"/>
        <v>0.99650170611964206</v>
      </c>
      <c r="W205" s="177">
        <f t="shared" si="99"/>
        <v>0.99795025538156756</v>
      </c>
      <c r="X205" s="177">
        <f t="shared" si="99"/>
        <v>0.99752596554519724</v>
      </c>
      <c r="Y205" s="177">
        <f t="shared" si="99"/>
        <v>0.9989721237641972</v>
      </c>
      <c r="Z205" s="598" t="e">
        <f>NA()</f>
        <v>#N/A</v>
      </c>
      <c r="AA205" s="598" t="e">
        <f>NA()</f>
        <v>#N/A</v>
      </c>
      <c r="AB205" s="598" t="e">
        <f>NA()</f>
        <v>#N/A</v>
      </c>
      <c r="AC205" s="598" t="e">
        <f>NA()</f>
        <v>#N/A</v>
      </c>
      <c r="AD205" s="598" t="e">
        <f>NA()</f>
        <v>#N/A</v>
      </c>
      <c r="AE205" s="598" t="e">
        <f>NA()</f>
        <v>#N/A</v>
      </c>
      <c r="AF205" s="598" t="e">
        <f>NA()</f>
        <v>#N/A</v>
      </c>
      <c r="AG205" s="598" t="e">
        <f>NA()</f>
        <v>#N/A</v>
      </c>
      <c r="AH205" s="598" t="e">
        <f>NA()</f>
        <v>#N/A</v>
      </c>
      <c r="AI205" s="598" t="e">
        <f>NA()</f>
        <v>#N/A</v>
      </c>
      <c r="AJ205" s="598" t="e">
        <f>NA()</f>
        <v>#N/A</v>
      </c>
      <c r="AK205" s="598" t="e">
        <f>NA()</f>
        <v>#N/A</v>
      </c>
      <c r="AL205" s="598" t="e">
        <f>NA()</f>
        <v>#N/A</v>
      </c>
    </row>
    <row r="206" spans="1:38" x14ac:dyDescent="0.2">
      <c r="A206" s="568" t="s">
        <v>992</v>
      </c>
      <c r="B206" s="7"/>
      <c r="C206" s="177">
        <f t="shared" ref="C206:X206" si="100">IF(C163=0,0,+C162/C163)</f>
        <v>0.99935178382888845</v>
      </c>
      <c r="D206" s="177">
        <f t="shared" si="100"/>
        <v>0.99271751379473538</v>
      </c>
      <c r="E206" s="177">
        <f t="shared" si="100"/>
        <v>0.99734613504811076</v>
      </c>
      <c r="F206" s="177">
        <f t="shared" si="100"/>
        <v>0.99337009668232634</v>
      </c>
      <c r="G206" s="177">
        <f t="shared" si="100"/>
        <v>0.99879099690153528</v>
      </c>
      <c r="H206" s="177">
        <f t="shared" si="100"/>
        <v>0.99782044689162896</v>
      </c>
      <c r="I206" s="177">
        <f t="shared" si="100"/>
        <v>0.99587559139304072</v>
      </c>
      <c r="J206" s="177">
        <f t="shared" si="100"/>
        <v>0.99843088005662961</v>
      </c>
      <c r="K206" s="177">
        <f t="shared" si="100"/>
        <v>0.99964641847370406</v>
      </c>
      <c r="L206" s="177">
        <f t="shared" si="100"/>
        <v>0.99883413414373368</v>
      </c>
      <c r="M206" s="177">
        <f t="shared" si="100"/>
        <v>0.99803320405620766</v>
      </c>
      <c r="N206" s="177">
        <f t="shared" si="100"/>
        <v>0.99865149320529489</v>
      </c>
      <c r="O206" s="177">
        <f t="shared" si="100"/>
        <v>0.99663397082843108</v>
      </c>
      <c r="P206" s="177">
        <f t="shared" si="100"/>
        <v>0.99778559844980741</v>
      </c>
      <c r="Q206" s="177">
        <f t="shared" si="100"/>
        <v>0.99733556727016481</v>
      </c>
      <c r="R206" s="177">
        <f t="shared" si="100"/>
        <v>0.99919415994897243</v>
      </c>
      <c r="S206" s="177">
        <f t="shared" si="100"/>
        <v>0.99976852949351058</v>
      </c>
      <c r="T206" s="177">
        <f t="shared" si="100"/>
        <v>0.99829326281874908</v>
      </c>
      <c r="U206" s="177">
        <f t="shared" si="100"/>
        <v>0.99763028646659924</v>
      </c>
      <c r="V206" s="177">
        <f t="shared" si="100"/>
        <v>0.99851388527250295</v>
      </c>
      <c r="W206" s="177">
        <f t="shared" si="100"/>
        <v>0.99939823112844139</v>
      </c>
      <c r="X206" s="177">
        <f t="shared" si="100"/>
        <v>0.99895280798240893</v>
      </c>
      <c r="Y206" s="598" t="e">
        <f>NA()</f>
        <v>#N/A</v>
      </c>
      <c r="Z206" s="598" t="e">
        <f>NA()</f>
        <v>#N/A</v>
      </c>
      <c r="AA206" s="598" t="e">
        <f>NA()</f>
        <v>#N/A</v>
      </c>
      <c r="AB206" s="598" t="e">
        <f>NA()</f>
        <v>#N/A</v>
      </c>
      <c r="AC206" s="598" t="e">
        <f>NA()</f>
        <v>#N/A</v>
      </c>
      <c r="AD206" s="598" t="e">
        <f>NA()</f>
        <v>#N/A</v>
      </c>
      <c r="AE206" s="598" t="e">
        <f>NA()</f>
        <v>#N/A</v>
      </c>
      <c r="AF206" s="598" t="e">
        <f>NA()</f>
        <v>#N/A</v>
      </c>
      <c r="AG206" s="598" t="e">
        <f>NA()</f>
        <v>#N/A</v>
      </c>
      <c r="AH206" s="598" t="e">
        <f>NA()</f>
        <v>#N/A</v>
      </c>
      <c r="AI206" s="598" t="e">
        <f>NA()</f>
        <v>#N/A</v>
      </c>
      <c r="AJ206" s="598" t="e">
        <f>NA()</f>
        <v>#N/A</v>
      </c>
      <c r="AK206" s="598" t="e">
        <f>NA()</f>
        <v>#N/A</v>
      </c>
      <c r="AL206" s="598" t="e">
        <f>NA()</f>
        <v>#N/A</v>
      </c>
    </row>
    <row r="207" spans="1:38" x14ac:dyDescent="0.2">
      <c r="A207" s="568" t="s">
        <v>993</v>
      </c>
      <c r="B207" s="7"/>
      <c r="C207" s="177">
        <f t="shared" ref="C207:W207" si="101">IF(C164=0,0,+C163/C164)</f>
        <v>0.99597333335690508</v>
      </c>
      <c r="D207" s="177">
        <f t="shared" si="101"/>
        <v>0.99791212621796055</v>
      </c>
      <c r="E207" s="177">
        <f t="shared" si="101"/>
        <v>0.99061024809601517</v>
      </c>
      <c r="F207" s="177">
        <f t="shared" si="101"/>
        <v>0.99890000920116673</v>
      </c>
      <c r="G207" s="177">
        <f t="shared" si="101"/>
        <v>0.99770762629483256</v>
      </c>
      <c r="H207" s="177">
        <f t="shared" si="101"/>
        <v>0.99880941106864918</v>
      </c>
      <c r="I207" s="177">
        <f t="shared" si="101"/>
        <v>0.99847300501173775</v>
      </c>
      <c r="J207" s="177">
        <f t="shared" si="101"/>
        <v>0.99755837915384193</v>
      </c>
      <c r="K207" s="177">
        <f t="shared" si="101"/>
        <v>0.99908172720523714</v>
      </c>
      <c r="L207" s="177">
        <f t="shared" si="101"/>
        <v>0.99802755016401767</v>
      </c>
      <c r="M207" s="177">
        <f t="shared" si="101"/>
        <v>0.99914339246635886</v>
      </c>
      <c r="N207" s="177">
        <f t="shared" si="101"/>
        <v>0.99945961268284866</v>
      </c>
      <c r="O207" s="177">
        <f t="shared" si="101"/>
        <v>0.99927204245421453</v>
      </c>
      <c r="P207" s="177">
        <f t="shared" si="101"/>
        <v>0.99772314640269988</v>
      </c>
      <c r="Q207" s="177">
        <f t="shared" si="101"/>
        <v>0.99969676339380109</v>
      </c>
      <c r="R207" s="177">
        <f t="shared" si="101"/>
        <v>0.99920772820903314</v>
      </c>
      <c r="S207" s="177">
        <f t="shared" si="101"/>
        <v>0.99814468026304937</v>
      </c>
      <c r="T207" s="177">
        <f t="shared" si="101"/>
        <v>0.99896814224293096</v>
      </c>
      <c r="U207" s="177">
        <f t="shared" si="101"/>
        <v>0.99799649860639816</v>
      </c>
      <c r="V207" s="177">
        <f t="shared" si="101"/>
        <v>0.99791142030451652</v>
      </c>
      <c r="W207" s="177">
        <f t="shared" si="101"/>
        <v>0.99846841174365319</v>
      </c>
      <c r="X207" s="598" t="e">
        <f>NA()</f>
        <v>#N/A</v>
      </c>
      <c r="Y207" s="598" t="e">
        <f>NA()</f>
        <v>#N/A</v>
      </c>
      <c r="Z207" s="598" t="e">
        <f>NA()</f>
        <v>#N/A</v>
      </c>
      <c r="AA207" s="598" t="e">
        <f>NA()</f>
        <v>#N/A</v>
      </c>
      <c r="AB207" s="598" t="e">
        <f>NA()</f>
        <v>#N/A</v>
      </c>
      <c r="AC207" s="598" t="e">
        <f>NA()</f>
        <v>#N/A</v>
      </c>
      <c r="AD207" s="598" t="e">
        <f>NA()</f>
        <v>#N/A</v>
      </c>
      <c r="AE207" s="598" t="e">
        <f>NA()</f>
        <v>#N/A</v>
      </c>
      <c r="AF207" s="598" t="e">
        <f>NA()</f>
        <v>#N/A</v>
      </c>
      <c r="AG207" s="598" t="e">
        <f>NA()</f>
        <v>#N/A</v>
      </c>
      <c r="AH207" s="598" t="e">
        <f>NA()</f>
        <v>#N/A</v>
      </c>
      <c r="AI207" s="598" t="e">
        <f>NA()</f>
        <v>#N/A</v>
      </c>
      <c r="AJ207" s="598" t="e">
        <f>NA()</f>
        <v>#N/A</v>
      </c>
      <c r="AK207" s="598" t="e">
        <f>NA()</f>
        <v>#N/A</v>
      </c>
      <c r="AL207" s="598" t="e">
        <f>NA()</f>
        <v>#N/A</v>
      </c>
    </row>
    <row r="208" spans="1:38" x14ac:dyDescent="0.2">
      <c r="A208" s="568" t="s">
        <v>994</v>
      </c>
      <c r="B208" s="7"/>
      <c r="C208" s="177">
        <f t="shared" ref="C208:V208" si="102">IF(C165=0,0,+C164/C165)</f>
        <v>0.99800999541048152</v>
      </c>
      <c r="D208" s="177">
        <f t="shared" si="102"/>
        <v>0.99175014649875626</v>
      </c>
      <c r="E208" s="177">
        <f t="shared" si="102"/>
        <v>0.99705218011069552</v>
      </c>
      <c r="F208" s="177">
        <f t="shared" si="102"/>
        <v>0.99986210286012722</v>
      </c>
      <c r="G208" s="177">
        <f t="shared" si="102"/>
        <v>0.99955102688666098</v>
      </c>
      <c r="H208" s="177">
        <f t="shared" si="102"/>
        <v>0.99935187877636211</v>
      </c>
      <c r="I208" s="177">
        <f t="shared" si="102"/>
        <v>0.99407038035377293</v>
      </c>
      <c r="J208" s="177">
        <f t="shared" si="102"/>
        <v>0.99944659545881476</v>
      </c>
      <c r="K208" s="177">
        <f t="shared" si="102"/>
        <v>0.99840169350042074</v>
      </c>
      <c r="L208" s="177">
        <f t="shared" si="102"/>
        <v>0.99941190578451855</v>
      </c>
      <c r="M208" s="177">
        <f t="shared" si="102"/>
        <v>0.99961737813669793</v>
      </c>
      <c r="N208" s="177">
        <f t="shared" si="102"/>
        <v>0.99856033319551085</v>
      </c>
      <c r="O208" s="177">
        <f t="shared" si="102"/>
        <v>0.99852150872771983</v>
      </c>
      <c r="P208" s="177">
        <f t="shared" si="102"/>
        <v>0.99332689304865074</v>
      </c>
      <c r="Q208" s="177">
        <f t="shared" si="102"/>
        <v>0.99962627603228238</v>
      </c>
      <c r="R208" s="177">
        <f t="shared" si="102"/>
        <v>0.9993296714158777</v>
      </c>
      <c r="S208" s="177">
        <f t="shared" si="102"/>
        <v>0.9996669426431336</v>
      </c>
      <c r="T208" s="177">
        <f t="shared" si="102"/>
        <v>0.99967436858858516</v>
      </c>
      <c r="U208" s="177">
        <f t="shared" si="102"/>
        <v>0.99968979268216585</v>
      </c>
      <c r="V208" s="177">
        <f t="shared" si="102"/>
        <v>0.99985851282176696</v>
      </c>
      <c r="W208" s="598" t="e">
        <f>NA()</f>
        <v>#N/A</v>
      </c>
      <c r="X208" s="598" t="e">
        <f>NA()</f>
        <v>#N/A</v>
      </c>
      <c r="Y208" s="598" t="e">
        <f>NA()</f>
        <v>#N/A</v>
      </c>
      <c r="Z208" s="598" t="e">
        <f>NA()</f>
        <v>#N/A</v>
      </c>
      <c r="AA208" s="598" t="e">
        <f>NA()</f>
        <v>#N/A</v>
      </c>
      <c r="AB208" s="598" t="e">
        <f>NA()</f>
        <v>#N/A</v>
      </c>
      <c r="AC208" s="598" t="e">
        <f>NA()</f>
        <v>#N/A</v>
      </c>
      <c r="AD208" s="598" t="e">
        <f>NA()</f>
        <v>#N/A</v>
      </c>
      <c r="AE208" s="598" t="e">
        <f>NA()</f>
        <v>#N/A</v>
      </c>
      <c r="AF208" s="598" t="e">
        <f>NA()</f>
        <v>#N/A</v>
      </c>
      <c r="AG208" s="598" t="e">
        <f>NA()</f>
        <v>#N/A</v>
      </c>
      <c r="AH208" s="598" t="e">
        <f>NA()</f>
        <v>#N/A</v>
      </c>
      <c r="AI208" s="598" t="e">
        <f>NA()</f>
        <v>#N/A</v>
      </c>
      <c r="AJ208" s="598" t="e">
        <f>NA()</f>
        <v>#N/A</v>
      </c>
      <c r="AK208" s="598" t="e">
        <f>NA()</f>
        <v>#N/A</v>
      </c>
      <c r="AL208" s="598" t="e">
        <f>NA()</f>
        <v>#N/A</v>
      </c>
    </row>
    <row r="209" spans="1:40" x14ac:dyDescent="0.2">
      <c r="A209" s="568" t="s">
        <v>995</v>
      </c>
      <c r="B209" s="7"/>
      <c r="C209" s="177">
        <f t="shared" ref="C209:U209" si="103">IF(C166=0,0,+C165/C166)</f>
        <v>0.99423283438468202</v>
      </c>
      <c r="D209" s="177">
        <f t="shared" si="103"/>
        <v>0.99709829904797542</v>
      </c>
      <c r="E209" s="177">
        <f t="shared" si="103"/>
        <v>0.99977632245888326</v>
      </c>
      <c r="F209" s="177">
        <f t="shared" si="103"/>
        <v>0.99972847235680773</v>
      </c>
      <c r="G209" s="177">
        <f t="shared" si="103"/>
        <v>0.99913210134816011</v>
      </c>
      <c r="H209" s="177">
        <f t="shared" si="103"/>
        <v>0.99833867691725575</v>
      </c>
      <c r="I209" s="177">
        <f t="shared" si="103"/>
        <v>0.99940415131666493</v>
      </c>
      <c r="J209" s="177">
        <f t="shared" si="103"/>
        <v>0.99948108342284903</v>
      </c>
      <c r="K209" s="177">
        <f t="shared" si="103"/>
        <v>0.99887969572131474</v>
      </c>
      <c r="L209" s="177">
        <f t="shared" si="103"/>
        <v>0.99937054951813475</v>
      </c>
      <c r="M209" s="177">
        <f t="shared" si="103"/>
        <v>0.99829743559511674</v>
      </c>
      <c r="N209" s="177">
        <f t="shared" si="103"/>
        <v>0.99956227260799513</v>
      </c>
      <c r="O209" s="177">
        <f t="shared" si="103"/>
        <v>0.99959597437158487</v>
      </c>
      <c r="P209" s="177">
        <f t="shared" si="103"/>
        <v>0.99827209792027727</v>
      </c>
      <c r="Q209" s="177">
        <f t="shared" si="103"/>
        <v>0.9994067342155426</v>
      </c>
      <c r="R209" s="177">
        <f t="shared" si="103"/>
        <v>0.9981332440681504</v>
      </c>
      <c r="S209" s="177">
        <f t="shared" si="103"/>
        <v>0.99923852652846001</v>
      </c>
      <c r="T209" s="177">
        <f t="shared" si="103"/>
        <v>0.99952356487354588</v>
      </c>
      <c r="U209" s="177">
        <f t="shared" si="103"/>
        <v>0.99962443923207134</v>
      </c>
      <c r="V209" s="598" t="e">
        <f>NA()</f>
        <v>#N/A</v>
      </c>
      <c r="W209" s="598" t="e">
        <f>NA()</f>
        <v>#N/A</v>
      </c>
      <c r="X209" s="598" t="e">
        <f>NA()</f>
        <v>#N/A</v>
      </c>
      <c r="Y209" s="598" t="e">
        <f>NA()</f>
        <v>#N/A</v>
      </c>
      <c r="Z209" s="598" t="e">
        <f>NA()</f>
        <v>#N/A</v>
      </c>
      <c r="AA209" s="598" t="e">
        <f>NA()</f>
        <v>#N/A</v>
      </c>
      <c r="AB209" s="598" t="e">
        <f>NA()</f>
        <v>#N/A</v>
      </c>
      <c r="AC209" s="598" t="e">
        <f>NA()</f>
        <v>#N/A</v>
      </c>
      <c r="AD209" s="598" t="e">
        <f>NA()</f>
        <v>#N/A</v>
      </c>
      <c r="AE209" s="598" t="e">
        <f>NA()</f>
        <v>#N/A</v>
      </c>
      <c r="AF209" s="598" t="e">
        <f>NA()</f>
        <v>#N/A</v>
      </c>
      <c r="AG209" s="598" t="e">
        <f>NA()</f>
        <v>#N/A</v>
      </c>
      <c r="AH209" s="598" t="e">
        <f>NA()</f>
        <v>#N/A</v>
      </c>
      <c r="AI209" s="598" t="e">
        <f>NA()</f>
        <v>#N/A</v>
      </c>
      <c r="AJ209" s="598" t="e">
        <f>NA()</f>
        <v>#N/A</v>
      </c>
      <c r="AK209" s="598" t="e">
        <f>NA()</f>
        <v>#N/A</v>
      </c>
      <c r="AL209" s="598" t="e">
        <f>NA()</f>
        <v>#N/A</v>
      </c>
    </row>
    <row r="210" spans="1:40" x14ac:dyDescent="0.2">
      <c r="A210" s="568" t="s">
        <v>996</v>
      </c>
      <c r="B210" s="7"/>
      <c r="C210" s="177">
        <f t="shared" ref="C210:T210" si="104">IF(C167=0,0,+C166/C167)</f>
        <v>0.996188550287468</v>
      </c>
      <c r="D210" s="177">
        <f t="shared" si="104"/>
        <v>0.99561842717995075</v>
      </c>
      <c r="E210" s="177">
        <f t="shared" si="104"/>
        <v>0.99964593843963834</v>
      </c>
      <c r="F210" s="177">
        <f t="shared" si="104"/>
        <v>0.99929291416205324</v>
      </c>
      <c r="G210" s="177">
        <f t="shared" si="104"/>
        <v>0.98811662206281825</v>
      </c>
      <c r="H210" s="177">
        <f t="shared" si="104"/>
        <v>0.99921217748181579</v>
      </c>
      <c r="I210" s="177">
        <f t="shared" si="104"/>
        <v>0.99953429906311941</v>
      </c>
      <c r="J210" s="177">
        <f t="shared" si="104"/>
        <v>0.99843721540713848</v>
      </c>
      <c r="K210" s="177">
        <f t="shared" si="104"/>
        <v>0.99981055740225033</v>
      </c>
      <c r="L210" s="177">
        <f t="shared" si="104"/>
        <v>0.99895090743877546</v>
      </c>
      <c r="M210" s="177">
        <f t="shared" si="104"/>
        <v>0.99893929779899937</v>
      </c>
      <c r="N210" s="177">
        <f t="shared" si="104"/>
        <v>0.99857265666915507</v>
      </c>
      <c r="O210" s="177">
        <f t="shared" si="104"/>
        <v>0.99882401440099333</v>
      </c>
      <c r="P210" s="177">
        <f t="shared" si="104"/>
        <v>0.99844751081275662</v>
      </c>
      <c r="Q210" s="177">
        <f t="shared" si="104"/>
        <v>0.99784603480625078</v>
      </c>
      <c r="R210" s="177">
        <f t="shared" si="104"/>
        <v>0.99990314011367121</v>
      </c>
      <c r="S210" s="177">
        <f t="shared" si="104"/>
        <v>0.99974423458048822</v>
      </c>
      <c r="T210" s="177">
        <f t="shared" si="104"/>
        <v>0.99998471890588425</v>
      </c>
      <c r="U210" s="598" t="e">
        <f>NA()</f>
        <v>#N/A</v>
      </c>
      <c r="V210" s="598" t="e">
        <f>NA()</f>
        <v>#N/A</v>
      </c>
      <c r="W210" s="598" t="e">
        <f>NA()</f>
        <v>#N/A</v>
      </c>
      <c r="X210" s="598" t="e">
        <f>NA()</f>
        <v>#N/A</v>
      </c>
      <c r="Y210" s="598" t="e">
        <f>NA()</f>
        <v>#N/A</v>
      </c>
      <c r="Z210" s="598" t="e">
        <f>NA()</f>
        <v>#N/A</v>
      </c>
      <c r="AA210" s="598" t="e">
        <f>NA()</f>
        <v>#N/A</v>
      </c>
      <c r="AB210" s="598" t="e">
        <f>NA()</f>
        <v>#N/A</v>
      </c>
      <c r="AC210" s="598" t="e">
        <f>NA()</f>
        <v>#N/A</v>
      </c>
      <c r="AD210" s="598" t="e">
        <f>NA()</f>
        <v>#N/A</v>
      </c>
      <c r="AE210" s="598" t="e">
        <f>NA()</f>
        <v>#N/A</v>
      </c>
      <c r="AF210" s="598" t="e">
        <f>NA()</f>
        <v>#N/A</v>
      </c>
      <c r="AG210" s="598" t="e">
        <f>NA()</f>
        <v>#N/A</v>
      </c>
      <c r="AH210" s="598" t="e">
        <f>NA()</f>
        <v>#N/A</v>
      </c>
      <c r="AI210" s="598" t="e">
        <f>NA()</f>
        <v>#N/A</v>
      </c>
      <c r="AJ210" s="598" t="e">
        <f>NA()</f>
        <v>#N/A</v>
      </c>
      <c r="AK210" s="598" t="e">
        <f>NA()</f>
        <v>#N/A</v>
      </c>
      <c r="AL210" s="598" t="e">
        <f>NA()</f>
        <v>#N/A</v>
      </c>
    </row>
    <row r="211" spans="1:40" x14ac:dyDescent="0.2">
      <c r="A211" s="568" t="s">
        <v>997</v>
      </c>
      <c r="B211" s="7"/>
      <c r="C211" s="177">
        <f t="shared" ref="C211:S211" si="105">IF(C168=0,0,+C167/C168)</f>
        <v>0.99973630093863719</v>
      </c>
      <c r="D211" s="177">
        <f t="shared" si="105"/>
        <v>0.99973136026655318</v>
      </c>
      <c r="E211" s="177">
        <f t="shared" si="105"/>
        <v>0.99933354456907797</v>
      </c>
      <c r="F211" s="177">
        <f t="shared" si="105"/>
        <v>0.99601124234312866</v>
      </c>
      <c r="G211" s="177">
        <f t="shared" si="105"/>
        <v>0.99954008631724134</v>
      </c>
      <c r="H211" s="177">
        <f t="shared" si="105"/>
        <v>0.99964523643816994</v>
      </c>
      <c r="I211" s="177">
        <f t="shared" si="105"/>
        <v>0.99750863045684579</v>
      </c>
      <c r="J211" s="177">
        <f t="shared" si="105"/>
        <v>0.99990579537671731</v>
      </c>
      <c r="K211" s="177">
        <f t="shared" si="105"/>
        <v>0.99929266997820443</v>
      </c>
      <c r="L211" s="177">
        <f t="shared" si="105"/>
        <v>0.99795710171903806</v>
      </c>
      <c r="M211" s="177">
        <f t="shared" si="105"/>
        <v>0.99931709532228585</v>
      </c>
      <c r="N211" s="177">
        <f t="shared" si="105"/>
        <v>0.99912723263005421</v>
      </c>
      <c r="O211" s="177">
        <f t="shared" si="105"/>
        <v>0.99954474433475871</v>
      </c>
      <c r="P211" s="177">
        <f t="shared" si="105"/>
        <v>0.99981887810348213</v>
      </c>
      <c r="Q211" s="177">
        <f t="shared" si="105"/>
        <v>0.99986054430966964</v>
      </c>
      <c r="R211" s="177">
        <f t="shared" si="105"/>
        <v>0.99958917036579287</v>
      </c>
      <c r="S211" s="177">
        <f t="shared" si="105"/>
        <v>0.99993748800962756</v>
      </c>
      <c r="T211" s="598" t="e">
        <f>NA()</f>
        <v>#N/A</v>
      </c>
      <c r="U211" s="598" t="e">
        <f>NA()</f>
        <v>#N/A</v>
      </c>
      <c r="V211" s="598" t="e">
        <f>NA()</f>
        <v>#N/A</v>
      </c>
      <c r="W211" s="598" t="e">
        <f>NA()</f>
        <v>#N/A</v>
      </c>
      <c r="X211" s="598" t="e">
        <f>NA()</f>
        <v>#N/A</v>
      </c>
      <c r="Y211" s="598" t="e">
        <f>NA()</f>
        <v>#N/A</v>
      </c>
      <c r="Z211" s="598" t="e">
        <f>NA()</f>
        <v>#N/A</v>
      </c>
      <c r="AA211" s="598" t="e">
        <f>NA()</f>
        <v>#N/A</v>
      </c>
      <c r="AB211" s="598" t="e">
        <f>NA()</f>
        <v>#N/A</v>
      </c>
      <c r="AC211" s="598" t="e">
        <f>NA()</f>
        <v>#N/A</v>
      </c>
      <c r="AD211" s="598" t="e">
        <f>NA()</f>
        <v>#N/A</v>
      </c>
      <c r="AE211" s="598" t="e">
        <f>NA()</f>
        <v>#N/A</v>
      </c>
      <c r="AF211" s="598" t="e">
        <f>NA()</f>
        <v>#N/A</v>
      </c>
      <c r="AG211" s="598" t="e">
        <f>NA()</f>
        <v>#N/A</v>
      </c>
      <c r="AH211" s="598" t="e">
        <f>NA()</f>
        <v>#N/A</v>
      </c>
      <c r="AI211" s="598" t="e">
        <f>NA()</f>
        <v>#N/A</v>
      </c>
      <c r="AJ211" s="598" t="e">
        <f>NA()</f>
        <v>#N/A</v>
      </c>
      <c r="AK211" s="598" t="e">
        <f>NA()</f>
        <v>#N/A</v>
      </c>
      <c r="AL211" s="598" t="e">
        <f>NA()</f>
        <v>#N/A</v>
      </c>
    </row>
    <row r="212" spans="1:40" x14ac:dyDescent="0.2">
      <c r="A212" s="568" t="s">
        <v>998</v>
      </c>
      <c r="B212" s="7"/>
      <c r="C212" s="177">
        <f t="shared" ref="C212:R212" si="106">IF(C169=0,0,+C168/C169)</f>
        <v>0.99979588334181002</v>
      </c>
      <c r="D212" s="177">
        <f t="shared" si="106"/>
        <v>0.99812942897098822</v>
      </c>
      <c r="E212" s="177">
        <f t="shared" si="106"/>
        <v>0.99853150809553615</v>
      </c>
      <c r="F212" s="177">
        <f t="shared" si="106"/>
        <v>0.99963931485921664</v>
      </c>
      <c r="G212" s="177">
        <f t="shared" si="106"/>
        <v>0.99982907176699143</v>
      </c>
      <c r="H212" s="177">
        <f t="shared" si="106"/>
        <v>0.99972010260095912</v>
      </c>
      <c r="I212" s="177">
        <f t="shared" si="106"/>
        <v>0.99970313828375379</v>
      </c>
      <c r="J212" s="177">
        <f t="shared" si="106"/>
        <v>0.99961113718832373</v>
      </c>
      <c r="K212" s="177">
        <f t="shared" si="106"/>
        <v>0.99992728758938354</v>
      </c>
      <c r="L212" s="177">
        <f t="shared" si="106"/>
        <v>0.99642859204417678</v>
      </c>
      <c r="M212" s="177">
        <f t="shared" si="106"/>
        <v>0.99983981299718006</v>
      </c>
      <c r="N212" s="177">
        <f t="shared" si="106"/>
        <v>0.99951939696621317</v>
      </c>
      <c r="O212" s="177">
        <f t="shared" si="106"/>
        <v>0.99826603274881343</v>
      </c>
      <c r="P212" s="177">
        <f t="shared" si="106"/>
        <v>0.99991801619516574</v>
      </c>
      <c r="Q212" s="177">
        <f t="shared" si="106"/>
        <v>0.99943422973593032</v>
      </c>
      <c r="R212" s="177">
        <f t="shared" si="106"/>
        <v>1</v>
      </c>
      <c r="S212" s="598" t="e">
        <f>NA()</f>
        <v>#N/A</v>
      </c>
      <c r="T212" s="598" t="e">
        <f>NA()</f>
        <v>#N/A</v>
      </c>
      <c r="U212" s="598" t="e">
        <f>NA()</f>
        <v>#N/A</v>
      </c>
      <c r="V212" s="598" t="e">
        <f>NA()</f>
        <v>#N/A</v>
      </c>
      <c r="W212" s="598" t="e">
        <f>NA()</f>
        <v>#N/A</v>
      </c>
      <c r="X212" s="598" t="e">
        <f>NA()</f>
        <v>#N/A</v>
      </c>
      <c r="Y212" s="598" t="e">
        <f>NA()</f>
        <v>#N/A</v>
      </c>
      <c r="Z212" s="598" t="e">
        <f>NA()</f>
        <v>#N/A</v>
      </c>
      <c r="AA212" s="598" t="e">
        <f>NA()</f>
        <v>#N/A</v>
      </c>
      <c r="AB212" s="598" t="e">
        <f>NA()</f>
        <v>#N/A</v>
      </c>
      <c r="AC212" s="598" t="e">
        <f>NA()</f>
        <v>#N/A</v>
      </c>
      <c r="AD212" s="598" t="e">
        <f>NA()</f>
        <v>#N/A</v>
      </c>
      <c r="AE212" s="598" t="e">
        <f>NA()</f>
        <v>#N/A</v>
      </c>
      <c r="AF212" s="598" t="e">
        <f>NA()</f>
        <v>#N/A</v>
      </c>
      <c r="AG212" s="598" t="e">
        <f>NA()</f>
        <v>#N/A</v>
      </c>
      <c r="AH212" s="598" t="e">
        <f>NA()</f>
        <v>#N/A</v>
      </c>
      <c r="AI212" s="598" t="e">
        <f>NA()</f>
        <v>#N/A</v>
      </c>
      <c r="AJ212" s="598" t="e">
        <f>NA()</f>
        <v>#N/A</v>
      </c>
      <c r="AK212" s="598" t="e">
        <f>NA()</f>
        <v>#N/A</v>
      </c>
      <c r="AL212" s="598" t="e">
        <f>NA()</f>
        <v>#N/A</v>
      </c>
      <c r="AM212" s="212"/>
      <c r="AN212" s="212"/>
    </row>
    <row r="213" spans="1:40" x14ac:dyDescent="0.2">
      <c r="A213" s="568" t="s">
        <v>999</v>
      </c>
      <c r="B213" s="7"/>
      <c r="C213" s="177">
        <f t="shared" ref="C213:Q213" si="107">IF(C170=0,0,+C169/C170)</f>
        <v>0.99944269643198536</v>
      </c>
      <c r="D213" s="177">
        <f t="shared" si="107"/>
        <v>0.99900688924106351</v>
      </c>
      <c r="E213" s="177">
        <f t="shared" si="107"/>
        <v>0.99952620220137689</v>
      </c>
      <c r="F213" s="177">
        <f t="shared" si="107"/>
        <v>0.99904714024134478</v>
      </c>
      <c r="G213" s="177">
        <f t="shared" si="107"/>
        <v>0.99967624247628384</v>
      </c>
      <c r="H213" s="177">
        <f t="shared" si="107"/>
        <v>1</v>
      </c>
      <c r="I213" s="177">
        <f t="shared" si="107"/>
        <v>0.99877006253497536</v>
      </c>
      <c r="J213" s="177">
        <f t="shared" si="107"/>
        <v>0.99954734267077694</v>
      </c>
      <c r="K213" s="177">
        <f t="shared" si="107"/>
        <v>0.99975492848352798</v>
      </c>
      <c r="L213" s="177">
        <f t="shared" si="107"/>
        <v>0.99878111317100282</v>
      </c>
      <c r="M213" s="177">
        <f t="shared" si="107"/>
        <v>0.9996355417444821</v>
      </c>
      <c r="N213" s="177">
        <f t="shared" si="107"/>
        <v>0.99999657678303921</v>
      </c>
      <c r="O213" s="177">
        <f t="shared" si="107"/>
        <v>0.99748242265045239</v>
      </c>
      <c r="P213" s="177">
        <f t="shared" si="107"/>
        <v>0.99996322052438491</v>
      </c>
      <c r="Q213" s="177">
        <f t="shared" si="107"/>
        <v>0.99996007003189524</v>
      </c>
      <c r="R213" s="598" t="e">
        <f>NA()</f>
        <v>#N/A</v>
      </c>
      <c r="S213" s="598" t="e">
        <f>NA()</f>
        <v>#N/A</v>
      </c>
      <c r="T213" s="598" t="e">
        <f>NA()</f>
        <v>#N/A</v>
      </c>
      <c r="U213" s="598" t="e">
        <f>NA()</f>
        <v>#N/A</v>
      </c>
      <c r="V213" s="598" t="e">
        <f>NA()</f>
        <v>#N/A</v>
      </c>
      <c r="W213" s="598" t="e">
        <f>NA()</f>
        <v>#N/A</v>
      </c>
      <c r="X213" s="598" t="e">
        <f>NA()</f>
        <v>#N/A</v>
      </c>
      <c r="Y213" s="598" t="e">
        <f>NA()</f>
        <v>#N/A</v>
      </c>
      <c r="Z213" s="598" t="e">
        <f>NA()</f>
        <v>#N/A</v>
      </c>
      <c r="AA213" s="598" t="e">
        <f>NA()</f>
        <v>#N/A</v>
      </c>
      <c r="AB213" s="598" t="e">
        <f>NA()</f>
        <v>#N/A</v>
      </c>
      <c r="AC213" s="598" t="e">
        <f>NA()</f>
        <v>#N/A</v>
      </c>
      <c r="AD213" s="598" t="e">
        <f>NA()</f>
        <v>#N/A</v>
      </c>
      <c r="AE213" s="598" t="e">
        <f>NA()</f>
        <v>#N/A</v>
      </c>
      <c r="AF213" s="598" t="e">
        <f>NA()</f>
        <v>#N/A</v>
      </c>
      <c r="AG213" s="598" t="e">
        <f>NA()</f>
        <v>#N/A</v>
      </c>
      <c r="AH213" s="598" t="e">
        <f>NA()</f>
        <v>#N/A</v>
      </c>
      <c r="AI213" s="598" t="e">
        <f>NA()</f>
        <v>#N/A</v>
      </c>
      <c r="AJ213" s="598" t="e">
        <f>NA()</f>
        <v>#N/A</v>
      </c>
      <c r="AK213" s="598" t="e">
        <f>NA()</f>
        <v>#N/A</v>
      </c>
      <c r="AL213" s="598" t="e">
        <f>NA()</f>
        <v>#N/A</v>
      </c>
      <c r="AM213" s="212"/>
      <c r="AN213" s="212"/>
    </row>
    <row r="214" spans="1:40" x14ac:dyDescent="0.2">
      <c r="A214" s="568" t="s">
        <v>1000</v>
      </c>
      <c r="B214" s="7"/>
      <c r="C214" s="177">
        <f t="shared" ref="C214:P214" si="108">IF(C171=0,0,+C170/C171)</f>
        <v>0.99933071336681323</v>
      </c>
      <c r="D214" s="177">
        <f t="shared" si="108"/>
        <v>0.99893967431042963</v>
      </c>
      <c r="E214" s="177">
        <f t="shared" si="108"/>
        <v>0.99988948537554023</v>
      </c>
      <c r="F214" s="177">
        <f t="shared" si="108"/>
        <v>0.99989252484551427</v>
      </c>
      <c r="G214" s="177">
        <f t="shared" si="108"/>
        <v>0.99967036614078719</v>
      </c>
      <c r="H214" s="177">
        <f t="shared" si="108"/>
        <v>0.99915943353981518</v>
      </c>
      <c r="I214" s="177">
        <f t="shared" si="108"/>
        <v>0.99948184218050973</v>
      </c>
      <c r="J214" s="177">
        <f t="shared" si="108"/>
        <v>0.99992776878938139</v>
      </c>
      <c r="K214" s="177">
        <f t="shared" si="108"/>
        <v>0.99958253465045832</v>
      </c>
      <c r="L214" s="177">
        <f t="shared" si="108"/>
        <v>0.9922070548238624</v>
      </c>
      <c r="M214" s="177">
        <f t="shared" si="108"/>
        <v>0.99939225321180436</v>
      </c>
      <c r="N214" s="177">
        <f t="shared" si="108"/>
        <v>0.99952141809836403</v>
      </c>
      <c r="O214" s="177">
        <f t="shared" si="108"/>
        <v>0.99969585189368948</v>
      </c>
      <c r="P214" s="177">
        <f t="shared" si="108"/>
        <v>0.9999876933882289</v>
      </c>
      <c r="Q214" s="598" t="e">
        <f>NA()</f>
        <v>#N/A</v>
      </c>
      <c r="R214" s="598" t="e">
        <f>NA()</f>
        <v>#N/A</v>
      </c>
      <c r="S214" s="598" t="e">
        <f>NA()</f>
        <v>#N/A</v>
      </c>
      <c r="T214" s="598" t="e">
        <f>NA()</f>
        <v>#N/A</v>
      </c>
      <c r="U214" s="598" t="e">
        <f>NA()</f>
        <v>#N/A</v>
      </c>
      <c r="V214" s="598" t="e">
        <f>NA()</f>
        <v>#N/A</v>
      </c>
      <c r="W214" s="598" t="e">
        <f>NA()</f>
        <v>#N/A</v>
      </c>
      <c r="X214" s="598" t="e">
        <f>NA()</f>
        <v>#N/A</v>
      </c>
      <c r="Y214" s="598" t="e">
        <f>NA()</f>
        <v>#N/A</v>
      </c>
      <c r="Z214" s="598" t="e">
        <f>NA()</f>
        <v>#N/A</v>
      </c>
      <c r="AA214" s="598" t="e">
        <f>NA()</f>
        <v>#N/A</v>
      </c>
      <c r="AB214" s="598" t="e">
        <f>NA()</f>
        <v>#N/A</v>
      </c>
      <c r="AC214" s="598" t="e">
        <f>NA()</f>
        <v>#N/A</v>
      </c>
      <c r="AD214" s="598" t="e">
        <f>NA()</f>
        <v>#N/A</v>
      </c>
      <c r="AE214" s="598" t="e">
        <f>NA()</f>
        <v>#N/A</v>
      </c>
      <c r="AF214" s="598" t="e">
        <f>NA()</f>
        <v>#N/A</v>
      </c>
      <c r="AG214" s="598" t="e">
        <f>NA()</f>
        <v>#N/A</v>
      </c>
      <c r="AH214" s="598" t="e">
        <f>NA()</f>
        <v>#N/A</v>
      </c>
      <c r="AI214" s="598" t="e">
        <f>NA()</f>
        <v>#N/A</v>
      </c>
      <c r="AJ214" s="598" t="e">
        <f>NA()</f>
        <v>#N/A</v>
      </c>
      <c r="AK214" s="598" t="e">
        <f>NA()</f>
        <v>#N/A</v>
      </c>
      <c r="AL214" s="598" t="e">
        <f>NA()</f>
        <v>#N/A</v>
      </c>
      <c r="AM214" s="212"/>
      <c r="AN214" s="212"/>
    </row>
    <row r="215" spans="1:40" x14ac:dyDescent="0.2">
      <c r="A215" s="568" t="s">
        <v>1001</v>
      </c>
      <c r="B215" s="7"/>
      <c r="C215" s="177">
        <f t="shared" ref="C215:O215" si="109">IF(C172=0,0,+C171/C172)</f>
        <v>0.99947003833038084</v>
      </c>
      <c r="D215" s="177">
        <f t="shared" si="109"/>
        <v>0.9995153117503468</v>
      </c>
      <c r="E215" s="177">
        <f t="shared" si="109"/>
        <v>0.99986499707508947</v>
      </c>
      <c r="F215" s="177">
        <f t="shared" si="109"/>
        <v>0.99992478346519309</v>
      </c>
      <c r="G215" s="177">
        <f t="shared" si="109"/>
        <v>0.99958972327710582</v>
      </c>
      <c r="H215" s="177">
        <f t="shared" si="109"/>
        <v>0.99995979601438467</v>
      </c>
      <c r="I215" s="177">
        <f t="shared" si="109"/>
        <v>0.99978981569791703</v>
      </c>
      <c r="J215" s="177">
        <f t="shared" si="109"/>
        <v>0.99966886733037685</v>
      </c>
      <c r="K215" s="177">
        <f t="shared" si="109"/>
        <v>0.99990361673519623</v>
      </c>
      <c r="L215" s="177">
        <f t="shared" si="109"/>
        <v>0.99988057363200944</v>
      </c>
      <c r="M215" s="177">
        <f t="shared" si="109"/>
        <v>1</v>
      </c>
      <c r="N215" s="177">
        <f t="shared" si="109"/>
        <v>0.99986788351096101</v>
      </c>
      <c r="O215" s="177">
        <f t="shared" si="109"/>
        <v>0.99996861517072388</v>
      </c>
      <c r="P215" s="598" t="e">
        <f>NA()</f>
        <v>#N/A</v>
      </c>
      <c r="Q215" s="598" t="e">
        <f>NA()</f>
        <v>#N/A</v>
      </c>
      <c r="R215" s="598" t="e">
        <f>NA()</f>
        <v>#N/A</v>
      </c>
      <c r="S215" s="598" t="e">
        <f>NA()</f>
        <v>#N/A</v>
      </c>
      <c r="T215" s="598" t="e">
        <f>NA()</f>
        <v>#N/A</v>
      </c>
      <c r="U215" s="598" t="e">
        <f>NA()</f>
        <v>#N/A</v>
      </c>
      <c r="V215" s="598" t="e">
        <f>NA()</f>
        <v>#N/A</v>
      </c>
      <c r="W215" s="598" t="e">
        <f>NA()</f>
        <v>#N/A</v>
      </c>
      <c r="X215" s="598" t="e">
        <f>NA()</f>
        <v>#N/A</v>
      </c>
      <c r="Y215" s="598" t="e">
        <f>NA()</f>
        <v>#N/A</v>
      </c>
      <c r="Z215" s="598" t="e">
        <f>NA()</f>
        <v>#N/A</v>
      </c>
      <c r="AA215" s="598" t="e">
        <f>NA()</f>
        <v>#N/A</v>
      </c>
      <c r="AB215" s="598" t="e">
        <f>NA()</f>
        <v>#N/A</v>
      </c>
      <c r="AC215" s="598" t="e">
        <f>NA()</f>
        <v>#N/A</v>
      </c>
      <c r="AD215" s="598" t="e">
        <f>NA()</f>
        <v>#N/A</v>
      </c>
      <c r="AE215" s="598" t="e">
        <f>NA()</f>
        <v>#N/A</v>
      </c>
      <c r="AF215" s="598" t="e">
        <f>NA()</f>
        <v>#N/A</v>
      </c>
      <c r="AG215" s="598" t="e">
        <f>NA()</f>
        <v>#N/A</v>
      </c>
      <c r="AH215" s="598" t="e">
        <f>NA()</f>
        <v>#N/A</v>
      </c>
      <c r="AI215" s="598" t="e">
        <f>NA()</f>
        <v>#N/A</v>
      </c>
      <c r="AJ215" s="598" t="e">
        <f>NA()</f>
        <v>#N/A</v>
      </c>
      <c r="AK215" s="598" t="e">
        <f>NA()</f>
        <v>#N/A</v>
      </c>
      <c r="AL215" s="598" t="e">
        <f>NA()</f>
        <v>#N/A</v>
      </c>
      <c r="AM215" s="212"/>
      <c r="AN215" s="212"/>
    </row>
    <row r="216" spans="1:40" x14ac:dyDescent="0.2">
      <c r="A216" s="568" t="s">
        <v>1043</v>
      </c>
      <c r="B216" s="7"/>
      <c r="C216" s="177">
        <f t="shared" ref="C216:N216" si="110">IF(C173=0,0,+C172/C173)</f>
        <v>0.99997086566873461</v>
      </c>
      <c r="D216" s="177">
        <f t="shared" si="110"/>
        <v>0.99982073126498094</v>
      </c>
      <c r="E216" s="177">
        <f t="shared" si="110"/>
        <v>0.99995259767114164</v>
      </c>
      <c r="F216" s="177">
        <f t="shared" si="110"/>
        <v>0.99997685698644012</v>
      </c>
      <c r="G216" s="177">
        <f t="shared" si="110"/>
        <v>0.99955830336176454</v>
      </c>
      <c r="H216" s="177">
        <f t="shared" si="110"/>
        <v>0.99999775260225499</v>
      </c>
      <c r="I216" s="177">
        <f t="shared" si="110"/>
        <v>0.99980847757045954</v>
      </c>
      <c r="J216" s="177">
        <f t="shared" si="110"/>
        <v>0.99974704185059937</v>
      </c>
      <c r="K216" s="177">
        <f t="shared" si="110"/>
        <v>1</v>
      </c>
      <c r="L216" s="177">
        <f t="shared" si="110"/>
        <v>0.99957926231265204</v>
      </c>
      <c r="M216" s="177">
        <f t="shared" si="110"/>
        <v>0.99974034402783074</v>
      </c>
      <c r="N216" s="177">
        <f t="shared" si="110"/>
        <v>0.99996174351551237</v>
      </c>
      <c r="O216" s="598" t="e">
        <f>NA()</f>
        <v>#N/A</v>
      </c>
      <c r="P216" s="598" t="e">
        <f>NA()</f>
        <v>#N/A</v>
      </c>
      <c r="Q216" s="598" t="e">
        <f>NA()</f>
        <v>#N/A</v>
      </c>
      <c r="R216" s="598" t="e">
        <f>NA()</f>
        <v>#N/A</v>
      </c>
      <c r="S216" s="598" t="e">
        <f>NA()</f>
        <v>#N/A</v>
      </c>
      <c r="T216" s="598" t="e">
        <f>NA()</f>
        <v>#N/A</v>
      </c>
      <c r="U216" s="598" t="e">
        <f>NA()</f>
        <v>#N/A</v>
      </c>
      <c r="V216" s="598" t="e">
        <f>NA()</f>
        <v>#N/A</v>
      </c>
      <c r="W216" s="598" t="e">
        <f>NA()</f>
        <v>#N/A</v>
      </c>
      <c r="X216" s="598" t="e">
        <f>NA()</f>
        <v>#N/A</v>
      </c>
      <c r="Y216" s="598" t="e">
        <f>NA()</f>
        <v>#N/A</v>
      </c>
      <c r="Z216" s="598" t="e">
        <f>NA()</f>
        <v>#N/A</v>
      </c>
      <c r="AA216" s="598" t="e">
        <f>NA()</f>
        <v>#N/A</v>
      </c>
      <c r="AB216" s="598" t="e">
        <f>NA()</f>
        <v>#N/A</v>
      </c>
      <c r="AC216" s="598" t="e">
        <f>NA()</f>
        <v>#N/A</v>
      </c>
      <c r="AD216" s="598" t="e">
        <f>NA()</f>
        <v>#N/A</v>
      </c>
      <c r="AE216" s="598" t="e">
        <f>NA()</f>
        <v>#N/A</v>
      </c>
      <c r="AF216" s="598" t="e">
        <f>NA()</f>
        <v>#N/A</v>
      </c>
      <c r="AG216" s="598" t="e">
        <f>NA()</f>
        <v>#N/A</v>
      </c>
      <c r="AH216" s="598" t="e">
        <f>NA()</f>
        <v>#N/A</v>
      </c>
      <c r="AI216" s="598" t="e">
        <f>NA()</f>
        <v>#N/A</v>
      </c>
      <c r="AJ216" s="598" t="e">
        <f>NA()</f>
        <v>#N/A</v>
      </c>
      <c r="AK216" s="598" t="e">
        <f>NA()</f>
        <v>#N/A</v>
      </c>
      <c r="AL216" s="598" t="e">
        <f>NA()</f>
        <v>#N/A</v>
      </c>
      <c r="AM216" s="212"/>
      <c r="AN216" s="212"/>
    </row>
    <row r="217" spans="1:40" x14ac:dyDescent="0.2">
      <c r="A217" s="568" t="s">
        <v>1044</v>
      </c>
      <c r="B217" s="7"/>
      <c r="C217" s="177">
        <f t="shared" ref="C217:M217" si="111">IF(C174=0,0,+C173/C174)</f>
        <v>0.99802549163154586</v>
      </c>
      <c r="D217" s="177">
        <f t="shared" si="111"/>
        <v>1</v>
      </c>
      <c r="E217" s="177">
        <f t="shared" si="111"/>
        <v>0.99993689737033897</v>
      </c>
      <c r="F217" s="177">
        <f t="shared" si="111"/>
        <v>0.9999861143846771</v>
      </c>
      <c r="G217" s="177">
        <f t="shared" si="111"/>
        <v>0.99972723421761389</v>
      </c>
      <c r="H217" s="177">
        <f t="shared" si="111"/>
        <v>0.99982063435637225</v>
      </c>
      <c r="I217" s="177">
        <f t="shared" si="111"/>
        <v>0.99987019205973204</v>
      </c>
      <c r="J217" s="177">
        <f t="shared" si="111"/>
        <v>1</v>
      </c>
      <c r="K217" s="177">
        <f t="shared" si="111"/>
        <v>0.99993962885454368</v>
      </c>
      <c r="L217" s="177">
        <f t="shared" si="111"/>
        <v>0.99992817016752378</v>
      </c>
      <c r="M217" s="177">
        <f t="shared" si="111"/>
        <v>1</v>
      </c>
      <c r="N217" s="598" t="e">
        <f>NA()</f>
        <v>#N/A</v>
      </c>
      <c r="O217" s="598" t="e">
        <f>NA()</f>
        <v>#N/A</v>
      </c>
      <c r="P217" s="598" t="e">
        <f>NA()</f>
        <v>#N/A</v>
      </c>
      <c r="Q217" s="598" t="e">
        <f>NA()</f>
        <v>#N/A</v>
      </c>
      <c r="R217" s="598" t="e">
        <f>NA()</f>
        <v>#N/A</v>
      </c>
      <c r="S217" s="598" t="e">
        <f>NA()</f>
        <v>#N/A</v>
      </c>
      <c r="T217" s="598" t="e">
        <f>NA()</f>
        <v>#N/A</v>
      </c>
      <c r="U217" s="598" t="e">
        <f>NA()</f>
        <v>#N/A</v>
      </c>
      <c r="V217" s="598" t="e">
        <f>NA()</f>
        <v>#N/A</v>
      </c>
      <c r="W217" s="598" t="e">
        <f>NA()</f>
        <v>#N/A</v>
      </c>
      <c r="X217" s="598" t="e">
        <f>NA()</f>
        <v>#N/A</v>
      </c>
      <c r="Y217" s="598" t="e">
        <f>NA()</f>
        <v>#N/A</v>
      </c>
      <c r="Z217" s="598" t="e">
        <f>NA()</f>
        <v>#N/A</v>
      </c>
      <c r="AA217" s="598" t="e">
        <f>NA()</f>
        <v>#N/A</v>
      </c>
      <c r="AB217" s="598" t="e">
        <f>NA()</f>
        <v>#N/A</v>
      </c>
      <c r="AC217" s="598" t="e">
        <f>NA()</f>
        <v>#N/A</v>
      </c>
      <c r="AD217" s="598" t="e">
        <f>NA()</f>
        <v>#N/A</v>
      </c>
      <c r="AE217" s="598" t="e">
        <f>NA()</f>
        <v>#N/A</v>
      </c>
      <c r="AF217" s="598" t="e">
        <f>NA()</f>
        <v>#N/A</v>
      </c>
      <c r="AG217" s="598" t="e">
        <f>NA()</f>
        <v>#N/A</v>
      </c>
      <c r="AH217" s="598" t="e">
        <f>NA()</f>
        <v>#N/A</v>
      </c>
      <c r="AI217" s="598" t="e">
        <f>NA()</f>
        <v>#N/A</v>
      </c>
      <c r="AJ217" s="598" t="e">
        <f>NA()</f>
        <v>#N/A</v>
      </c>
      <c r="AK217" s="598" t="e">
        <f>NA()</f>
        <v>#N/A</v>
      </c>
      <c r="AL217" s="598" t="e">
        <f>NA()</f>
        <v>#N/A</v>
      </c>
      <c r="AM217" s="212"/>
      <c r="AN217" s="212"/>
    </row>
    <row r="218" spans="1:40" x14ac:dyDescent="0.2">
      <c r="A218" s="568" t="s">
        <v>1045</v>
      </c>
      <c r="B218" s="7"/>
      <c r="C218" s="177">
        <f t="shared" ref="C218:L218" si="112">IF(C175=0,0,+C174/C175)</f>
        <v>1</v>
      </c>
      <c r="D218" s="177">
        <f t="shared" si="112"/>
        <v>0.99998975954190905</v>
      </c>
      <c r="E218" s="177">
        <f t="shared" si="112"/>
        <v>0.99899082259188177</v>
      </c>
      <c r="F218" s="177">
        <f t="shared" si="112"/>
        <v>0.99980742740693285</v>
      </c>
      <c r="G218" s="177">
        <f t="shared" si="112"/>
        <v>0.99985593411040619</v>
      </c>
      <c r="H218" s="177">
        <f t="shared" si="112"/>
        <v>0.99961879139437315</v>
      </c>
      <c r="I218" s="177">
        <f t="shared" si="112"/>
        <v>1</v>
      </c>
      <c r="J218" s="177">
        <f t="shared" si="112"/>
        <v>1.0002857273272163</v>
      </c>
      <c r="K218" s="177">
        <f t="shared" si="112"/>
        <v>0.99983387379859023</v>
      </c>
      <c r="L218" s="177">
        <f t="shared" si="112"/>
        <v>1</v>
      </c>
      <c r="M218" s="598" t="e">
        <f>NA()</f>
        <v>#N/A</v>
      </c>
      <c r="N218" s="598" t="e">
        <f>NA()</f>
        <v>#N/A</v>
      </c>
      <c r="O218" s="598" t="e">
        <f>NA()</f>
        <v>#N/A</v>
      </c>
      <c r="P218" s="598" t="e">
        <f>NA()</f>
        <v>#N/A</v>
      </c>
      <c r="Q218" s="598" t="e">
        <f>NA()</f>
        <v>#N/A</v>
      </c>
      <c r="R218" s="598" t="e">
        <f>NA()</f>
        <v>#N/A</v>
      </c>
      <c r="S218" s="598" t="e">
        <f>NA()</f>
        <v>#N/A</v>
      </c>
      <c r="T218" s="598" t="e">
        <f>NA()</f>
        <v>#N/A</v>
      </c>
      <c r="U218" s="598" t="e">
        <f>NA()</f>
        <v>#N/A</v>
      </c>
      <c r="V218" s="598" t="e">
        <f>NA()</f>
        <v>#N/A</v>
      </c>
      <c r="W218" s="598" t="e">
        <f>NA()</f>
        <v>#N/A</v>
      </c>
      <c r="X218" s="598" t="e">
        <f>NA()</f>
        <v>#N/A</v>
      </c>
      <c r="Y218" s="598" t="e">
        <f>NA()</f>
        <v>#N/A</v>
      </c>
      <c r="Z218" s="598" t="e">
        <f>NA()</f>
        <v>#N/A</v>
      </c>
      <c r="AA218" s="598" t="e">
        <f>NA()</f>
        <v>#N/A</v>
      </c>
      <c r="AB218" s="598" t="e">
        <f>NA()</f>
        <v>#N/A</v>
      </c>
      <c r="AC218" s="598" t="e">
        <f>NA()</f>
        <v>#N/A</v>
      </c>
      <c r="AD218" s="598" t="e">
        <f>NA()</f>
        <v>#N/A</v>
      </c>
      <c r="AE218" s="598" t="e">
        <f>NA()</f>
        <v>#N/A</v>
      </c>
      <c r="AF218" s="598" t="e">
        <f>NA()</f>
        <v>#N/A</v>
      </c>
      <c r="AG218" s="598" t="e">
        <f>NA()</f>
        <v>#N/A</v>
      </c>
      <c r="AH218" s="598" t="e">
        <f>NA()</f>
        <v>#N/A</v>
      </c>
      <c r="AI218" s="598" t="e">
        <f>NA()</f>
        <v>#N/A</v>
      </c>
      <c r="AJ218" s="598" t="e">
        <f>NA()</f>
        <v>#N/A</v>
      </c>
      <c r="AK218" s="598" t="e">
        <f>NA()</f>
        <v>#N/A</v>
      </c>
      <c r="AL218" s="598" t="e">
        <f>NA()</f>
        <v>#N/A</v>
      </c>
      <c r="AM218" s="212"/>
      <c r="AN218" s="212"/>
    </row>
    <row r="219" spans="1:40" x14ac:dyDescent="0.2">
      <c r="A219" s="568" t="s">
        <v>1046</v>
      </c>
      <c r="B219" s="7"/>
      <c r="C219" s="177">
        <f t="shared" ref="C219:K219" si="113">IF(C176=0,0,+C175/C176)</f>
        <v>1</v>
      </c>
      <c r="D219" s="177">
        <f t="shared" si="113"/>
        <v>0.99987593688310805</v>
      </c>
      <c r="E219" s="177">
        <f t="shared" si="113"/>
        <v>0.99996083111765899</v>
      </c>
      <c r="F219" s="177">
        <f t="shared" si="113"/>
        <v>0.99993576312944121</v>
      </c>
      <c r="G219" s="177">
        <f t="shared" si="113"/>
        <v>0.99973791570244797</v>
      </c>
      <c r="H219" s="177">
        <f t="shared" si="113"/>
        <v>1</v>
      </c>
      <c r="I219" s="177">
        <f t="shared" si="113"/>
        <v>1.0005449527798633</v>
      </c>
      <c r="J219" s="177">
        <f t="shared" si="113"/>
        <v>0.99954344659745076</v>
      </c>
      <c r="K219" s="177">
        <f t="shared" si="113"/>
        <v>1</v>
      </c>
      <c r="L219" s="598" t="e">
        <f>NA()</f>
        <v>#N/A</v>
      </c>
      <c r="M219" s="598" t="e">
        <f>NA()</f>
        <v>#N/A</v>
      </c>
      <c r="N219" s="598" t="e">
        <f>NA()</f>
        <v>#N/A</v>
      </c>
      <c r="O219" s="598" t="e">
        <f>NA()</f>
        <v>#N/A</v>
      </c>
      <c r="P219" s="598" t="e">
        <f>NA()</f>
        <v>#N/A</v>
      </c>
      <c r="Q219" s="598" t="e">
        <f>NA()</f>
        <v>#N/A</v>
      </c>
      <c r="R219" s="598" t="e">
        <f>NA()</f>
        <v>#N/A</v>
      </c>
      <c r="S219" s="598" t="e">
        <f>NA()</f>
        <v>#N/A</v>
      </c>
      <c r="T219" s="598" t="e">
        <f>NA()</f>
        <v>#N/A</v>
      </c>
      <c r="U219" s="598" t="e">
        <f>NA()</f>
        <v>#N/A</v>
      </c>
      <c r="V219" s="598" t="e">
        <f>NA()</f>
        <v>#N/A</v>
      </c>
      <c r="W219" s="598" t="e">
        <f>NA()</f>
        <v>#N/A</v>
      </c>
      <c r="X219" s="598" t="e">
        <f>NA()</f>
        <v>#N/A</v>
      </c>
      <c r="Y219" s="598" t="e">
        <f>NA()</f>
        <v>#N/A</v>
      </c>
      <c r="Z219" s="598" t="e">
        <f>NA()</f>
        <v>#N/A</v>
      </c>
      <c r="AA219" s="598" t="e">
        <f>NA()</f>
        <v>#N/A</v>
      </c>
      <c r="AB219" s="598" t="e">
        <f>NA()</f>
        <v>#N/A</v>
      </c>
      <c r="AC219" s="598" t="e">
        <f>NA()</f>
        <v>#N/A</v>
      </c>
      <c r="AD219" s="598" t="e">
        <f>NA()</f>
        <v>#N/A</v>
      </c>
      <c r="AE219" s="598" t="e">
        <f>NA()</f>
        <v>#N/A</v>
      </c>
      <c r="AF219" s="598" t="e">
        <f>NA()</f>
        <v>#N/A</v>
      </c>
      <c r="AG219" s="598" t="e">
        <f>NA()</f>
        <v>#N/A</v>
      </c>
      <c r="AH219" s="598" t="e">
        <f>NA()</f>
        <v>#N/A</v>
      </c>
      <c r="AI219" s="598" t="e">
        <f>NA()</f>
        <v>#N/A</v>
      </c>
      <c r="AJ219" s="598" t="e">
        <f>NA()</f>
        <v>#N/A</v>
      </c>
      <c r="AK219" s="598" t="e">
        <f>NA()</f>
        <v>#N/A</v>
      </c>
      <c r="AL219" s="598" t="e">
        <f>NA()</f>
        <v>#N/A</v>
      </c>
      <c r="AM219" s="212"/>
      <c r="AN219" s="212"/>
    </row>
    <row r="220" spans="1:40" x14ac:dyDescent="0.2">
      <c r="A220" s="568" t="s">
        <v>1047</v>
      </c>
      <c r="B220" s="7"/>
      <c r="C220" s="177">
        <f t="shared" ref="C220:J220" si="114">IF(C177=0,0,+C176/C177)</f>
        <v>0.99987533851521326</v>
      </c>
      <c r="D220" s="177">
        <f t="shared" si="114"/>
        <v>0.99713861214799493</v>
      </c>
      <c r="E220" s="177">
        <f t="shared" si="114"/>
        <v>0.99994050442933591</v>
      </c>
      <c r="F220" s="177">
        <f t="shared" si="114"/>
        <v>0.99982820907639447</v>
      </c>
      <c r="G220" s="177">
        <f t="shared" si="114"/>
        <v>1</v>
      </c>
      <c r="H220" s="177">
        <f t="shared" si="114"/>
        <v>1</v>
      </c>
      <c r="I220" s="177">
        <f t="shared" si="114"/>
        <v>0.99974459991365638</v>
      </c>
      <c r="J220" s="177">
        <f t="shared" si="114"/>
        <v>0.99995695300735787</v>
      </c>
      <c r="K220" s="598" t="e">
        <f>NA()</f>
        <v>#N/A</v>
      </c>
      <c r="L220" s="598" t="e">
        <f>NA()</f>
        <v>#N/A</v>
      </c>
      <c r="M220" s="598" t="e">
        <f>NA()</f>
        <v>#N/A</v>
      </c>
      <c r="N220" s="598" t="e">
        <f>NA()</f>
        <v>#N/A</v>
      </c>
      <c r="O220" s="598" t="e">
        <f>NA()</f>
        <v>#N/A</v>
      </c>
      <c r="P220" s="598" t="e">
        <f>NA()</f>
        <v>#N/A</v>
      </c>
      <c r="Q220" s="598" t="e">
        <f>NA()</f>
        <v>#N/A</v>
      </c>
      <c r="R220" s="598" t="e">
        <f>NA()</f>
        <v>#N/A</v>
      </c>
      <c r="S220" s="598" t="e">
        <f>NA()</f>
        <v>#N/A</v>
      </c>
      <c r="T220" s="598" t="e">
        <f>NA()</f>
        <v>#N/A</v>
      </c>
      <c r="U220" s="598" t="e">
        <f>NA()</f>
        <v>#N/A</v>
      </c>
      <c r="V220" s="598" t="e">
        <f>NA()</f>
        <v>#N/A</v>
      </c>
      <c r="W220" s="598" t="e">
        <f>NA()</f>
        <v>#N/A</v>
      </c>
      <c r="X220" s="598" t="e">
        <f>NA()</f>
        <v>#N/A</v>
      </c>
      <c r="Y220" s="598" t="e">
        <f>NA()</f>
        <v>#N/A</v>
      </c>
      <c r="Z220" s="598" t="e">
        <f>NA()</f>
        <v>#N/A</v>
      </c>
      <c r="AA220" s="598" t="e">
        <f>NA()</f>
        <v>#N/A</v>
      </c>
      <c r="AB220" s="598" t="e">
        <f>NA()</f>
        <v>#N/A</v>
      </c>
      <c r="AC220" s="598" t="e">
        <f>NA()</f>
        <v>#N/A</v>
      </c>
      <c r="AD220" s="598" t="e">
        <f>NA()</f>
        <v>#N/A</v>
      </c>
      <c r="AE220" s="598" t="e">
        <f>NA()</f>
        <v>#N/A</v>
      </c>
      <c r="AF220" s="598" t="e">
        <f>NA()</f>
        <v>#N/A</v>
      </c>
      <c r="AG220" s="598" t="e">
        <f>NA()</f>
        <v>#N/A</v>
      </c>
      <c r="AH220" s="598" t="e">
        <f>NA()</f>
        <v>#N/A</v>
      </c>
      <c r="AI220" s="598" t="e">
        <f>NA()</f>
        <v>#N/A</v>
      </c>
      <c r="AJ220" s="598" t="e">
        <f>NA()</f>
        <v>#N/A</v>
      </c>
      <c r="AK220" s="598" t="e">
        <f>NA()</f>
        <v>#N/A</v>
      </c>
      <c r="AL220" s="598" t="e">
        <f>NA()</f>
        <v>#N/A</v>
      </c>
      <c r="AM220" s="212"/>
      <c r="AN220" s="212"/>
    </row>
    <row r="221" spans="1:40" x14ac:dyDescent="0.2">
      <c r="A221" s="568" t="s">
        <v>1048</v>
      </c>
      <c r="B221" s="7"/>
      <c r="C221" s="177">
        <f t="shared" ref="C221:I221" si="115">IF(C178=0,0,+C177/C178)</f>
        <v>0.99967941744629885</v>
      </c>
      <c r="D221" s="177">
        <f t="shared" si="115"/>
        <v>0.99985224134505724</v>
      </c>
      <c r="E221" s="177">
        <f t="shared" si="115"/>
        <v>0.99965417453059813</v>
      </c>
      <c r="F221" s="177">
        <f t="shared" si="115"/>
        <v>0.99996535061762992</v>
      </c>
      <c r="G221" s="177">
        <f t="shared" si="115"/>
        <v>0.99998304079196143</v>
      </c>
      <c r="H221" s="177">
        <f t="shared" si="115"/>
        <v>0.99963446720778848</v>
      </c>
      <c r="I221" s="177">
        <f t="shared" si="115"/>
        <v>1</v>
      </c>
      <c r="J221" s="598" t="e">
        <f>NA()</f>
        <v>#N/A</v>
      </c>
      <c r="K221" s="598" t="e">
        <f>NA()</f>
        <v>#N/A</v>
      </c>
      <c r="L221" s="598" t="e">
        <f>NA()</f>
        <v>#N/A</v>
      </c>
      <c r="M221" s="598" t="e">
        <f>NA()</f>
        <v>#N/A</v>
      </c>
      <c r="N221" s="598" t="e">
        <f>NA()</f>
        <v>#N/A</v>
      </c>
      <c r="O221" s="598" t="e">
        <f>NA()</f>
        <v>#N/A</v>
      </c>
      <c r="P221" s="598" t="e">
        <f>NA()</f>
        <v>#N/A</v>
      </c>
      <c r="Q221" s="598" t="e">
        <f>NA()</f>
        <v>#N/A</v>
      </c>
      <c r="R221" s="598" t="e">
        <f>NA()</f>
        <v>#N/A</v>
      </c>
      <c r="S221" s="598" t="e">
        <f>NA()</f>
        <v>#N/A</v>
      </c>
      <c r="T221" s="598" t="e">
        <f>NA()</f>
        <v>#N/A</v>
      </c>
      <c r="U221" s="598" t="e">
        <f>NA()</f>
        <v>#N/A</v>
      </c>
      <c r="V221" s="598" t="e">
        <f>NA()</f>
        <v>#N/A</v>
      </c>
      <c r="W221" s="598" t="e">
        <f>NA()</f>
        <v>#N/A</v>
      </c>
      <c r="X221" s="598" t="e">
        <f>NA()</f>
        <v>#N/A</v>
      </c>
      <c r="Y221" s="598" t="e">
        <f>NA()</f>
        <v>#N/A</v>
      </c>
      <c r="Z221" s="598" t="e">
        <f>NA()</f>
        <v>#N/A</v>
      </c>
      <c r="AA221" s="598" t="e">
        <f>NA()</f>
        <v>#N/A</v>
      </c>
      <c r="AB221" s="598" t="e">
        <f>NA()</f>
        <v>#N/A</v>
      </c>
      <c r="AC221" s="598" t="e">
        <f>NA()</f>
        <v>#N/A</v>
      </c>
      <c r="AD221" s="598" t="e">
        <f>NA()</f>
        <v>#N/A</v>
      </c>
      <c r="AE221" s="598" t="e">
        <f>NA()</f>
        <v>#N/A</v>
      </c>
      <c r="AF221" s="598" t="e">
        <f>NA()</f>
        <v>#N/A</v>
      </c>
      <c r="AG221" s="598" t="e">
        <f>NA()</f>
        <v>#N/A</v>
      </c>
      <c r="AH221" s="598" t="e">
        <f>NA()</f>
        <v>#N/A</v>
      </c>
      <c r="AI221" s="598" t="e">
        <f>NA()</f>
        <v>#N/A</v>
      </c>
      <c r="AJ221" s="598" t="e">
        <f>NA()</f>
        <v>#N/A</v>
      </c>
      <c r="AK221" s="598" t="e">
        <f>NA()</f>
        <v>#N/A</v>
      </c>
      <c r="AL221" s="598" t="e">
        <f>NA()</f>
        <v>#N/A</v>
      </c>
      <c r="AM221" s="212"/>
      <c r="AN221" s="212"/>
    </row>
    <row r="222" spans="1:40" x14ac:dyDescent="0.2">
      <c r="A222" s="568" t="s">
        <v>1049</v>
      </c>
      <c r="B222" s="7"/>
      <c r="C222" s="177">
        <f t="shared" ref="C222:H222" si="116">IF(C179=0,0,+C178/C179)</f>
        <v>0.99986556192017939</v>
      </c>
      <c r="D222" s="177">
        <f t="shared" si="116"/>
        <v>0.99976789489047346</v>
      </c>
      <c r="E222" s="177">
        <f t="shared" si="116"/>
        <v>1</v>
      </c>
      <c r="F222" s="177">
        <f t="shared" si="116"/>
        <v>0.99991317705179528</v>
      </c>
      <c r="G222" s="177">
        <f t="shared" si="116"/>
        <v>0.99956864860705186</v>
      </c>
      <c r="H222" s="177">
        <f t="shared" si="116"/>
        <v>1</v>
      </c>
      <c r="I222" s="598" t="e">
        <f>NA()</f>
        <v>#N/A</v>
      </c>
      <c r="J222" s="598" t="e">
        <f>NA()</f>
        <v>#N/A</v>
      </c>
      <c r="K222" s="598" t="e">
        <f>NA()</f>
        <v>#N/A</v>
      </c>
      <c r="L222" s="598" t="e">
        <f>NA()</f>
        <v>#N/A</v>
      </c>
      <c r="M222" s="598" t="e">
        <f>NA()</f>
        <v>#N/A</v>
      </c>
      <c r="N222" s="598" t="e">
        <f>NA()</f>
        <v>#N/A</v>
      </c>
      <c r="O222" s="598" t="e">
        <f>NA()</f>
        <v>#N/A</v>
      </c>
      <c r="P222" s="598" t="e">
        <f>NA()</f>
        <v>#N/A</v>
      </c>
      <c r="Q222" s="598" t="e">
        <f>NA()</f>
        <v>#N/A</v>
      </c>
      <c r="R222" s="598" t="e">
        <f>NA()</f>
        <v>#N/A</v>
      </c>
      <c r="S222" s="598" t="e">
        <f>NA()</f>
        <v>#N/A</v>
      </c>
      <c r="T222" s="598" t="e">
        <f>NA()</f>
        <v>#N/A</v>
      </c>
      <c r="U222" s="598" t="e">
        <f>NA()</f>
        <v>#N/A</v>
      </c>
      <c r="V222" s="598" t="e">
        <f>NA()</f>
        <v>#N/A</v>
      </c>
      <c r="W222" s="598" t="e">
        <f>NA()</f>
        <v>#N/A</v>
      </c>
      <c r="X222" s="598" t="e">
        <f>NA()</f>
        <v>#N/A</v>
      </c>
      <c r="Y222" s="598" t="e">
        <f>NA()</f>
        <v>#N/A</v>
      </c>
      <c r="Z222" s="598" t="e">
        <f>NA()</f>
        <v>#N/A</v>
      </c>
      <c r="AA222" s="598" t="e">
        <f>NA()</f>
        <v>#N/A</v>
      </c>
      <c r="AB222" s="598" t="e">
        <f>NA()</f>
        <v>#N/A</v>
      </c>
      <c r="AC222" s="598" t="e">
        <f>NA()</f>
        <v>#N/A</v>
      </c>
      <c r="AD222" s="598" t="e">
        <f>NA()</f>
        <v>#N/A</v>
      </c>
      <c r="AE222" s="598" t="e">
        <f>NA()</f>
        <v>#N/A</v>
      </c>
      <c r="AF222" s="598" t="e">
        <f>NA()</f>
        <v>#N/A</v>
      </c>
      <c r="AG222" s="598" t="e">
        <f>NA()</f>
        <v>#N/A</v>
      </c>
      <c r="AH222" s="598" t="e">
        <f>NA()</f>
        <v>#N/A</v>
      </c>
      <c r="AI222" s="598" t="e">
        <f>NA()</f>
        <v>#N/A</v>
      </c>
      <c r="AJ222" s="598" t="e">
        <f>NA()</f>
        <v>#N/A</v>
      </c>
      <c r="AK222" s="598" t="e">
        <f>NA()</f>
        <v>#N/A</v>
      </c>
      <c r="AL222" s="598" t="e">
        <f>NA()</f>
        <v>#N/A</v>
      </c>
      <c r="AM222" s="212"/>
      <c r="AN222" s="212"/>
    </row>
    <row r="223" spans="1:40" x14ac:dyDescent="0.2">
      <c r="A223" s="568" t="s">
        <v>1050</v>
      </c>
      <c r="B223" s="7"/>
      <c r="C223" s="177">
        <f t="shared" ref="C223:G223" si="117">IF(C180=0,0,+C179/C180)</f>
        <v>1</v>
      </c>
      <c r="D223" s="177">
        <f t="shared" si="117"/>
        <v>1.0000184987377214</v>
      </c>
      <c r="E223" s="177">
        <f t="shared" si="117"/>
        <v>0.99988089077295883</v>
      </c>
      <c r="F223" s="177">
        <f t="shared" si="117"/>
        <v>0.99931331068624873</v>
      </c>
      <c r="G223" s="177">
        <f t="shared" si="117"/>
        <v>0.99990084895020281</v>
      </c>
      <c r="H223" s="598" t="e">
        <f>NA()</f>
        <v>#N/A</v>
      </c>
      <c r="I223" s="598" t="e">
        <f>NA()</f>
        <v>#N/A</v>
      </c>
      <c r="J223" s="598" t="e">
        <f>NA()</f>
        <v>#N/A</v>
      </c>
      <c r="K223" s="598" t="e">
        <f>NA()</f>
        <v>#N/A</v>
      </c>
      <c r="L223" s="598" t="e">
        <f>NA()</f>
        <v>#N/A</v>
      </c>
      <c r="M223" s="598" t="e">
        <f>NA()</f>
        <v>#N/A</v>
      </c>
      <c r="N223" s="598" t="e">
        <f>NA()</f>
        <v>#N/A</v>
      </c>
      <c r="O223" s="598" t="e">
        <f>NA()</f>
        <v>#N/A</v>
      </c>
      <c r="P223" s="598" t="e">
        <f>NA()</f>
        <v>#N/A</v>
      </c>
      <c r="Q223" s="598" t="e">
        <f>NA()</f>
        <v>#N/A</v>
      </c>
      <c r="R223" s="598" t="e">
        <f>NA()</f>
        <v>#N/A</v>
      </c>
      <c r="S223" s="598" t="e">
        <f>NA()</f>
        <v>#N/A</v>
      </c>
      <c r="T223" s="598" t="e">
        <f>NA()</f>
        <v>#N/A</v>
      </c>
      <c r="U223" s="598" t="e">
        <f>NA()</f>
        <v>#N/A</v>
      </c>
      <c r="V223" s="598" t="e">
        <f>NA()</f>
        <v>#N/A</v>
      </c>
      <c r="W223" s="598" t="e">
        <f>NA()</f>
        <v>#N/A</v>
      </c>
      <c r="X223" s="598" t="e">
        <f>NA()</f>
        <v>#N/A</v>
      </c>
      <c r="Y223" s="598" t="e">
        <f>NA()</f>
        <v>#N/A</v>
      </c>
      <c r="Z223" s="598" t="e">
        <f>NA()</f>
        <v>#N/A</v>
      </c>
      <c r="AA223" s="598" t="e">
        <f>NA()</f>
        <v>#N/A</v>
      </c>
      <c r="AB223" s="598" t="e">
        <f>NA()</f>
        <v>#N/A</v>
      </c>
      <c r="AC223" s="598" t="e">
        <f>NA()</f>
        <v>#N/A</v>
      </c>
      <c r="AD223" s="598" t="e">
        <f>NA()</f>
        <v>#N/A</v>
      </c>
      <c r="AE223" s="598" t="e">
        <f>NA()</f>
        <v>#N/A</v>
      </c>
      <c r="AF223" s="598" t="e">
        <f>NA()</f>
        <v>#N/A</v>
      </c>
      <c r="AG223" s="598" t="e">
        <f>NA()</f>
        <v>#N/A</v>
      </c>
      <c r="AH223" s="598" t="e">
        <f>NA()</f>
        <v>#N/A</v>
      </c>
      <c r="AI223" s="598" t="e">
        <f>NA()</f>
        <v>#N/A</v>
      </c>
      <c r="AJ223" s="598" t="e">
        <f>NA()</f>
        <v>#N/A</v>
      </c>
      <c r="AK223" s="598" t="e">
        <f>NA()</f>
        <v>#N/A</v>
      </c>
      <c r="AL223" s="598" t="e">
        <f>NA()</f>
        <v>#N/A</v>
      </c>
      <c r="AM223" s="212"/>
      <c r="AN223" s="212"/>
    </row>
    <row r="224" spans="1:40" x14ac:dyDescent="0.2">
      <c r="A224" s="568" t="s">
        <v>1051</v>
      </c>
      <c r="B224" s="7"/>
      <c r="C224" s="177">
        <f t="shared" ref="C224:F224" si="118">IF(C181=0,0,+C180/C181)</f>
        <v>1</v>
      </c>
      <c r="D224" s="177">
        <f t="shared" si="118"/>
        <v>0.99982387201242429</v>
      </c>
      <c r="E224" s="177">
        <f t="shared" si="118"/>
        <v>0.9991202415844026</v>
      </c>
      <c r="F224" s="177">
        <f t="shared" si="118"/>
        <v>0.99994810002368684</v>
      </c>
      <c r="G224" s="598" t="e">
        <f>NA()</f>
        <v>#N/A</v>
      </c>
      <c r="H224" s="598" t="e">
        <f>NA()</f>
        <v>#N/A</v>
      </c>
      <c r="I224" s="598" t="e">
        <f>NA()</f>
        <v>#N/A</v>
      </c>
      <c r="J224" s="598" t="e">
        <f>NA()</f>
        <v>#N/A</v>
      </c>
      <c r="K224" s="598" t="e">
        <f>NA()</f>
        <v>#N/A</v>
      </c>
      <c r="L224" s="598" t="e">
        <f>NA()</f>
        <v>#N/A</v>
      </c>
      <c r="M224" s="598" t="e">
        <f>NA()</f>
        <v>#N/A</v>
      </c>
      <c r="N224" s="598" t="e">
        <f>NA()</f>
        <v>#N/A</v>
      </c>
      <c r="O224" s="598" t="e">
        <f>NA()</f>
        <v>#N/A</v>
      </c>
      <c r="P224" s="598" t="e">
        <f>NA()</f>
        <v>#N/A</v>
      </c>
      <c r="Q224" s="598" t="e">
        <f>NA()</f>
        <v>#N/A</v>
      </c>
      <c r="R224" s="598" t="e">
        <f>NA()</f>
        <v>#N/A</v>
      </c>
      <c r="S224" s="598" t="e">
        <f>NA()</f>
        <v>#N/A</v>
      </c>
      <c r="T224" s="598" t="e">
        <f>NA()</f>
        <v>#N/A</v>
      </c>
      <c r="U224" s="598" t="e">
        <f>NA()</f>
        <v>#N/A</v>
      </c>
      <c r="V224" s="598" t="e">
        <f>NA()</f>
        <v>#N/A</v>
      </c>
      <c r="W224" s="598" t="e">
        <f>NA()</f>
        <v>#N/A</v>
      </c>
      <c r="X224" s="598" t="e">
        <f>NA()</f>
        <v>#N/A</v>
      </c>
      <c r="Y224" s="598" t="e">
        <f>NA()</f>
        <v>#N/A</v>
      </c>
      <c r="Z224" s="598" t="e">
        <f>NA()</f>
        <v>#N/A</v>
      </c>
      <c r="AA224" s="598" t="e">
        <f>NA()</f>
        <v>#N/A</v>
      </c>
      <c r="AB224" s="598" t="e">
        <f>NA()</f>
        <v>#N/A</v>
      </c>
      <c r="AC224" s="598" t="e">
        <f>NA()</f>
        <v>#N/A</v>
      </c>
      <c r="AD224" s="598" t="e">
        <f>NA()</f>
        <v>#N/A</v>
      </c>
      <c r="AE224" s="598" t="e">
        <f>NA()</f>
        <v>#N/A</v>
      </c>
      <c r="AF224" s="598" t="e">
        <f>NA()</f>
        <v>#N/A</v>
      </c>
      <c r="AG224" s="598" t="e">
        <f>NA()</f>
        <v>#N/A</v>
      </c>
      <c r="AH224" s="598" t="e">
        <f>NA()</f>
        <v>#N/A</v>
      </c>
      <c r="AI224" s="598" t="e">
        <f>NA()</f>
        <v>#N/A</v>
      </c>
      <c r="AJ224" s="598" t="e">
        <f>NA()</f>
        <v>#N/A</v>
      </c>
      <c r="AK224" s="598" t="e">
        <f>NA()</f>
        <v>#N/A</v>
      </c>
      <c r="AL224" s="598" t="e">
        <f>NA()</f>
        <v>#N/A</v>
      </c>
      <c r="AM224" s="212"/>
      <c r="AN224" s="212"/>
    </row>
    <row r="225" spans="1:40" x14ac:dyDescent="0.2">
      <c r="A225" s="568" t="s">
        <v>1052</v>
      </c>
      <c r="B225" s="7"/>
      <c r="C225" s="177">
        <f t="shared" ref="C225:E225" si="119">IF(C182=0,0,+C181/C182)</f>
        <v>0.99989587196944252</v>
      </c>
      <c r="D225" s="177">
        <f t="shared" si="119"/>
        <v>0.99982002673567116</v>
      </c>
      <c r="E225" s="177">
        <f t="shared" si="119"/>
        <v>1</v>
      </c>
      <c r="F225" s="598" t="e">
        <f>NA()</f>
        <v>#N/A</v>
      </c>
      <c r="G225" s="598" t="e">
        <f>NA()</f>
        <v>#N/A</v>
      </c>
      <c r="H225" s="598" t="e">
        <f>NA()</f>
        <v>#N/A</v>
      </c>
      <c r="I225" s="598" t="e">
        <f>NA()</f>
        <v>#N/A</v>
      </c>
      <c r="J225" s="598" t="e">
        <f>NA()</f>
        <v>#N/A</v>
      </c>
      <c r="K225" s="598" t="e">
        <f>NA()</f>
        <v>#N/A</v>
      </c>
      <c r="L225" s="598" t="e">
        <f>NA()</f>
        <v>#N/A</v>
      </c>
      <c r="M225" s="598" t="e">
        <f>NA()</f>
        <v>#N/A</v>
      </c>
      <c r="N225" s="598" t="e">
        <f>NA()</f>
        <v>#N/A</v>
      </c>
      <c r="O225" s="598" t="e">
        <f>NA()</f>
        <v>#N/A</v>
      </c>
      <c r="P225" s="598" t="e">
        <f>NA()</f>
        <v>#N/A</v>
      </c>
      <c r="Q225" s="598" t="e">
        <f>NA()</f>
        <v>#N/A</v>
      </c>
      <c r="R225" s="598" t="e">
        <f>NA()</f>
        <v>#N/A</v>
      </c>
      <c r="S225" s="598" t="e">
        <f>NA()</f>
        <v>#N/A</v>
      </c>
      <c r="T225" s="598" t="e">
        <f>NA()</f>
        <v>#N/A</v>
      </c>
      <c r="U225" s="598" t="e">
        <f>NA()</f>
        <v>#N/A</v>
      </c>
      <c r="V225" s="598" t="e">
        <f>NA()</f>
        <v>#N/A</v>
      </c>
      <c r="W225" s="598" t="e">
        <f>NA()</f>
        <v>#N/A</v>
      </c>
      <c r="X225" s="598" t="e">
        <f>NA()</f>
        <v>#N/A</v>
      </c>
      <c r="Y225" s="598" t="e">
        <f>NA()</f>
        <v>#N/A</v>
      </c>
      <c r="Z225" s="598" t="e">
        <f>NA()</f>
        <v>#N/A</v>
      </c>
      <c r="AA225" s="598" t="e">
        <f>NA()</f>
        <v>#N/A</v>
      </c>
      <c r="AB225" s="598" t="e">
        <f>NA()</f>
        <v>#N/A</v>
      </c>
      <c r="AC225" s="598" t="e">
        <f>NA()</f>
        <v>#N/A</v>
      </c>
      <c r="AD225" s="598" t="e">
        <f>NA()</f>
        <v>#N/A</v>
      </c>
      <c r="AE225" s="598" t="e">
        <f>NA()</f>
        <v>#N/A</v>
      </c>
      <c r="AF225" s="598" t="e">
        <f>NA()</f>
        <v>#N/A</v>
      </c>
      <c r="AG225" s="598" t="e">
        <f>NA()</f>
        <v>#N/A</v>
      </c>
      <c r="AH225" s="598" t="e">
        <f>NA()</f>
        <v>#N/A</v>
      </c>
      <c r="AI225" s="598" t="e">
        <f>NA()</f>
        <v>#N/A</v>
      </c>
      <c r="AJ225" s="598" t="e">
        <f>NA()</f>
        <v>#N/A</v>
      </c>
      <c r="AK225" s="598" t="e">
        <f>NA()</f>
        <v>#N/A</v>
      </c>
      <c r="AL225" s="598" t="e">
        <f>NA()</f>
        <v>#N/A</v>
      </c>
      <c r="AM225" s="212"/>
      <c r="AN225" s="212"/>
    </row>
    <row r="226" spans="1:40" x14ac:dyDescent="0.2">
      <c r="A226" s="568" t="s">
        <v>1053</v>
      </c>
      <c r="B226" s="7"/>
      <c r="C226" s="177">
        <f t="shared" ref="C226:D226" si="120">IF(C183=0,0,+C182/C183)</f>
        <v>0.99995367558525583</v>
      </c>
      <c r="D226" s="177">
        <f t="shared" si="120"/>
        <v>1</v>
      </c>
      <c r="E226" s="598" t="e">
        <f>NA()</f>
        <v>#N/A</v>
      </c>
      <c r="F226" s="598" t="e">
        <f>NA()</f>
        <v>#N/A</v>
      </c>
      <c r="G226" s="598" t="e">
        <f>NA()</f>
        <v>#N/A</v>
      </c>
      <c r="H226" s="598" t="e">
        <f>NA()</f>
        <v>#N/A</v>
      </c>
      <c r="I226" s="598" t="e">
        <f>NA()</f>
        <v>#N/A</v>
      </c>
      <c r="J226" s="598" t="e">
        <f>NA()</f>
        <v>#N/A</v>
      </c>
      <c r="K226" s="598" t="e">
        <f>NA()</f>
        <v>#N/A</v>
      </c>
      <c r="L226" s="598" t="e">
        <f>NA()</f>
        <v>#N/A</v>
      </c>
      <c r="M226" s="598" t="e">
        <f>NA()</f>
        <v>#N/A</v>
      </c>
      <c r="N226" s="598" t="e">
        <f>NA()</f>
        <v>#N/A</v>
      </c>
      <c r="O226" s="598" t="e">
        <f>NA()</f>
        <v>#N/A</v>
      </c>
      <c r="P226" s="598" t="e">
        <f>NA()</f>
        <v>#N/A</v>
      </c>
      <c r="Q226" s="598" t="e">
        <f>NA()</f>
        <v>#N/A</v>
      </c>
      <c r="R226" s="598" t="e">
        <f>NA()</f>
        <v>#N/A</v>
      </c>
      <c r="S226" s="598" t="e">
        <f>NA()</f>
        <v>#N/A</v>
      </c>
      <c r="T226" s="598" t="e">
        <f>NA()</f>
        <v>#N/A</v>
      </c>
      <c r="U226" s="598" t="e">
        <f>NA()</f>
        <v>#N/A</v>
      </c>
      <c r="V226" s="598" t="e">
        <f>NA()</f>
        <v>#N/A</v>
      </c>
      <c r="W226" s="598" t="e">
        <f>NA()</f>
        <v>#N/A</v>
      </c>
      <c r="X226" s="598" t="e">
        <f>NA()</f>
        <v>#N/A</v>
      </c>
      <c r="Y226" s="598" t="e">
        <f>NA()</f>
        <v>#N/A</v>
      </c>
      <c r="Z226" s="598" t="e">
        <f>NA()</f>
        <v>#N/A</v>
      </c>
      <c r="AA226" s="598" t="e">
        <f>NA()</f>
        <v>#N/A</v>
      </c>
      <c r="AB226" s="598" t="e">
        <f>NA()</f>
        <v>#N/A</v>
      </c>
      <c r="AC226" s="598" t="e">
        <f>NA()</f>
        <v>#N/A</v>
      </c>
      <c r="AD226" s="598" t="e">
        <f>NA()</f>
        <v>#N/A</v>
      </c>
      <c r="AE226" s="598" t="e">
        <f>NA()</f>
        <v>#N/A</v>
      </c>
      <c r="AF226" s="598" t="e">
        <f>NA()</f>
        <v>#N/A</v>
      </c>
      <c r="AG226" s="598" t="e">
        <f>NA()</f>
        <v>#N/A</v>
      </c>
      <c r="AH226" s="598" t="e">
        <f>NA()</f>
        <v>#N/A</v>
      </c>
      <c r="AI226" s="598" t="e">
        <f>NA()</f>
        <v>#N/A</v>
      </c>
      <c r="AJ226" s="598" t="e">
        <f>NA()</f>
        <v>#N/A</v>
      </c>
      <c r="AK226" s="598" t="e">
        <f>NA()</f>
        <v>#N/A</v>
      </c>
      <c r="AL226" s="598" t="e">
        <f>NA()</f>
        <v>#N/A</v>
      </c>
      <c r="AM226" s="212"/>
      <c r="AN226" s="212"/>
    </row>
    <row r="227" spans="1:40" x14ac:dyDescent="0.2">
      <c r="A227" s="568" t="s">
        <v>1054</v>
      </c>
      <c r="B227" s="7"/>
      <c r="C227" s="177">
        <f t="shared" ref="C227" si="121">IF(C184=0,0,+C183/C184)</f>
        <v>0.99997437072950102</v>
      </c>
      <c r="D227" s="598" t="e">
        <f>NA()</f>
        <v>#N/A</v>
      </c>
      <c r="E227" s="598" t="e">
        <f>NA()</f>
        <v>#N/A</v>
      </c>
      <c r="F227" s="598" t="e">
        <f>NA()</f>
        <v>#N/A</v>
      </c>
      <c r="G227" s="598" t="e">
        <f>NA()</f>
        <v>#N/A</v>
      </c>
      <c r="H227" s="598" t="e">
        <f>NA()</f>
        <v>#N/A</v>
      </c>
      <c r="I227" s="598" t="e">
        <f>NA()</f>
        <v>#N/A</v>
      </c>
      <c r="J227" s="598" t="e">
        <f>NA()</f>
        <v>#N/A</v>
      </c>
      <c r="K227" s="598" t="e">
        <f>NA()</f>
        <v>#N/A</v>
      </c>
      <c r="L227" s="598" t="e">
        <f>NA()</f>
        <v>#N/A</v>
      </c>
      <c r="M227" s="598" t="e">
        <f>NA()</f>
        <v>#N/A</v>
      </c>
      <c r="N227" s="598" t="e">
        <f>NA()</f>
        <v>#N/A</v>
      </c>
      <c r="O227" s="598" t="e">
        <f>NA()</f>
        <v>#N/A</v>
      </c>
      <c r="P227" s="598" t="e">
        <f>NA()</f>
        <v>#N/A</v>
      </c>
      <c r="Q227" s="598" t="e">
        <f>NA()</f>
        <v>#N/A</v>
      </c>
      <c r="R227" s="598" t="e">
        <f>NA()</f>
        <v>#N/A</v>
      </c>
      <c r="S227" s="598" t="e">
        <f>NA()</f>
        <v>#N/A</v>
      </c>
      <c r="T227" s="598" t="e">
        <f>NA()</f>
        <v>#N/A</v>
      </c>
      <c r="U227" s="598" t="e">
        <f>NA()</f>
        <v>#N/A</v>
      </c>
      <c r="V227" s="598" t="e">
        <f>NA()</f>
        <v>#N/A</v>
      </c>
      <c r="W227" s="598" t="e">
        <f>NA()</f>
        <v>#N/A</v>
      </c>
      <c r="X227" s="598" t="e">
        <f>NA()</f>
        <v>#N/A</v>
      </c>
      <c r="Y227" s="598" t="e">
        <f>NA()</f>
        <v>#N/A</v>
      </c>
      <c r="Z227" s="598" t="e">
        <f>NA()</f>
        <v>#N/A</v>
      </c>
      <c r="AA227" s="598" t="e">
        <f>NA()</f>
        <v>#N/A</v>
      </c>
      <c r="AB227" s="598" t="e">
        <f>NA()</f>
        <v>#N/A</v>
      </c>
      <c r="AC227" s="598" t="e">
        <f>NA()</f>
        <v>#N/A</v>
      </c>
      <c r="AD227" s="598" t="e">
        <f>NA()</f>
        <v>#N/A</v>
      </c>
      <c r="AE227" s="598" t="e">
        <f>NA()</f>
        <v>#N/A</v>
      </c>
      <c r="AF227" s="598" t="e">
        <f>NA()</f>
        <v>#N/A</v>
      </c>
      <c r="AG227" s="598" t="e">
        <f>NA()</f>
        <v>#N/A</v>
      </c>
      <c r="AH227" s="598" t="e">
        <f>NA()</f>
        <v>#N/A</v>
      </c>
      <c r="AI227" s="598" t="e">
        <f>NA()</f>
        <v>#N/A</v>
      </c>
      <c r="AJ227" s="598" t="e">
        <f>NA()</f>
        <v>#N/A</v>
      </c>
      <c r="AK227" s="598" t="e">
        <f>NA()</f>
        <v>#N/A</v>
      </c>
      <c r="AL227" s="598" t="e">
        <f>NA()</f>
        <v>#N/A</v>
      </c>
      <c r="AM227" s="212"/>
      <c r="AN227" s="212"/>
    </row>
    <row r="228" spans="1:40" x14ac:dyDescent="0.2">
      <c r="C228" s="596"/>
      <c r="D228" s="596"/>
      <c r="E228" s="596"/>
      <c r="F228" s="596"/>
      <c r="G228" s="596"/>
      <c r="H228" s="596"/>
      <c r="I228" s="596"/>
      <c r="J228" s="596"/>
      <c r="K228" s="596"/>
      <c r="L228" s="596"/>
      <c r="M228" s="596"/>
      <c r="N228" s="596"/>
      <c r="O228" s="596"/>
      <c r="P228" s="597"/>
      <c r="Q228" s="597"/>
      <c r="R228" s="597"/>
      <c r="S228" s="597"/>
      <c r="T228" s="597"/>
      <c r="U228" s="597"/>
      <c r="V228" s="597"/>
      <c r="W228" s="597"/>
      <c r="X228" s="597"/>
      <c r="Y228" s="597"/>
      <c r="Z228" s="597"/>
      <c r="AA228" s="597"/>
      <c r="AB228" s="597"/>
      <c r="AC228" s="597"/>
      <c r="AD228" s="597"/>
      <c r="AE228" s="597"/>
      <c r="AF228" s="597"/>
      <c r="AG228" s="597"/>
      <c r="AH228" s="597"/>
      <c r="AI228" s="597"/>
      <c r="AJ228" s="597"/>
      <c r="AK228" s="597"/>
      <c r="AL228" s="597"/>
      <c r="AM228" s="212"/>
      <c r="AN228" s="212"/>
    </row>
    <row r="229" spans="1:40" x14ac:dyDescent="0.2">
      <c r="AM229" s="212"/>
      <c r="AN229" s="212"/>
    </row>
    <row r="230" spans="1:40" x14ac:dyDescent="0.2">
      <c r="A230" s="3" t="str">
        <f>+$C$1</f>
        <v>Allied Pacific (APC Commerical)</v>
      </c>
      <c r="K230" s="7" t="s">
        <v>478</v>
      </c>
      <c r="L230" s="7"/>
      <c r="M230" s="7">
        <f>+Numbmos</f>
        <v>36</v>
      </c>
      <c r="V230" s="3" t="str">
        <f>+$C$1</f>
        <v>Allied Pacific (APC Commerical)</v>
      </c>
      <c r="AM230" s="212"/>
      <c r="AN230" s="212"/>
    </row>
    <row r="231" spans="1:40" x14ac:dyDescent="0.2">
      <c r="A231" s="1" t="s">
        <v>443</v>
      </c>
      <c r="V231" s="1" t="s">
        <v>443</v>
      </c>
      <c r="AF231" s="208" t="s">
        <v>484</v>
      </c>
      <c r="AM231" s="212"/>
      <c r="AN231" s="212"/>
    </row>
    <row r="232" spans="1:40" x14ac:dyDescent="0.2">
      <c r="C232" t="s">
        <v>49</v>
      </c>
      <c r="AM232" s="212"/>
      <c r="AN232" s="212"/>
    </row>
    <row r="233" spans="1:40" x14ac:dyDescent="0.2">
      <c r="A233" t="s">
        <v>48</v>
      </c>
      <c r="G233" s="9"/>
      <c r="H233" s="12" t="s">
        <v>57</v>
      </c>
      <c r="I233" s="11"/>
      <c r="J233" s="9"/>
      <c r="K233" s="13"/>
      <c r="L233" s="13"/>
      <c r="M233" s="359" t="s">
        <v>735</v>
      </c>
      <c r="N233" s="10"/>
      <c r="O233" s="11"/>
      <c r="P233" s="9"/>
      <c r="Q233" s="13"/>
      <c r="R233" s="13"/>
      <c r="S233" s="13" t="s">
        <v>61</v>
      </c>
      <c r="T233" s="10"/>
      <c r="U233" s="11"/>
      <c r="V233" t="s">
        <v>48</v>
      </c>
      <c r="AB233" s="37" t="s">
        <v>52</v>
      </c>
      <c r="AC233" s="2" t="s">
        <v>51</v>
      </c>
      <c r="AD233" s="9"/>
      <c r="AE233" s="12" t="s">
        <v>57</v>
      </c>
      <c r="AF233" s="10"/>
      <c r="AM233" s="212"/>
      <c r="AN233" s="212"/>
    </row>
    <row r="234" spans="1:40" x14ac:dyDescent="0.2">
      <c r="C234" s="8" t="s">
        <v>53</v>
      </c>
      <c r="D234" s="8" t="s">
        <v>52</v>
      </c>
      <c r="E234" s="8" t="s">
        <v>51</v>
      </c>
      <c r="F234" s="8" t="s">
        <v>50</v>
      </c>
      <c r="G234" s="8" t="s">
        <v>54</v>
      </c>
      <c r="H234" s="8" t="s">
        <v>55</v>
      </c>
      <c r="I234" s="8" t="s">
        <v>56</v>
      </c>
      <c r="J234" s="18"/>
      <c r="K234" s="18" t="s">
        <v>712</v>
      </c>
      <c r="L234" s="18" t="s">
        <v>157</v>
      </c>
      <c r="M234" s="8" t="s">
        <v>58</v>
      </c>
      <c r="N234" s="8" t="s">
        <v>59</v>
      </c>
      <c r="O234" s="8" t="s">
        <v>60</v>
      </c>
      <c r="P234" s="18"/>
      <c r="Q234" s="18" t="s">
        <v>712</v>
      </c>
      <c r="R234" s="18" t="s">
        <v>157</v>
      </c>
      <c r="S234" s="8" t="s">
        <v>58</v>
      </c>
      <c r="T234" s="8" t="s">
        <v>59</v>
      </c>
      <c r="U234" s="8" t="s">
        <v>60</v>
      </c>
      <c r="X234" s="8" t="s">
        <v>53</v>
      </c>
      <c r="Y234" s="8" t="s">
        <v>52</v>
      </c>
      <c r="Z234" s="8" t="s">
        <v>51</v>
      </c>
      <c r="AA234" s="8" t="s">
        <v>50</v>
      </c>
      <c r="AB234" s="8" t="s">
        <v>60</v>
      </c>
      <c r="AC234" s="8" t="s">
        <v>60</v>
      </c>
      <c r="AD234" s="8" t="s">
        <v>54</v>
      </c>
      <c r="AE234" s="8" t="s">
        <v>55</v>
      </c>
      <c r="AF234" s="8" t="s">
        <v>56</v>
      </c>
      <c r="AM234" s="212"/>
      <c r="AN234" s="212"/>
    </row>
    <row r="235" spans="1:40" x14ac:dyDescent="0.2">
      <c r="A235" s="252" t="s">
        <v>978</v>
      </c>
      <c r="B235" s="7"/>
      <c r="C235" s="14"/>
      <c r="D235" s="14"/>
      <c r="E235" s="14"/>
      <c r="F235" s="14"/>
      <c r="G235" s="14"/>
      <c r="H235" s="14"/>
      <c r="I235" s="14"/>
      <c r="J235" s="228" t="s">
        <v>480</v>
      </c>
      <c r="K235" s="228" t="s">
        <v>713</v>
      </c>
      <c r="L235" s="228" t="s">
        <v>714</v>
      </c>
      <c r="M235" s="14"/>
      <c r="N235" s="14"/>
      <c r="O235" s="14"/>
      <c r="P235" s="228" t="s">
        <v>480</v>
      </c>
      <c r="Q235" s="228" t="s">
        <v>713</v>
      </c>
      <c r="R235" s="228" t="s">
        <v>714</v>
      </c>
      <c r="S235" s="14"/>
      <c r="T235" s="14"/>
      <c r="U235" s="14"/>
      <c r="V235" s="252" t="s">
        <v>978</v>
      </c>
      <c r="W235" s="7"/>
      <c r="X235" s="14"/>
      <c r="Y235" s="14"/>
      <c r="Z235" s="14"/>
      <c r="AA235" s="14"/>
      <c r="AB235" s="14"/>
      <c r="AC235" s="14"/>
      <c r="AD235" s="14"/>
      <c r="AE235" s="14"/>
      <c r="AF235" s="14"/>
      <c r="AM235" s="212"/>
      <c r="AN235" s="212"/>
    </row>
    <row r="236" spans="1:40" x14ac:dyDescent="0.2">
      <c r="A236" s="252" t="s">
        <v>979</v>
      </c>
      <c r="B236" s="7"/>
      <c r="C236" s="589">
        <f>IF(SUM(AI193:AK193)=0,1,AVERAGEIF(AI193:AK193,"&lt;&gt;0"))</f>
        <v>0.30383562296472494</v>
      </c>
      <c r="D236" s="589">
        <f>IF(SUM(AF193:AK193)=0,1,AVERAGEIF(AF193:AK193,"&lt;&gt;0"))</f>
        <v>0.29435553432466804</v>
      </c>
      <c r="E236" s="589">
        <f>IF(SUM(Z193:AK193)=0,1,AVERAGEIF(Z193:AK193,"&lt;&gt;0"))</f>
        <v>0.31353367702788476</v>
      </c>
      <c r="F236" s="589">
        <f>IF(SUM($C193:AK193)=0,1,AVERAGEIF($C193:AK193,"&lt;&gt;0"))</f>
        <v>0.32189972112070786</v>
      </c>
      <c r="G236" s="589">
        <f>IF(SUM(AF193:AH193)=0,1,AVERAGEIF(AF193:AH193,"&lt;&gt;0"))</f>
        <v>0.28487544568461115</v>
      </c>
      <c r="H236" s="589">
        <f>IF(SUM(AC193:AE193)=0,1,AVERAGEIF(AC193:AE193,"&lt;&gt;0"))</f>
        <v>0.30154282070815525</v>
      </c>
      <c r="I236" s="589">
        <f>IF(SUM(Z193:AB193)=0,1,AVERAGEIF(Z193:AB193,"&lt;&gt;0"))</f>
        <v>0.36388081875404771</v>
      </c>
      <c r="J236" s="590">
        <v>1</v>
      </c>
      <c r="K236" s="590">
        <f>MAX((MIN(6,$AU$48-J236)),0)</f>
        <v>6</v>
      </c>
      <c r="L236" s="590">
        <f>MAX(K236-2,1)</f>
        <v>4</v>
      </c>
      <c r="M236" s="589">
        <f>MAX(AF193:AK193)</f>
        <v>0.33876976004239728</v>
      </c>
      <c r="N236" s="589">
        <f>IF(SUM(AF193:AK193)=0,0,SMALL(AF193:AK193,COUNTIF(AF193:AK193,0)+1))</f>
        <v>0.22612690939750812</v>
      </c>
      <c r="O236" s="589">
        <f t="shared" ref="O236:O270" si="122">IF(K236&lt;3,D236,(K236*D236-M236-N236)/L236)</f>
        <v>0.30030913412702576</v>
      </c>
      <c r="P236" s="590">
        <v>1</v>
      </c>
      <c r="Q236" s="590">
        <f>MAX((MIN(12,$AU$48-P236)),0)</f>
        <v>12</v>
      </c>
      <c r="R236" s="590">
        <f t="shared" ref="R236:R258" si="123">MAX(Q236-2,1)</f>
        <v>10</v>
      </c>
      <c r="S236" s="589">
        <f>MAX(Z193:AK193)</f>
        <v>0.48241408432466482</v>
      </c>
      <c r="T236" s="589">
        <f>IF(SUM(Z193:AK193)=0,0,SMALL(Z193:AK193,COUNTIF(Z193:AK193,0)+1))</f>
        <v>0.22612690939750812</v>
      </c>
      <c r="U236" s="317">
        <f t="shared" ref="U236:U270" si="124">IF(Q236&lt;3,E236,(Q236*E236-S236-T236)/R236)</f>
        <v>0.30538631306124442</v>
      </c>
      <c r="V236" s="252" t="s">
        <v>979</v>
      </c>
      <c r="W236" s="7"/>
      <c r="X236" s="14">
        <f t="shared" ref="X236:X257" si="125">IF((C236&gt;C237),MIN((C236^2*C237)^(1/3),1),MIN(C236,1))</f>
        <v>0.30383562296472494</v>
      </c>
      <c r="Y236" s="14">
        <f t="shared" ref="Y236:Y257" si="126">IF((D236&gt;D237),MIN((D236^2*D237)^(1/3),1),MIN(D236,1))</f>
        <v>0.29435553432466804</v>
      </c>
      <c r="Z236" s="14">
        <f t="shared" ref="Z236:Z257" si="127">IF((E236&gt;E237),MIN((E236^2*E237)^(1/3),1),MIN(E236,1))</f>
        <v>0.31353367702788476</v>
      </c>
      <c r="AA236" s="14">
        <f t="shared" ref="AA236:AA257" si="128">IF((F236&gt;F237),MIN((F236^2*F237)^(1/3),1),MIN(F236,1))</f>
        <v>0.32189972112070786</v>
      </c>
      <c r="AB236" s="14">
        <f t="shared" ref="AB236:AB257" si="129">IF((O236&gt;O237),MIN((O236^2*O237)^(1/3),1),MIN(O236,1))</f>
        <v>0.30030913412702576</v>
      </c>
      <c r="AC236" s="14">
        <f t="shared" ref="AC236:AC257" si="130">IF((U236&gt;U237),MIN((U236^2*U237)^(1/3),1),MIN(U236,1))</f>
        <v>0.30538631306124442</v>
      </c>
      <c r="AD236" s="14">
        <f t="shared" ref="AD236:AD257" si="131">IF((G236&gt;G237),MIN((G236^2*G237)^(1/3),1),MIN(G236,1))</f>
        <v>0.28487544568461115</v>
      </c>
      <c r="AE236" s="14">
        <f t="shared" ref="AE236:AE257" si="132">IF((H236&gt;H237),MIN((H236^2*H237)^(1/3),1),MIN(H236,1))</f>
        <v>0.30154282070815525</v>
      </c>
      <c r="AF236" s="14">
        <f t="shared" ref="AF236:AF257" si="133">IF((I236&gt;I237),MIN((I236^2*I237)^(1/3),1),MIN(I236,1))</f>
        <v>0.36388081875404771</v>
      </c>
      <c r="AH236" s="212"/>
      <c r="AI236" s="212"/>
      <c r="AJ236" s="212"/>
      <c r="AK236" s="212"/>
      <c r="AL236" s="212"/>
      <c r="AM236" s="212"/>
      <c r="AN236" s="212"/>
    </row>
    <row r="237" spans="1:40" x14ac:dyDescent="0.2">
      <c r="A237" s="568" t="s">
        <v>980</v>
      </c>
      <c r="B237" s="7"/>
      <c r="C237" s="589">
        <f>IF(SUM(AH194:AJ194)=0,1,AVERAGEIF(AH194:AJ194,"&lt;&gt;0"))</f>
        <v>0.83369368244918984</v>
      </c>
      <c r="D237" s="589">
        <f>IF(SUM(AE194:AJ194)=0,1,AVERAGEIF(AE194:AJ194,"&lt;&gt;0"))</f>
        <v>0.83771226140957733</v>
      </c>
      <c r="E237" s="589">
        <f>IF(SUM(Y194:AJ194)=0,1,AVERAGEIF(Y194:AJ194,"&lt;&gt;0"))</f>
        <v>0.84480025372641288</v>
      </c>
      <c r="F237" s="589">
        <f>IF(SUM($C194:AJ194)=0,1,AVERAGEIF($C194:AJ194,"&lt;&gt;0"))</f>
        <v>0.81920646238870376</v>
      </c>
      <c r="G237" s="589">
        <f>IF(SUM(AE194:AG194)=0,1,AVERAGEIF(AE194:AG194,"&lt;&gt;0"))</f>
        <v>0.84173084036996448</v>
      </c>
      <c r="H237" s="589">
        <f>IF(SUM(AB194:AD194)=0,1,AVERAGEIF(AB194:AD194,"&lt;&gt;0"))</f>
        <v>0.82686949101772311</v>
      </c>
      <c r="I237" s="589">
        <f>IF(SUM(Y194:AA194)=0,1,AVERAGEIF(Y194:AA194,"&lt;&gt;0"))</f>
        <v>0.87690700106877317</v>
      </c>
      <c r="J237" s="590">
        <v>2</v>
      </c>
      <c r="K237" s="590">
        <f t="shared" ref="K237:K270" si="134">MAX((MIN(6,$AU$48-J237)),0)</f>
        <v>6</v>
      </c>
      <c r="L237" s="591">
        <f t="shared" ref="L237:L270" si="135">MAX(K237-2,1)</f>
        <v>4</v>
      </c>
      <c r="M237" s="589">
        <f>MAX(AE194:AJ194)</f>
        <v>0.86432740065833491</v>
      </c>
      <c r="N237" s="589">
        <f>IF(SUM(AE194:AJ194)=0,0,SMALL(AE194:AJ194,COUNTIF(AE194:AJ194,0)+1))</f>
        <v>0.81957323529510795</v>
      </c>
      <c r="O237" s="589">
        <f t="shared" si="122"/>
        <v>0.8355932331260052</v>
      </c>
      <c r="P237" s="590">
        <v>2</v>
      </c>
      <c r="Q237" s="590">
        <f t="shared" ref="Q237:Q258" si="136">MAX((MIN(12,$AU$48-P237)),0)</f>
        <v>12</v>
      </c>
      <c r="R237" s="591">
        <f t="shared" si="123"/>
        <v>10</v>
      </c>
      <c r="S237" s="589">
        <f>MAX(Y194:AJ194)</f>
        <v>0.91500333344046658</v>
      </c>
      <c r="T237" s="589">
        <f>IF(SUM(Y194:AJ194)=0,0,SMALL(Y194:AJ194,COUNTIF(Y194:AJ194,0)+1))</f>
        <v>0.81797846616398229</v>
      </c>
      <c r="U237" s="317">
        <f t="shared" si="124"/>
        <v>0.84046212451125046</v>
      </c>
      <c r="V237" s="568" t="s">
        <v>980</v>
      </c>
      <c r="W237" s="7"/>
      <c r="X237" s="14">
        <f t="shared" si="125"/>
        <v>0.83369368244918984</v>
      </c>
      <c r="Y237" s="14">
        <f t="shared" si="126"/>
        <v>0.83771226140957733</v>
      </c>
      <c r="Z237" s="14">
        <f t="shared" si="127"/>
        <v>0.84480025372641288</v>
      </c>
      <c r="AA237" s="14">
        <f t="shared" si="128"/>
        <v>0.81920646238870376</v>
      </c>
      <c r="AB237" s="14">
        <f t="shared" si="129"/>
        <v>0.8355932331260052</v>
      </c>
      <c r="AC237" s="14">
        <f t="shared" si="130"/>
        <v>0.84046212451125046</v>
      </c>
      <c r="AD237" s="14">
        <f t="shared" si="131"/>
        <v>0.84173084036996448</v>
      </c>
      <c r="AE237" s="14">
        <f t="shared" si="132"/>
        <v>0.82686949101772311</v>
      </c>
      <c r="AF237" s="14">
        <f t="shared" si="133"/>
        <v>0.87690700106877317</v>
      </c>
      <c r="AH237" s="212"/>
      <c r="AI237" s="212"/>
      <c r="AJ237" s="212"/>
      <c r="AK237" s="212"/>
      <c r="AL237" s="212"/>
      <c r="AM237" s="212"/>
      <c r="AN237" s="212"/>
    </row>
    <row r="238" spans="1:40" x14ac:dyDescent="0.2">
      <c r="A238" s="568" t="s">
        <v>981</v>
      </c>
      <c r="B238" s="7"/>
      <c r="C238" s="589">
        <f>IF(SUM(AG195:AI195)=0,1,AVERAGEIF(AG195:AI195,"&lt;&gt;0"))</f>
        <v>0.94138329878488303</v>
      </c>
      <c r="D238" s="589">
        <f>IF(SUM(AD195:AI195)=0,1,AVERAGEIF(AD195:AI195,"&lt;&gt;0"))</f>
        <v>0.94153203423525689</v>
      </c>
      <c r="E238" s="589">
        <f>IF(SUM(X195:AI195)=0,1,AVERAGEIF(X195:AI195,"&lt;&gt;0"))</f>
        <v>0.94675793869280378</v>
      </c>
      <c r="F238" s="589">
        <f>IF(SUM($C195:AI195)=0,1,AVERAGEIF($C195:AI195,"&lt;&gt;0"))</f>
        <v>0.92345069804406932</v>
      </c>
      <c r="G238" s="589">
        <f>IF(SUM(AD195:AF195)=0,1,AVERAGEIF(AD195:AF195,"&lt;&gt;0"))</f>
        <v>0.94168076968563097</v>
      </c>
      <c r="H238" s="589">
        <f>IF(SUM(AA195:AC195)=0,1,AVERAGEIF(AA195:AC195,"&lt;&gt;0"))</f>
        <v>0.94608748749681848</v>
      </c>
      <c r="I238" s="589">
        <f>IF(SUM(X195:Z195)=0,1,AVERAGEIF(X195:Z195,"&lt;&gt;0"))</f>
        <v>0.95788019880388309</v>
      </c>
      <c r="J238" s="590">
        <v>3</v>
      </c>
      <c r="K238" s="590">
        <f t="shared" si="134"/>
        <v>6</v>
      </c>
      <c r="L238" s="591">
        <f t="shared" si="135"/>
        <v>4</v>
      </c>
      <c r="M238" s="589">
        <f>MAX(AD195:AI195)</f>
        <v>0.9552002850034591</v>
      </c>
      <c r="N238" s="589">
        <f>IF(SUM(AD195:AI195)=0,0,SMALL(AD195:AI195,COUNTIF(AD195:AI195,0)+1))</f>
        <v>0.93069719171566456</v>
      </c>
      <c r="O238" s="589">
        <f t="shared" si="122"/>
        <v>0.94082368217310453</v>
      </c>
      <c r="P238" s="590">
        <v>3</v>
      </c>
      <c r="Q238" s="590">
        <f t="shared" si="136"/>
        <v>12</v>
      </c>
      <c r="R238" s="591">
        <f t="shared" si="123"/>
        <v>10</v>
      </c>
      <c r="S238" s="589">
        <f>MAX(X195:AI195)</f>
        <v>0.96152123837426784</v>
      </c>
      <c r="T238" s="589">
        <f>IF(SUM(X195:AI195)=0,0,SMALL(X195:AI195,COUNTIF(X195:AI195,0)+1))</f>
        <v>0.93069719171566456</v>
      </c>
      <c r="U238" s="317">
        <f t="shared" si="124"/>
        <v>0.9468876834223714</v>
      </c>
      <c r="V238" s="568" t="s">
        <v>981</v>
      </c>
      <c r="W238" s="7"/>
      <c r="X238" s="14">
        <f t="shared" si="125"/>
        <v>0.94138329878488303</v>
      </c>
      <c r="Y238" s="14">
        <f t="shared" si="126"/>
        <v>0.94153203423525689</v>
      </c>
      <c r="Z238" s="14">
        <f t="shared" si="127"/>
        <v>0.94675793869280378</v>
      </c>
      <c r="AA238" s="14">
        <f t="shared" si="128"/>
        <v>0.92345069804406932</v>
      </c>
      <c r="AB238" s="14">
        <f t="shared" si="129"/>
        <v>0.94082368217310453</v>
      </c>
      <c r="AC238" s="14">
        <f t="shared" si="130"/>
        <v>0.9468876834223714</v>
      </c>
      <c r="AD238" s="14">
        <f t="shared" si="131"/>
        <v>0.94168076968563097</v>
      </c>
      <c r="AE238" s="14">
        <f t="shared" si="132"/>
        <v>0.94608748749681848</v>
      </c>
      <c r="AF238" s="14">
        <f t="shared" si="133"/>
        <v>0.95788019880388309</v>
      </c>
      <c r="AH238" s="212"/>
      <c r="AI238" s="212"/>
      <c r="AJ238" s="212"/>
      <c r="AK238" s="212"/>
      <c r="AL238" s="212"/>
      <c r="AM238" s="212"/>
      <c r="AN238" s="212"/>
    </row>
    <row r="239" spans="1:40" x14ac:dyDescent="0.2">
      <c r="A239" s="568" t="s">
        <v>982</v>
      </c>
      <c r="B239" s="7"/>
      <c r="C239" s="589">
        <f>IF(SUM(AF196:AH196)=0,1,AVERAGEIF(AF196:AH196,"&lt;&gt;0"))</f>
        <v>0.97930257141469246</v>
      </c>
      <c r="D239" s="589">
        <f>IF(SUM(AC196:AH196)=0,1,AVERAGEIF(AC196:AH196,"&lt;&gt;0"))</f>
        <v>0.979529108696228</v>
      </c>
      <c r="E239" s="589">
        <f>IF(SUM(W196:AH196)=0,1,AVERAGEIF(W196:AH196,"&lt;&gt;0"))</f>
        <v>0.9813185004295365</v>
      </c>
      <c r="F239" s="589">
        <f>IF(SUM($C196:AH196)=0,1,AVERAGEIF($C196:AH196,"&lt;&gt;0"))</f>
        <v>0.96302123715541776</v>
      </c>
      <c r="G239" s="589">
        <f>IF(SUM(AC196:AE196)=0,1,AVERAGEIF(AC196:AE196,"&lt;&gt;0"))</f>
        <v>0.97975564597776355</v>
      </c>
      <c r="H239" s="589">
        <f>IF(SUM(Z196:AB196)=0,1,AVERAGEIF(Z196:AB196,"&lt;&gt;0"))</f>
        <v>0.98118299470304449</v>
      </c>
      <c r="I239" s="589">
        <f>IF(SUM(W196:Y196)=0,1,AVERAGEIF(W196:Y196,"&lt;&gt;0"))</f>
        <v>0.98503278962264529</v>
      </c>
      <c r="J239" s="590">
        <v>4</v>
      </c>
      <c r="K239" s="590">
        <f t="shared" si="134"/>
        <v>6</v>
      </c>
      <c r="L239" s="591">
        <f t="shared" si="135"/>
        <v>4</v>
      </c>
      <c r="M239" s="589">
        <f>MAX(AC196:AH196)</f>
        <v>0.98448809535723159</v>
      </c>
      <c r="N239" s="589">
        <f>IF(SUM(AC196:AH196)=0,0,SMALL(AC196:AH196,COUNTIF(AC196:AH196,0)+1))</f>
        <v>0.97107638176645905</v>
      </c>
      <c r="O239" s="589">
        <f t="shared" si="122"/>
        <v>0.98040254376341951</v>
      </c>
      <c r="P239" s="590">
        <v>4</v>
      </c>
      <c r="Q239" s="590">
        <f t="shared" si="136"/>
        <v>12</v>
      </c>
      <c r="R239" s="591">
        <f t="shared" si="123"/>
        <v>10</v>
      </c>
      <c r="S239" s="589">
        <f>MAX(W196:AH196)</f>
        <v>0.98866495648296682</v>
      </c>
      <c r="T239" s="589">
        <f>IF(SUM(W196:AH196)=0,0,SMALL(W196:AH196,COUNTIF(W196:AH196,0)+1))</f>
        <v>0.97107638176645905</v>
      </c>
      <c r="U239" s="317">
        <f t="shared" si="124"/>
        <v>0.98160806669050127</v>
      </c>
      <c r="V239" s="568" t="s">
        <v>982</v>
      </c>
      <c r="W239" s="7"/>
      <c r="X239" s="14">
        <f t="shared" si="125"/>
        <v>0.97930257141469246</v>
      </c>
      <c r="Y239" s="14">
        <f t="shared" si="126"/>
        <v>0.979529108696228</v>
      </c>
      <c r="Z239" s="14">
        <f t="shared" si="127"/>
        <v>0.9813185004295365</v>
      </c>
      <c r="AA239" s="14">
        <f t="shared" si="128"/>
        <v>0.96302123715541776</v>
      </c>
      <c r="AB239" s="14">
        <f t="shared" si="129"/>
        <v>0.98040254376341951</v>
      </c>
      <c r="AC239" s="14">
        <f t="shared" si="130"/>
        <v>0.98160806669050127</v>
      </c>
      <c r="AD239" s="14">
        <f t="shared" si="131"/>
        <v>0.97975564597776355</v>
      </c>
      <c r="AE239" s="14">
        <f t="shared" si="132"/>
        <v>0.98118299470304449</v>
      </c>
      <c r="AF239" s="14">
        <f t="shared" si="133"/>
        <v>0.98503278962264529</v>
      </c>
      <c r="AH239" s="212"/>
      <c r="AI239" s="212"/>
      <c r="AJ239" s="212"/>
      <c r="AK239" s="212"/>
      <c r="AL239" s="212"/>
      <c r="AM239" s="212"/>
      <c r="AN239" s="212"/>
    </row>
    <row r="240" spans="1:40" x14ac:dyDescent="0.2">
      <c r="A240" s="568" t="s">
        <v>983</v>
      </c>
      <c r="B240" s="7"/>
      <c r="C240" s="589">
        <f>IF(SUM(AE197:AG197)=0,1,AVERAGEIF(AE197:AG197,"&lt;&gt;0"))</f>
        <v>0.99079489335746374</v>
      </c>
      <c r="D240" s="589">
        <f>IF(SUM(AB197:AG197)=0,1,AVERAGEIF(AB197:AG197,"&lt;&gt;0"))</f>
        <v>0.9905138937920871</v>
      </c>
      <c r="E240" s="589">
        <f>IF(SUM(V197:AG197)=0,1,AVERAGEIF(V197:AG197,"&lt;&gt;0"))</f>
        <v>0.99038402675649151</v>
      </c>
      <c r="F240" s="589">
        <f>IF(SUM($C197:AG197)=0,1,AVERAGEIF($C197:AG197,"&lt;&gt;0"))</f>
        <v>0.97654525560149064</v>
      </c>
      <c r="G240" s="589">
        <f>IF(SUM(AB197:AD197)=0,1,AVERAGEIF(AB197:AD197,"&lt;&gt;0"))</f>
        <v>0.99023289422671057</v>
      </c>
      <c r="H240" s="589">
        <f>IF(SUM(Y197:AA197)=0,1,AVERAGEIF(Y197:AA197,"&lt;&gt;0"))</f>
        <v>0.98786384874431254</v>
      </c>
      <c r="I240" s="589">
        <f>IF(SUM(V197:X197)=0,1,AVERAGEIF(V197:X197,"&lt;&gt;0"))</f>
        <v>0.99264447069747941</v>
      </c>
      <c r="J240" s="590">
        <v>5</v>
      </c>
      <c r="K240" s="590">
        <f t="shared" si="134"/>
        <v>6</v>
      </c>
      <c r="L240" s="591">
        <f t="shared" si="135"/>
        <v>4</v>
      </c>
      <c r="M240" s="589">
        <f>MAX(AB197:AG197)</f>
        <v>0.99437220739390975</v>
      </c>
      <c r="N240" s="589">
        <f>IF(SUM(AB197:AG197)=0,0,SMALL(AB197:AG197,COUNTIF(AB197:AG197,0)+1))</f>
        <v>0.98753117416427871</v>
      </c>
      <c r="O240" s="589">
        <f t="shared" si="122"/>
        <v>0.99029499529858367</v>
      </c>
      <c r="P240" s="590">
        <v>5</v>
      </c>
      <c r="Q240" s="590">
        <f t="shared" si="136"/>
        <v>12</v>
      </c>
      <c r="R240" s="591">
        <f t="shared" si="123"/>
        <v>10</v>
      </c>
      <c r="S240" s="589">
        <f>MAX(V197:AG197)</f>
        <v>0.99451006527393215</v>
      </c>
      <c r="T240" s="589">
        <f>IF(SUM(V197:AG197)=0,0,SMALL(V197:AG197,COUNTIF(V197:AG197,0)+1))</f>
        <v>0.98664587407242244</v>
      </c>
      <c r="U240" s="317">
        <f t="shared" si="124"/>
        <v>0.99034523817315434</v>
      </c>
      <c r="V240" s="568" t="s">
        <v>983</v>
      </c>
      <c r="W240" s="7"/>
      <c r="X240" s="567">
        <f t="shared" si="125"/>
        <v>0.99079489335746374</v>
      </c>
      <c r="Y240" s="14">
        <f t="shared" si="126"/>
        <v>0.9905138937920871</v>
      </c>
      <c r="Z240" s="14">
        <f t="shared" si="127"/>
        <v>0.99038402675649151</v>
      </c>
      <c r="AA240" s="14">
        <f t="shared" si="128"/>
        <v>0.97654525560149064</v>
      </c>
      <c r="AB240" s="14">
        <f t="shared" si="129"/>
        <v>0.99029499529858367</v>
      </c>
      <c r="AC240" s="14">
        <f t="shared" si="130"/>
        <v>0.99034523817315434</v>
      </c>
      <c r="AD240" s="14">
        <f t="shared" si="131"/>
        <v>0.99023289422671057</v>
      </c>
      <c r="AE240" s="14">
        <f t="shared" si="132"/>
        <v>0.98786384874431254</v>
      </c>
      <c r="AF240" s="14">
        <f t="shared" si="133"/>
        <v>0.99258654825790849</v>
      </c>
      <c r="AH240" s="212"/>
      <c r="AI240" s="212"/>
      <c r="AJ240" s="212"/>
      <c r="AK240" s="212"/>
      <c r="AL240" s="212"/>
      <c r="AM240" s="212"/>
      <c r="AN240" s="212"/>
    </row>
    <row r="241" spans="1:44" x14ac:dyDescent="0.2">
      <c r="A241" s="568" t="s">
        <v>984</v>
      </c>
      <c r="B241" s="7"/>
      <c r="C241" s="589">
        <f>IF(SUM(AD198:AF198)=0,1,AVERAGEIF(AD198:AF198,"&lt;&gt;0"))</f>
        <v>0.99291369948895547</v>
      </c>
      <c r="D241" s="589">
        <f>IF(SUM(AA198:AF198)=0,1,AVERAGEIF(AA198:AF198,"&lt;&gt;0"))</f>
        <v>0.99269129507613851</v>
      </c>
      <c r="E241" s="589">
        <f>IF(SUM(U198:AF198)=0,1,AVERAGEIF(U198:AF198,"&lt;&gt;0"))</f>
        <v>0.99143869144858432</v>
      </c>
      <c r="F241" s="589">
        <f>IF(SUM($C198:AF198)=0,1,AVERAGEIF($C198:AF198,"&lt;&gt;0"))</f>
        <v>0.98405081867823485</v>
      </c>
      <c r="G241" s="589">
        <f>IF(SUM(AA198:AC198)=0,1,AVERAGEIF(AA198:AC198,"&lt;&gt;0"))</f>
        <v>0.99246889066332145</v>
      </c>
      <c r="H241" s="589">
        <f>IF(SUM(X198:Z198)=0,1,AVERAGEIF(X198:Z198,"&lt;&gt;0"))</f>
        <v>0.98790146212388308</v>
      </c>
      <c r="I241" s="589">
        <f>IF(SUM(U198:W198)=0,1,AVERAGEIF(U198:W198,"&lt;&gt;0"))</f>
        <v>0.99247071351817862</v>
      </c>
      <c r="J241" s="590">
        <v>6</v>
      </c>
      <c r="K241" s="590">
        <f t="shared" si="134"/>
        <v>6</v>
      </c>
      <c r="L241" s="591">
        <f t="shared" si="135"/>
        <v>4</v>
      </c>
      <c r="M241" s="589">
        <f>MAX(AA198:AF198)</f>
        <v>0.99488616277631947</v>
      </c>
      <c r="N241" s="589">
        <f>IF(SUM(AA198:AF198)=0,0,SMALL(AA198:AF198,COUNTIF(AA198:AF198,0)+1))</f>
        <v>0.99074479323322873</v>
      </c>
      <c r="O241" s="589">
        <f t="shared" si="122"/>
        <v>0.99262920361182072</v>
      </c>
      <c r="P241" s="590">
        <v>6</v>
      </c>
      <c r="Q241" s="590">
        <f t="shared" si="136"/>
        <v>12</v>
      </c>
      <c r="R241" s="591">
        <f t="shared" si="123"/>
        <v>10</v>
      </c>
      <c r="S241" s="589">
        <f>MAX(U198:AF198)</f>
        <v>0.99554334882741935</v>
      </c>
      <c r="T241" s="589">
        <f>IF(SUM(U198:AF198)=0,0,SMALL(U198:AF198,COUNTIF(U198:AF198,0)+1))</f>
        <v>0.98522623154367739</v>
      </c>
      <c r="U241" s="317">
        <f t="shared" si="124"/>
        <v>0.99164947170119144</v>
      </c>
      <c r="V241" s="568" t="s">
        <v>984</v>
      </c>
      <c r="W241" s="7"/>
      <c r="X241" s="567">
        <f t="shared" si="125"/>
        <v>0.99291369948895547</v>
      </c>
      <c r="Y241" s="14">
        <f t="shared" si="126"/>
        <v>0.99260674920377612</v>
      </c>
      <c r="Z241" s="14">
        <f t="shared" si="127"/>
        <v>0.99143869144858432</v>
      </c>
      <c r="AA241" s="14">
        <f t="shared" si="128"/>
        <v>0.98405081867823485</v>
      </c>
      <c r="AB241" s="14">
        <f t="shared" si="129"/>
        <v>0.99262920361182072</v>
      </c>
      <c r="AC241" s="14">
        <f t="shared" si="130"/>
        <v>0.99164947170119144</v>
      </c>
      <c r="AD241" s="14">
        <f t="shared" si="131"/>
        <v>0.99224747191910523</v>
      </c>
      <c r="AE241" s="14">
        <f t="shared" si="132"/>
        <v>0.98790146212388308</v>
      </c>
      <c r="AF241" s="14">
        <f t="shared" si="133"/>
        <v>0.99247071351817862</v>
      </c>
      <c r="AH241" s="212"/>
      <c r="AI241" s="212"/>
      <c r="AJ241" s="212"/>
      <c r="AK241" s="212"/>
      <c r="AL241" s="212"/>
      <c r="AM241" s="212"/>
      <c r="AN241" s="212"/>
    </row>
    <row r="242" spans="1:44" x14ac:dyDescent="0.2">
      <c r="A242" s="568" t="s">
        <v>985</v>
      </c>
      <c r="B242" s="7"/>
      <c r="C242" s="589">
        <f>IF(SUM(AC199:AE199)=0,1,AVERAGEIF(AC199:AE199,"&lt;&gt;0"))</f>
        <v>0.99307057550616273</v>
      </c>
      <c r="D242" s="589">
        <f>IF(SUM(Z199:AE199)=0,1,AVERAGEIF(Z199:AE199,"&lt;&gt;0"))</f>
        <v>0.99243767906033364</v>
      </c>
      <c r="E242" s="589">
        <f>IF(SUM(T199:AE199)=0,1,AVERAGEIF(T199:AE199,"&lt;&gt;0"))</f>
        <v>0.99269230840365408</v>
      </c>
      <c r="F242" s="589">
        <f>IF(SUM($C199:AE199)=0,1,AVERAGEIF($C199:AE199,"&lt;&gt;0"))</f>
        <v>0.98760211194331282</v>
      </c>
      <c r="G242" s="589">
        <f>IF(SUM(Z199:AB199)=0,1,AVERAGEIF(Z199:AB199,"&lt;&gt;0"))</f>
        <v>0.99180478261450455</v>
      </c>
      <c r="H242" s="589">
        <f>IF(SUM(W199:Y199)=0,1,AVERAGEIF(W199:Y199,"&lt;&gt;0"))</f>
        <v>0.99162244558852664</v>
      </c>
      <c r="I242" s="589">
        <f>IF(SUM(T199:V199)=0,1,AVERAGEIF(T199:V199,"&lt;&gt;0"))</f>
        <v>0.99427142990542272</v>
      </c>
      <c r="J242" s="590">
        <v>7</v>
      </c>
      <c r="K242" s="590">
        <f t="shared" si="134"/>
        <v>6</v>
      </c>
      <c r="L242" s="591">
        <f t="shared" si="135"/>
        <v>4</v>
      </c>
      <c r="M242" s="589">
        <f>MAX(Z199:AE199)</f>
        <v>0.99622264895025003</v>
      </c>
      <c r="N242" s="589">
        <f>IF(SUM(Z199:AE199)=0,0,SMALL(Z199:AE199,COUNTIF(Z199:AE199,0)+1))</f>
        <v>0.98664003060514871</v>
      </c>
      <c r="O242" s="589">
        <f t="shared" si="122"/>
        <v>0.99294084870165078</v>
      </c>
      <c r="P242" s="590">
        <v>7</v>
      </c>
      <c r="Q242" s="590">
        <f t="shared" si="136"/>
        <v>12</v>
      </c>
      <c r="R242" s="591">
        <f t="shared" si="123"/>
        <v>10</v>
      </c>
      <c r="S242" s="589">
        <f>MAX(T199:AE199)</f>
        <v>0.99622264895025003</v>
      </c>
      <c r="T242" s="589">
        <f>IF(SUM(T199:AE199)=0,0,SMALL(T199:AE199,COUNTIF(T199:AE199,0)+1))</f>
        <v>0.98664003060514871</v>
      </c>
      <c r="U242" s="317">
        <f t="shared" si="124"/>
        <v>0.99294450212884511</v>
      </c>
      <c r="V242" s="568" t="s">
        <v>985</v>
      </c>
      <c r="W242" s="7"/>
      <c r="X242" s="14">
        <f t="shared" si="125"/>
        <v>0.99307057550616273</v>
      </c>
      <c r="Y242" s="14">
        <f t="shared" si="126"/>
        <v>0.99243767906033364</v>
      </c>
      <c r="Z242" s="14">
        <f t="shared" si="127"/>
        <v>0.99269230840365408</v>
      </c>
      <c r="AA242" s="14">
        <f t="shared" si="128"/>
        <v>0.98760211194331282</v>
      </c>
      <c r="AB242" s="14">
        <f t="shared" si="129"/>
        <v>0.99294084870165078</v>
      </c>
      <c r="AC242" s="14">
        <f t="shared" si="130"/>
        <v>0.99294450212884511</v>
      </c>
      <c r="AD242" s="14">
        <f t="shared" si="131"/>
        <v>0.99180478261450455</v>
      </c>
      <c r="AE242" s="14">
        <f t="shared" si="132"/>
        <v>0.99162244558852664</v>
      </c>
      <c r="AF242" s="14">
        <f t="shared" si="133"/>
        <v>0.99427142990542272</v>
      </c>
      <c r="AH242" s="212"/>
      <c r="AI242" s="212"/>
      <c r="AJ242" s="212"/>
      <c r="AK242" s="212"/>
      <c r="AL242" s="212"/>
      <c r="AM242" s="212"/>
      <c r="AN242" s="212"/>
    </row>
    <row r="243" spans="1:44" x14ac:dyDescent="0.2">
      <c r="A243" s="568" t="s">
        <v>986</v>
      </c>
      <c r="B243" s="7"/>
      <c r="C243" s="589">
        <f>IF(SUM(AB200:AD200)=0,1,AVERAGEIF(AB200:AD200,"&lt;&gt;0"))</f>
        <v>0.99589819380043954</v>
      </c>
      <c r="D243" s="589">
        <f>IF(SUM(Y200:AD200)=0,1,AVERAGEIF(Y200:AD200,"&lt;&gt;0"))</f>
        <v>0.99601274899806336</v>
      </c>
      <c r="E243" s="589">
        <f>IF(SUM(S200:AD200)=0,1,AVERAGEIF(S200:AD200,"&lt;&gt;0"))</f>
        <v>0.99505758172923553</v>
      </c>
      <c r="F243" s="589">
        <f>IF(SUM($C200:AD200)=0,1,AVERAGEIF($C200:AD200,"&lt;&gt;0"))</f>
        <v>0.9927277299050109</v>
      </c>
      <c r="G243" s="589">
        <f>IF(SUM(Y200:AA200)=0,1,AVERAGEIF(Y200:AA200,"&lt;&gt;0"))</f>
        <v>0.99612730419568696</v>
      </c>
      <c r="H243" s="589">
        <f>IF(SUM(V200:X200)=0,1,AVERAGEIF(V200:X200,"&lt;&gt;0"))</f>
        <v>0.99342331711196241</v>
      </c>
      <c r="I243" s="589">
        <f>IF(SUM(S200:U200)=0,1,AVERAGEIF(S200:U200,"&lt;&gt;0"))</f>
        <v>0.99478151180885332</v>
      </c>
      <c r="J243" s="590">
        <v>8</v>
      </c>
      <c r="K243" s="590">
        <f t="shared" si="134"/>
        <v>6</v>
      </c>
      <c r="L243" s="591">
        <f t="shared" si="135"/>
        <v>4</v>
      </c>
      <c r="M243" s="589">
        <f>MAX(Y200:AD200)</f>
        <v>0.99786109685628754</v>
      </c>
      <c r="N243" s="589">
        <f>IF(SUM(Y200:AD200)=0,0,SMALL(Y200:AD200,COUNTIF(Y200:AD200,0)+1))</f>
        <v>0.99427308498453026</v>
      </c>
      <c r="O243" s="589">
        <f t="shared" si="122"/>
        <v>0.99598557803689047</v>
      </c>
      <c r="P243" s="590">
        <v>8</v>
      </c>
      <c r="Q243" s="590">
        <f t="shared" si="136"/>
        <v>12</v>
      </c>
      <c r="R243" s="591">
        <f t="shared" si="123"/>
        <v>10</v>
      </c>
      <c r="S243" s="589">
        <f>MAX(S200:AD200)</f>
        <v>0.99786109685628754</v>
      </c>
      <c r="T243" s="589">
        <f>IF(SUM(S200:AD200)=0,0,SMALL(S200:AD200,COUNTIF(S200:AD200,0)+1))</f>
        <v>0.99031150192000239</v>
      </c>
      <c r="U243" s="317">
        <f t="shared" si="124"/>
        <v>0.99525183819745366</v>
      </c>
      <c r="V243" s="568" t="s">
        <v>986</v>
      </c>
      <c r="W243" s="7"/>
      <c r="X243" s="14">
        <f t="shared" si="125"/>
        <v>0.99589819380043954</v>
      </c>
      <c r="Y243" s="14">
        <f t="shared" si="126"/>
        <v>0.99601274899806336</v>
      </c>
      <c r="Z243" s="14">
        <f t="shared" si="127"/>
        <v>0.99505758172923553</v>
      </c>
      <c r="AA243" s="14">
        <f t="shared" si="128"/>
        <v>0.9927277299050109</v>
      </c>
      <c r="AB243" s="14">
        <f t="shared" si="129"/>
        <v>0.99598557803689047</v>
      </c>
      <c r="AC243" s="14">
        <f t="shared" si="130"/>
        <v>0.99525183819745366</v>
      </c>
      <c r="AD243" s="14">
        <f t="shared" si="131"/>
        <v>0.99612730419568696</v>
      </c>
      <c r="AE243" s="14">
        <f t="shared" si="132"/>
        <v>0.99342331711196241</v>
      </c>
      <c r="AF243" s="14">
        <f t="shared" si="133"/>
        <v>0.99478151180885332</v>
      </c>
      <c r="AH243" s="212"/>
      <c r="AI243" s="212"/>
      <c r="AJ243" s="212"/>
      <c r="AK243" s="212"/>
      <c r="AL243" s="212"/>
      <c r="AM243" s="212"/>
      <c r="AN243" s="212"/>
    </row>
    <row r="244" spans="1:44" x14ac:dyDescent="0.2">
      <c r="A244" s="568" t="s">
        <v>987</v>
      </c>
      <c r="B244" s="7"/>
      <c r="C244" s="589">
        <f>IF(SUM(AA201:AC201)=0,1,AVERAGEIF(AA201:AC201,"&lt;&gt;0"))</f>
        <v>0.99702059860418935</v>
      </c>
      <c r="D244" s="589">
        <f>IF(SUM(X201:AC201)=0,1,AVERAGEIF(X201:AC201,"&lt;&gt;0"))</f>
        <v>0.99659226630581565</v>
      </c>
      <c r="E244" s="589">
        <f>IF(SUM(R201:AC201)=0,1,AVERAGEIF(R201:AC201,"&lt;&gt;0"))</f>
        <v>0.99636907278705078</v>
      </c>
      <c r="F244" s="589">
        <f>IF(SUM($C201:AC201)=0,1,AVERAGEIF($C201:AC201,"&lt;&gt;0"))</f>
        <v>0.99380728321388301</v>
      </c>
      <c r="G244" s="589">
        <f>IF(SUM(X201:Z201)=0,1,AVERAGEIF(X201:Z201,"&lt;&gt;0"))</f>
        <v>0.99616393400744185</v>
      </c>
      <c r="H244" s="589">
        <f>IF(SUM(U201:W201)=0,1,AVERAGEIF(U201:W201,"&lt;&gt;0"))</f>
        <v>0.99605878162946915</v>
      </c>
      <c r="I244" s="589">
        <f>IF(SUM(R201:T201)=0,1,AVERAGEIF(R201:T201,"&lt;&gt;0"))</f>
        <v>0.99623297690710266</v>
      </c>
      <c r="J244" s="590">
        <v>9</v>
      </c>
      <c r="K244" s="590">
        <f t="shared" si="134"/>
        <v>6</v>
      </c>
      <c r="L244" s="591">
        <f t="shared" si="135"/>
        <v>4</v>
      </c>
      <c r="M244" s="589">
        <f>MAX(X201:AC201)</f>
        <v>0.99870058656478389</v>
      </c>
      <c r="N244" s="589">
        <f>IF(SUM(X201:AC201)=0,0,SMALL(X201:AC201,COUNTIF(X201:AC201,0)+1))</f>
        <v>0.99536410385774388</v>
      </c>
      <c r="O244" s="589">
        <f t="shared" si="122"/>
        <v>0.99637222685309146</v>
      </c>
      <c r="P244" s="590">
        <v>9</v>
      </c>
      <c r="Q244" s="590">
        <f t="shared" si="136"/>
        <v>12</v>
      </c>
      <c r="R244" s="591">
        <f t="shared" si="123"/>
        <v>10</v>
      </c>
      <c r="S244" s="589">
        <f>MAX(R201:AC201)</f>
        <v>0.99870058656478389</v>
      </c>
      <c r="T244" s="589">
        <f>IF(SUM(R201:AC201)=0,0,SMALL(R201:AC201,COUNTIF(R201:AC201,0)+1))</f>
        <v>0.993598909755258</v>
      </c>
      <c r="U244" s="317">
        <f t="shared" si="124"/>
        <v>0.99641293771245676</v>
      </c>
      <c r="V244" s="568" t="s">
        <v>987</v>
      </c>
      <c r="W244" s="7"/>
      <c r="X244" s="14">
        <f t="shared" si="125"/>
        <v>0.99695002494910767</v>
      </c>
      <c r="Y244" s="14">
        <f t="shared" si="126"/>
        <v>0.99652146559705312</v>
      </c>
      <c r="Z244" s="14">
        <f t="shared" si="127"/>
        <v>0.99636907278705078</v>
      </c>
      <c r="AA244" s="14">
        <f t="shared" si="128"/>
        <v>0.99380728321388301</v>
      </c>
      <c r="AB244" s="14">
        <f t="shared" si="129"/>
        <v>0.99637222685309146</v>
      </c>
      <c r="AC244" s="14">
        <f t="shared" si="130"/>
        <v>0.99641293771245676</v>
      </c>
      <c r="AD244" s="14">
        <f t="shared" si="131"/>
        <v>0.99609290624486546</v>
      </c>
      <c r="AE244" s="14">
        <f t="shared" si="132"/>
        <v>0.99605878162946915</v>
      </c>
      <c r="AF244" s="14">
        <f t="shared" si="133"/>
        <v>0.99609754817690377</v>
      </c>
      <c r="AH244" s="212"/>
      <c r="AI244" s="212"/>
      <c r="AJ244" s="212"/>
      <c r="AK244" s="212"/>
      <c r="AL244" s="212"/>
      <c r="AM244" s="212"/>
      <c r="AN244" s="212"/>
    </row>
    <row r="245" spans="1:44" x14ac:dyDescent="0.2">
      <c r="A245" s="568" t="s">
        <v>988</v>
      </c>
      <c r="B245" s="7"/>
      <c r="C245" s="589">
        <f>IF(SUM(Z202:AB202)=0,1,AVERAGEIF(Z202:AB202,"&lt;&gt;0"))</f>
        <v>0.99680889262516414</v>
      </c>
      <c r="D245" s="589">
        <f>IF(SUM(W202:AB202)=0,1,AVERAGEIF(W202:AB202,"&lt;&gt;0"))</f>
        <v>0.99637987926881344</v>
      </c>
      <c r="E245" s="589">
        <f>IF(SUM(Q202:AB202)=0,1,AVERAGEIF(Q202:AB202,"&lt;&gt;0"))</f>
        <v>0.99646746275468612</v>
      </c>
      <c r="F245" s="589">
        <f>IF(SUM($C202:AB202)=0,1,AVERAGEIF($C202:AB202,"&lt;&gt;0"))</f>
        <v>0.995135444371955</v>
      </c>
      <c r="G245" s="589">
        <f>IF(SUM(W202:Y202)=0,1,AVERAGEIF(W202:Y202,"&lt;&gt;0"))</f>
        <v>0.99595086591246262</v>
      </c>
      <c r="H245" s="589">
        <f>IF(SUM(T202:V202)=0,1,AVERAGEIF(T202:V202,"&lt;&gt;0"))</f>
        <v>0.99728334653623518</v>
      </c>
      <c r="I245" s="589">
        <f>IF(SUM(Q202:S202)=0,1,AVERAGEIF(Q202:S202,"&lt;&gt;0"))</f>
        <v>0.99582674594488207</v>
      </c>
      <c r="J245" s="590">
        <v>10</v>
      </c>
      <c r="K245" s="590">
        <f t="shared" si="134"/>
        <v>6</v>
      </c>
      <c r="L245" s="591">
        <f t="shared" si="135"/>
        <v>4</v>
      </c>
      <c r="M245" s="589">
        <f>MAX(W202:AB202)</f>
        <v>0.99753783961027898</v>
      </c>
      <c r="N245" s="589">
        <f>IF(SUM(W202:AB202)=0,0,SMALL(W202:AB202,COUNTIF(W202:AB202,0)+1))</f>
        <v>0.99454643603651804</v>
      </c>
      <c r="O245" s="589">
        <f t="shared" si="122"/>
        <v>0.99654874999152077</v>
      </c>
      <c r="P245" s="590">
        <v>10</v>
      </c>
      <c r="Q245" s="590">
        <f t="shared" si="136"/>
        <v>12</v>
      </c>
      <c r="R245" s="591">
        <f t="shared" si="123"/>
        <v>10</v>
      </c>
      <c r="S245" s="589">
        <f>MAX(Q202:AB202)</f>
        <v>0.99793625053174873</v>
      </c>
      <c r="T245" s="589">
        <f>IF(SUM(Q202:AB202)=0,0,SMALL(Q202:AB202,COUNTIF(Q202:AB202,0)+1))</f>
        <v>0.99454643603651804</v>
      </c>
      <c r="U245" s="317">
        <f t="shared" si="124"/>
        <v>0.99651268664879655</v>
      </c>
      <c r="V245" s="568" t="s">
        <v>988</v>
      </c>
      <c r="W245" s="7"/>
      <c r="X245" s="14">
        <f t="shared" si="125"/>
        <v>0.99680889262516414</v>
      </c>
      <c r="Y245" s="14">
        <f t="shared" si="126"/>
        <v>0.99637987926881344</v>
      </c>
      <c r="Z245" s="14">
        <f t="shared" si="127"/>
        <v>0.99646746275468612</v>
      </c>
      <c r="AA245" s="14">
        <f t="shared" si="128"/>
        <v>0.99501589939973012</v>
      </c>
      <c r="AB245" s="14">
        <f t="shared" si="129"/>
        <v>0.99654874999152077</v>
      </c>
      <c r="AC245" s="14">
        <f t="shared" si="130"/>
        <v>0.99651268664879655</v>
      </c>
      <c r="AD245" s="14">
        <f t="shared" si="131"/>
        <v>0.99595086591246262</v>
      </c>
      <c r="AE245" s="14">
        <f t="shared" si="132"/>
        <v>0.99679848813858085</v>
      </c>
      <c r="AF245" s="14">
        <f t="shared" si="133"/>
        <v>0.99582674594488207</v>
      </c>
      <c r="AH245" s="212"/>
      <c r="AI245" s="212"/>
      <c r="AJ245" s="212"/>
      <c r="AK245" s="212"/>
      <c r="AL245" s="212"/>
      <c r="AM245" s="212"/>
      <c r="AN245" s="212"/>
    </row>
    <row r="246" spans="1:44" x14ac:dyDescent="0.2">
      <c r="A246" s="568" t="s">
        <v>989</v>
      </c>
      <c r="B246" s="7"/>
      <c r="C246" s="589">
        <f>IF(SUM(Y203:AA203)=0,1,AVERAGEIF(Y203:AA203,"&lt;&gt;0"))</f>
        <v>0.99817110737716863</v>
      </c>
      <c r="D246" s="589">
        <f>IF(SUM(V203:AA203)=0,1,AVERAGEIF(V203:AA203,"&lt;&gt;0"))</f>
        <v>0.99799648677690589</v>
      </c>
      <c r="E246" s="589">
        <f>IF(SUM(P203:AA203)=0,1,AVERAGEIF(P203:AA203,"&lt;&gt;0"))</f>
        <v>0.99736469226337565</v>
      </c>
      <c r="F246" s="589">
        <f>IF(SUM($C203:AA203)=0,1,AVERAGEIF($C203:AA203,"&lt;&gt;0"))</f>
        <v>0.9947768525361339</v>
      </c>
      <c r="G246" s="589">
        <f>IF(SUM(V203:X203)=0,1,AVERAGEIF(V203:X203,"&lt;&gt;0"))</f>
        <v>0.99782186617664304</v>
      </c>
      <c r="H246" s="589">
        <f>IF(SUM(S203:U203)=0,1,AVERAGEIF(S203:U203,"&lt;&gt;0"))</f>
        <v>0.99582947841283787</v>
      </c>
      <c r="I246" s="589">
        <f>IF(SUM(P203:R203)=0,1,AVERAGEIF(P203:R203,"&lt;&gt;0"))</f>
        <v>0.9976363170868523</v>
      </c>
      <c r="J246" s="590">
        <v>11</v>
      </c>
      <c r="K246" s="590">
        <f t="shared" si="134"/>
        <v>6</v>
      </c>
      <c r="L246" s="591">
        <f t="shared" si="135"/>
        <v>4</v>
      </c>
      <c r="M246" s="589">
        <f>MAX(V203:AA203)</f>
        <v>0.99886721736626449</v>
      </c>
      <c r="N246" s="589">
        <f>IF(SUM(V203:AA203)=0,0,SMALL(V203:AA203,COUNTIF(V203:AA203,0)+1))</f>
        <v>0.99716835379809432</v>
      </c>
      <c r="O246" s="589">
        <f t="shared" si="122"/>
        <v>0.99798583737426916</v>
      </c>
      <c r="P246" s="590">
        <v>11</v>
      </c>
      <c r="Q246" s="590">
        <f t="shared" si="136"/>
        <v>12</v>
      </c>
      <c r="R246" s="591">
        <f t="shared" si="123"/>
        <v>10</v>
      </c>
      <c r="S246" s="589">
        <f>MAX(P203:AA203)</f>
        <v>0.99900425929805114</v>
      </c>
      <c r="T246" s="589">
        <f>IF(SUM(P203:AA203)=0,0,SMALL(P203:AA203,COUNTIF(P203:AA203,0)+1))</f>
        <v>0.99342883054159492</v>
      </c>
      <c r="U246" s="317">
        <f t="shared" si="124"/>
        <v>0.99759432173208629</v>
      </c>
      <c r="V246" s="568" t="s">
        <v>989</v>
      </c>
      <c r="W246" s="7"/>
      <c r="X246" s="14">
        <f t="shared" si="125"/>
        <v>0.9980141592874151</v>
      </c>
      <c r="Y246" s="14">
        <f t="shared" si="126"/>
        <v>0.99766479895670679</v>
      </c>
      <c r="Z246" s="14">
        <f t="shared" si="127"/>
        <v>0.99736469226337565</v>
      </c>
      <c r="AA246" s="14">
        <f t="shared" si="128"/>
        <v>0.9947768525361339</v>
      </c>
      <c r="AB246" s="14">
        <f t="shared" si="129"/>
        <v>0.99761433333454952</v>
      </c>
      <c r="AC246" s="14">
        <f t="shared" si="130"/>
        <v>0.99752106002928087</v>
      </c>
      <c r="AD246" s="14">
        <f t="shared" si="131"/>
        <v>0.99731537735296827</v>
      </c>
      <c r="AE246" s="14">
        <f t="shared" si="132"/>
        <v>0.99582947841283787</v>
      </c>
      <c r="AF246" s="14">
        <f t="shared" si="133"/>
        <v>0.9976363170868523</v>
      </c>
      <c r="AH246" s="212"/>
      <c r="AI246" s="212"/>
      <c r="AJ246" s="212"/>
      <c r="AK246" s="212"/>
      <c r="AL246" s="212"/>
      <c r="AM246" s="212"/>
      <c r="AN246" s="212"/>
    </row>
    <row r="247" spans="1:44" x14ac:dyDescent="0.2">
      <c r="A247" s="568" t="s">
        <v>990</v>
      </c>
      <c r="B247" s="7"/>
      <c r="C247" s="589">
        <f>IF(SUM(X204:Z204)=0,1,AVERAGEIF(X204:Z204,"&lt;&gt;0"))</f>
        <v>0.9977003371375357</v>
      </c>
      <c r="D247" s="589">
        <f>IF(SUM(U204:Z204)=0,1,AVERAGEIF(U204:Z204,"&lt;&gt;0"))</f>
        <v>0.99700175399268876</v>
      </c>
      <c r="E247" s="589">
        <f>IF(SUM(O204:Z204)=0,1,AVERAGEIF(O204:Z204,"&lt;&gt;0"))</f>
        <v>0.99741603711298421</v>
      </c>
      <c r="F247" s="589">
        <f>IF(SUM($C204:Z204)=0,1,AVERAGEIF($C204:Z204,"&lt;&gt;0"))</f>
        <v>0.99540845834845149</v>
      </c>
      <c r="G247" s="589">
        <f>IF(SUM(U204:W204)=0,1,AVERAGEIF(U204:W204,"&lt;&gt;0"))</f>
        <v>0.99630317084784148</v>
      </c>
      <c r="H247" s="589">
        <f>IF(SUM(R204:T204)=0,1,AVERAGEIF(R204:T204,"&lt;&gt;0"))</f>
        <v>0.9978870041262452</v>
      </c>
      <c r="I247" s="589">
        <f>IF(SUM(O204:Q204)=0,1,AVERAGEIF(O204:Q204,"&lt;&gt;0"))</f>
        <v>0.99777363634031424</v>
      </c>
      <c r="J247" s="590">
        <v>12</v>
      </c>
      <c r="K247" s="590">
        <f t="shared" si="134"/>
        <v>6</v>
      </c>
      <c r="L247" s="591">
        <f t="shared" si="135"/>
        <v>4</v>
      </c>
      <c r="M247" s="589">
        <f>MAX(U204:Z204)</f>
        <v>0.99831050647975861</v>
      </c>
      <c r="N247" s="589">
        <f>IF(SUM(U204:Z204)=0,0,SMALL(U204:Z204,COUNTIF(U204:Z204,0)+1))</f>
        <v>0.99621305713628128</v>
      </c>
      <c r="O247" s="589">
        <f t="shared" si="122"/>
        <v>0.99687174008502311</v>
      </c>
      <c r="P247" s="590">
        <v>12</v>
      </c>
      <c r="Q247" s="590">
        <f t="shared" si="136"/>
        <v>12</v>
      </c>
      <c r="R247" s="591">
        <f t="shared" si="123"/>
        <v>10</v>
      </c>
      <c r="S247" s="589">
        <f>MAX(O204:Z204)</f>
        <v>0.99903386058017574</v>
      </c>
      <c r="T247" s="589">
        <f>IF(SUM(O204:Z204)=0,0,SMALL(O204:Z204,COUNTIF(O204:Z204,0)+1))</f>
        <v>0.99621305713628128</v>
      </c>
      <c r="U247" s="317">
        <f t="shared" si="124"/>
        <v>0.9973745527639355</v>
      </c>
      <c r="V247" s="568" t="s">
        <v>990</v>
      </c>
      <c r="W247" s="7"/>
      <c r="X247" s="14">
        <f t="shared" si="125"/>
        <v>0.9977003371375357</v>
      </c>
      <c r="Y247" s="14">
        <f t="shared" si="126"/>
        <v>0.99700175399268876</v>
      </c>
      <c r="Z247" s="14">
        <f t="shared" si="127"/>
        <v>0.99741603711298421</v>
      </c>
      <c r="AA247" s="14">
        <f t="shared" si="128"/>
        <v>0.99540845834845149</v>
      </c>
      <c r="AB247" s="14">
        <f t="shared" si="129"/>
        <v>0.99687174008502311</v>
      </c>
      <c r="AC247" s="14">
        <f t="shared" si="130"/>
        <v>0.9973745527639355</v>
      </c>
      <c r="AD247" s="14">
        <f t="shared" si="131"/>
        <v>0.99630317084784148</v>
      </c>
      <c r="AE247" s="14">
        <f t="shared" si="132"/>
        <v>0.9978870041262452</v>
      </c>
      <c r="AF247" s="14">
        <f t="shared" si="133"/>
        <v>0.99777363634031424</v>
      </c>
      <c r="AH247" s="212"/>
      <c r="AI247" s="212"/>
      <c r="AJ247" s="212"/>
      <c r="AK247" s="212"/>
      <c r="AL247" s="212"/>
    </row>
    <row r="248" spans="1:44" x14ac:dyDescent="0.2">
      <c r="A248" s="568" t="s">
        <v>991</v>
      </c>
      <c r="B248" s="7"/>
      <c r="C248" s="589">
        <f>IF(SUM(W205:Y205)=0,1,AVERAGEIF(W205:Y205,"&lt;&gt;0"))</f>
        <v>0.9981494482303207</v>
      </c>
      <c r="D248" s="589">
        <f>IF(SUM(T205:Y205)=0,1,AVERAGEIF(T205:Y205,"&lt;&gt;0"))</f>
        <v>0.99781867871803465</v>
      </c>
      <c r="E248" s="589">
        <f>IF(SUM(N205:Y205)=0,1,AVERAGEIF(N205:Y205,"&lt;&gt;0"))</f>
        <v>0.99805048535484076</v>
      </c>
      <c r="F248" s="589">
        <f>IF(SUM($C205:Y205)=0,1,AVERAGEIF($C205:Y205,"&lt;&gt;0"))</f>
        <v>0.99687461481747841</v>
      </c>
      <c r="G248" s="589">
        <f>IF(SUM(T205:V205)=0,1,AVERAGEIF(T205:V205,"&lt;&gt;0"))</f>
        <v>0.99748790920574859</v>
      </c>
      <c r="H248" s="589">
        <f>IF(SUM(Q205:S205)=0,1,AVERAGEIF(Q205:S205,"&lt;&gt;0"))</f>
        <v>0.99870770036729561</v>
      </c>
      <c r="I248" s="589">
        <f>IF(SUM(N205:P205)=0,1,AVERAGEIF(N205:P205,"&lt;&gt;0"))</f>
        <v>0.99785688361599778</v>
      </c>
      <c r="J248" s="590">
        <v>13</v>
      </c>
      <c r="K248" s="590">
        <f t="shared" si="134"/>
        <v>6</v>
      </c>
      <c r="L248" s="591">
        <f t="shared" si="135"/>
        <v>4</v>
      </c>
      <c r="M248" s="589">
        <f>MAX(T205:Y205)</f>
        <v>0.9989721237641972</v>
      </c>
      <c r="N248" s="589">
        <f>IF(SUM(T205:Y205)=0,0,SMALL(T205:Y205,COUNTIF(T205:Y205,0)+1))</f>
        <v>0.99650170611964206</v>
      </c>
      <c r="O248" s="589">
        <f t="shared" si="122"/>
        <v>0.99785956060609204</v>
      </c>
      <c r="P248" s="590">
        <v>13</v>
      </c>
      <c r="Q248" s="590">
        <f t="shared" si="136"/>
        <v>12</v>
      </c>
      <c r="R248" s="591">
        <f t="shared" si="123"/>
        <v>10</v>
      </c>
      <c r="S248" s="589">
        <f>MAX(N205:Y205)</f>
        <v>0.99943462340604294</v>
      </c>
      <c r="T248" s="589">
        <f>IF(SUM(N205:Y205)=0,0,SMALL(N205:Y205,COUNTIF(N205:Y205,0)+1))</f>
        <v>0.99650170611964206</v>
      </c>
      <c r="U248" s="317">
        <f t="shared" si="124"/>
        <v>0.99806694947324048</v>
      </c>
      <c r="V248" s="568" t="s">
        <v>991</v>
      </c>
      <c r="W248" s="7"/>
      <c r="X248" s="14">
        <f t="shared" si="125"/>
        <v>0.9981494482303207</v>
      </c>
      <c r="Y248" s="14">
        <f t="shared" si="126"/>
        <v>0.99781867871803465</v>
      </c>
      <c r="Z248" s="14">
        <f t="shared" si="127"/>
        <v>0.99805048535484076</v>
      </c>
      <c r="AA248" s="14">
        <f t="shared" si="128"/>
        <v>0.99687461481747841</v>
      </c>
      <c r="AB248" s="14">
        <f t="shared" si="129"/>
        <v>0.99785956060609204</v>
      </c>
      <c r="AC248" s="14">
        <f t="shared" si="130"/>
        <v>0.99806694947324048</v>
      </c>
      <c r="AD248" s="14">
        <f t="shared" si="131"/>
        <v>0.99748790920574859</v>
      </c>
      <c r="AE248" s="14">
        <f t="shared" si="132"/>
        <v>0.99850679601822656</v>
      </c>
      <c r="AF248" s="14">
        <f t="shared" si="133"/>
        <v>0.99782888474615583</v>
      </c>
      <c r="AH248" s="212"/>
      <c r="AI248" s="212"/>
      <c r="AJ248" s="212"/>
      <c r="AK248" s="212"/>
      <c r="AL248" s="212"/>
    </row>
    <row r="249" spans="1:44" x14ac:dyDescent="0.2">
      <c r="A249" s="568" t="s">
        <v>992</v>
      </c>
      <c r="B249" s="7"/>
      <c r="C249" s="589">
        <f>IF(SUM(V206:X206)=0,1,AVERAGEIF(V206:X206,"&lt;&gt;0"))</f>
        <v>0.99895497479445117</v>
      </c>
      <c r="D249" s="589">
        <f>IF(SUM(S206:X206)=0,1,AVERAGEIF(S206:X206,"&lt;&gt;0"))</f>
        <v>0.99875950052703544</v>
      </c>
      <c r="E249" s="589">
        <f>IF(SUM(M206:X206)=0,1,AVERAGEIF(M206:X206,"&lt;&gt;0"))</f>
        <v>0.99834924974342432</v>
      </c>
      <c r="F249" s="589">
        <f>IF(SUM($C206:X206)=0,1,AVERAGEIF($C206:X206,"&lt;&gt;0"))</f>
        <v>0.99783522700615535</v>
      </c>
      <c r="G249" s="589">
        <f>IF(SUM(S206:U206)=0,1,AVERAGEIF(S206:U206,"&lt;&gt;0"))</f>
        <v>0.99856402625961971</v>
      </c>
      <c r="H249" s="589">
        <f>IF(SUM(P206:R206)=0,1,AVERAGEIF(P206:R206,"&lt;&gt;0"))</f>
        <v>0.99810510855631485</v>
      </c>
      <c r="I249" s="589">
        <f>IF(SUM(M206:O206)=0,1,AVERAGEIF(M206:O206,"&lt;&gt;0"))</f>
        <v>0.99777288936331121</v>
      </c>
      <c r="J249" s="590">
        <v>14</v>
      </c>
      <c r="K249" s="590">
        <f t="shared" si="134"/>
        <v>6</v>
      </c>
      <c r="L249" s="591">
        <f t="shared" si="135"/>
        <v>4</v>
      </c>
      <c r="M249" s="589">
        <f>MAX(S206:X206)</f>
        <v>0.99976852949351058</v>
      </c>
      <c r="N249" s="589">
        <f>IF(SUM(S206:X206)=0,0,SMALL(S206:X206,COUNTIF(S206:X206,0)+1))</f>
        <v>0.99763028646659924</v>
      </c>
      <c r="O249" s="589">
        <f t="shared" si="122"/>
        <v>0.99878954680052556</v>
      </c>
      <c r="P249" s="590">
        <v>14</v>
      </c>
      <c r="Q249" s="590">
        <f t="shared" si="136"/>
        <v>12</v>
      </c>
      <c r="R249" s="591">
        <f t="shared" si="123"/>
        <v>10</v>
      </c>
      <c r="S249" s="589">
        <f>MAX(M206:X206)</f>
        <v>0.99976852949351058</v>
      </c>
      <c r="T249" s="589">
        <f>IF(SUM(M206:X206)=0,0,SMALL(M206:X206,COUNTIF(M206:X206,0)+1))</f>
        <v>0.99663397082843108</v>
      </c>
      <c r="U249" s="317">
        <f t="shared" si="124"/>
        <v>0.99837884965991497</v>
      </c>
      <c r="V249" s="568" t="s">
        <v>992</v>
      </c>
      <c r="W249" s="7"/>
      <c r="X249" s="14">
        <f t="shared" si="125"/>
        <v>0.99867838780681928</v>
      </c>
      <c r="Y249" s="14">
        <f t="shared" si="126"/>
        <v>0.99865614973316041</v>
      </c>
      <c r="Z249" s="14">
        <f t="shared" si="127"/>
        <v>0.99834924974342432</v>
      </c>
      <c r="AA249" s="14">
        <f t="shared" si="128"/>
        <v>0.99783522700615535</v>
      </c>
      <c r="AB249" s="14">
        <f t="shared" si="129"/>
        <v>0.99865782490076349</v>
      </c>
      <c r="AC249" s="14">
        <f t="shared" si="130"/>
        <v>0.99837884965991497</v>
      </c>
      <c r="AD249" s="14">
        <f t="shared" si="131"/>
        <v>0.99856402625961971</v>
      </c>
      <c r="AE249" s="14">
        <f t="shared" si="132"/>
        <v>0.99810510855631485</v>
      </c>
      <c r="AF249" s="14">
        <f t="shared" si="133"/>
        <v>0.99777288936331121</v>
      </c>
      <c r="AH249" s="212"/>
      <c r="AI249" s="212"/>
      <c r="AJ249" s="212"/>
      <c r="AK249" s="212"/>
      <c r="AL249" s="212"/>
    </row>
    <row r="250" spans="1:44" x14ac:dyDescent="0.2">
      <c r="A250" s="568" t="s">
        <v>993</v>
      </c>
      <c r="B250" s="7"/>
      <c r="C250" s="589">
        <f>IF(SUM(U207:W207)=0,1,AVERAGEIF(U207:W207,"&lt;&gt;0"))</f>
        <v>0.99812544355152266</v>
      </c>
      <c r="D250" s="589">
        <f>IF(SUM(R207:W207)=0,1,AVERAGEIF(R207:W207,"&lt;&gt;0"))</f>
        <v>0.99844948022826363</v>
      </c>
      <c r="E250" s="589">
        <f>IF(SUM(L207:W207)=0,1,AVERAGEIF(L207:W207,"&lt;&gt;0"))</f>
        <v>0.99866828241112682</v>
      </c>
      <c r="F250" s="589">
        <f>IF(SUM($C207:W207)=0,1,AVERAGEIF($C207:W207,"&lt;&gt;0"))</f>
        <v>0.99804977402570771</v>
      </c>
      <c r="G250" s="589">
        <f>IF(SUM(R207:T207)=0,1,AVERAGEIF(R207:T207,"&lt;&gt;0"))</f>
        <v>0.99877351690500449</v>
      </c>
      <c r="H250" s="589">
        <f>IF(SUM(O207:Q207)=0,1,AVERAGEIF(O207:Q207,"&lt;&gt;0"))</f>
        <v>0.99889731741690513</v>
      </c>
      <c r="I250" s="589">
        <f>IF(SUM(L207:N207)=0,1,AVERAGEIF(L207:N207,"&lt;&gt;0"))</f>
        <v>0.9988768517710751</v>
      </c>
      <c r="J250" s="590">
        <v>15</v>
      </c>
      <c r="K250" s="590">
        <f t="shared" si="134"/>
        <v>6</v>
      </c>
      <c r="L250" s="591">
        <f t="shared" si="135"/>
        <v>4</v>
      </c>
      <c r="M250" s="589">
        <f>MAX(R207:W207)</f>
        <v>0.99920772820903314</v>
      </c>
      <c r="N250" s="589">
        <f>IF(SUM(R207:W207)=0,0,SMALL(R207:W207,COUNTIF(R207:W207,0)+1))</f>
        <v>0.99791142030451652</v>
      </c>
      <c r="O250" s="589">
        <f t="shared" si="122"/>
        <v>0.998394433214008</v>
      </c>
      <c r="P250" s="590">
        <v>15</v>
      </c>
      <c r="Q250" s="590">
        <f t="shared" si="136"/>
        <v>12</v>
      </c>
      <c r="R250" s="591">
        <f t="shared" si="123"/>
        <v>10</v>
      </c>
      <c r="S250" s="589">
        <f>MAX(L207:W207)</f>
        <v>0.99969676339380109</v>
      </c>
      <c r="T250" s="589">
        <f>IF(SUM(L207:W207)=0,0,SMALL(L207:W207,COUNTIF(L207:W207,0)+1))</f>
        <v>0.99772314640269988</v>
      </c>
      <c r="U250" s="317">
        <f t="shared" si="124"/>
        <v>0.99865994791370194</v>
      </c>
      <c r="V250" s="568" t="s">
        <v>993</v>
      </c>
      <c r="W250" s="7"/>
      <c r="X250" s="14">
        <f t="shared" si="125"/>
        <v>0.99812544355152266</v>
      </c>
      <c r="Y250" s="14">
        <f t="shared" si="126"/>
        <v>0.99844948022826363</v>
      </c>
      <c r="Z250" s="14">
        <f t="shared" si="127"/>
        <v>0.99866828241112682</v>
      </c>
      <c r="AA250" s="14">
        <f t="shared" si="128"/>
        <v>0.99804977402570771</v>
      </c>
      <c r="AB250" s="14">
        <f t="shared" si="129"/>
        <v>0.998394433214008</v>
      </c>
      <c r="AC250" s="14">
        <f t="shared" si="130"/>
        <v>0.99865994791370194</v>
      </c>
      <c r="AD250" s="14">
        <f t="shared" si="131"/>
        <v>0.99877351690500449</v>
      </c>
      <c r="AE250" s="14">
        <f t="shared" si="132"/>
        <v>0.99819869366367808</v>
      </c>
      <c r="AF250" s="14">
        <f t="shared" si="133"/>
        <v>0.9988768517710751</v>
      </c>
      <c r="AH250" s="212"/>
      <c r="AI250" s="212"/>
      <c r="AJ250" s="212"/>
      <c r="AK250" s="212"/>
      <c r="AL250" s="212"/>
    </row>
    <row r="251" spans="1:44" x14ac:dyDescent="0.2">
      <c r="A251" s="568" t="s">
        <v>994</v>
      </c>
      <c r="B251" s="7"/>
      <c r="C251" s="589">
        <f>IF(SUM(T208:V208)=0,1,AVERAGEIF(T208:V208,"&lt;&gt;0"))</f>
        <v>0.99974089136417266</v>
      </c>
      <c r="D251" s="589">
        <f>IF(SUM(Q208:V208)=0,1,AVERAGEIF(Q208:V208,"&lt;&gt;0"))</f>
        <v>0.99964092736396859</v>
      </c>
      <c r="E251" s="589">
        <f>IF(SUM(K208:V208)=0,1,AVERAGEIF(K208:V208,"&lt;&gt;0"))</f>
        <v>0.99880710638144399</v>
      </c>
      <c r="F251" s="589">
        <f>IF(SUM($C208:V208)=0,1,AVERAGEIF($C208:V208,"&lt;&gt;0"))</f>
        <v>0.99823897914665005</v>
      </c>
      <c r="G251" s="589">
        <f>IF(SUM(Q208:S208)=0,1,AVERAGEIF(Q208:S208,"&lt;&gt;0"))</f>
        <v>0.99954096336376452</v>
      </c>
      <c r="H251" s="589">
        <f>IF(SUM(N208:P208)=0,1,AVERAGEIF(N208:P208,"&lt;&gt;0"))</f>
        <v>0.99680291165729384</v>
      </c>
      <c r="I251" s="589">
        <f>IF(SUM(K208:M208)=0,1,AVERAGEIF(K208:M208,"&lt;&gt;0"))</f>
        <v>0.99914365914054581</v>
      </c>
      <c r="J251" s="590">
        <v>16</v>
      </c>
      <c r="K251" s="590">
        <f t="shared" si="134"/>
        <v>6</v>
      </c>
      <c r="L251" s="591">
        <f t="shared" si="135"/>
        <v>4</v>
      </c>
      <c r="M251" s="589">
        <f>MAX(Q208:V208)</f>
        <v>0.99985851282176696</v>
      </c>
      <c r="N251" s="589">
        <f>IF(SUM(Q208:V208)=0,0,SMALL(Q208:V208,COUNTIF(Q208:V208,0)+1))</f>
        <v>0.9993296714158777</v>
      </c>
      <c r="O251" s="589">
        <f t="shared" si="122"/>
        <v>0.99966434498654166</v>
      </c>
      <c r="P251" s="590">
        <v>16</v>
      </c>
      <c r="Q251" s="590">
        <f t="shared" si="136"/>
        <v>12</v>
      </c>
      <c r="R251" s="591">
        <f t="shared" si="123"/>
        <v>10</v>
      </c>
      <c r="S251" s="589">
        <f>MAX(K208:V208)</f>
        <v>0.99985851282176696</v>
      </c>
      <c r="T251" s="589">
        <f>IF(SUM(K208:V208)=0,0,SMALL(K208:V208,COUNTIF(K208:V208,0)+1))</f>
        <v>0.99332689304865074</v>
      </c>
      <c r="U251" s="317">
        <f t="shared" si="124"/>
        <v>0.99924998707069113</v>
      </c>
      <c r="V251" s="568" t="s">
        <v>994</v>
      </c>
      <c r="W251" s="7"/>
      <c r="X251" s="14">
        <f t="shared" si="125"/>
        <v>0.99964797790057536</v>
      </c>
      <c r="Y251" s="14">
        <f t="shared" si="126"/>
        <v>0.99943827754361236</v>
      </c>
      <c r="Z251" s="14">
        <f t="shared" si="127"/>
        <v>0.99880710638144399</v>
      </c>
      <c r="AA251" s="14">
        <f t="shared" si="128"/>
        <v>0.99823897914665005</v>
      </c>
      <c r="AB251" s="14">
        <f t="shared" si="129"/>
        <v>0.99947960614805198</v>
      </c>
      <c r="AC251" s="14">
        <f t="shared" si="130"/>
        <v>0.9992209216941994</v>
      </c>
      <c r="AD251" s="14">
        <f t="shared" si="131"/>
        <v>0.99922855307477931</v>
      </c>
      <c r="AE251" s="14">
        <f t="shared" si="132"/>
        <v>0.99680291165729384</v>
      </c>
      <c r="AF251" s="14">
        <f t="shared" si="133"/>
        <v>0.99914365914054581</v>
      </c>
      <c r="AH251" s="212"/>
      <c r="AI251" s="212"/>
      <c r="AJ251" s="212"/>
      <c r="AK251" s="212"/>
      <c r="AL251" s="212"/>
    </row>
    <row r="252" spans="1:44" x14ac:dyDescent="0.2">
      <c r="A252" s="568" t="s">
        <v>995</v>
      </c>
      <c r="B252" s="7"/>
      <c r="C252" s="589">
        <f>IF(SUM(S209:U209)=0,1,AVERAGEIF(S209:U209,"&lt;&gt;0"))</f>
        <v>0.99946217687802574</v>
      </c>
      <c r="D252" s="589">
        <f>IF(SUM(P209:U209)=0,1,AVERAGEIF(P209:U209,"&lt;&gt;0"))</f>
        <v>0.99903310113967458</v>
      </c>
      <c r="E252" s="589">
        <f>IF(SUM(J209:U209)=0,1,AVERAGEIF(J209:U209,"&lt;&gt;0"))</f>
        <v>0.99911546817292018</v>
      </c>
      <c r="F252" s="589">
        <f>IF(SUM($C209:U209)=0,1,AVERAGEIF($C209:U209,"&lt;&gt;0"))</f>
        <v>0.99879455136344597</v>
      </c>
      <c r="G252" s="589">
        <f>IF(SUM(P209:R209)=0,1,AVERAGEIF(P209:R209,"&lt;&gt;0"))</f>
        <v>0.99860402540132343</v>
      </c>
      <c r="H252" s="589">
        <f>IF(SUM(M209:O209)=0,1,AVERAGEIF(M209:O209,"&lt;&gt;0"))</f>
        <v>0.99915189419156558</v>
      </c>
      <c r="I252" s="589">
        <f>IF(SUM(J209:L209)=0,1,AVERAGEIF(J209:L209,"&lt;&gt;0"))</f>
        <v>0.99924377622076621</v>
      </c>
      <c r="J252" s="590">
        <v>17</v>
      </c>
      <c r="K252" s="590">
        <f t="shared" si="134"/>
        <v>6</v>
      </c>
      <c r="L252" s="591">
        <f t="shared" si="135"/>
        <v>4</v>
      </c>
      <c r="M252" s="589">
        <f>MAX(P209:U209)</f>
        <v>0.99962443923207134</v>
      </c>
      <c r="N252" s="589">
        <f>IF(SUM(P209:U209)=0,0,SMALL(P209:U209,COUNTIF(P209:U209,0)+1))</f>
        <v>0.9981332440681504</v>
      </c>
      <c r="O252" s="589">
        <f t="shared" si="122"/>
        <v>0.9991102308844565</v>
      </c>
      <c r="P252" s="590">
        <v>17</v>
      </c>
      <c r="Q252" s="590">
        <f t="shared" si="136"/>
        <v>12</v>
      </c>
      <c r="R252" s="591">
        <f t="shared" si="123"/>
        <v>10</v>
      </c>
      <c r="S252" s="589">
        <f>MAX(J209:U209)</f>
        <v>0.99962443923207134</v>
      </c>
      <c r="T252" s="589">
        <f>IF(SUM(J209:U209)=0,0,SMALL(J209:U209,COUNTIF(J209:U209,0)+1))</f>
        <v>0.9981332440681504</v>
      </c>
      <c r="U252" s="317">
        <f t="shared" si="124"/>
        <v>0.99916279347748205</v>
      </c>
      <c r="V252" s="568" t="s">
        <v>995</v>
      </c>
      <c r="W252" s="7"/>
      <c r="X252" s="14">
        <f t="shared" si="125"/>
        <v>0.99946217687802574</v>
      </c>
      <c r="Y252" s="14">
        <f t="shared" si="126"/>
        <v>0.99903310113967458</v>
      </c>
      <c r="Z252" s="14">
        <f t="shared" si="127"/>
        <v>0.99910460609162133</v>
      </c>
      <c r="AA252" s="14">
        <f t="shared" si="128"/>
        <v>0.99858649492434448</v>
      </c>
      <c r="AB252" s="14">
        <f t="shared" si="129"/>
        <v>0.9991102308844565</v>
      </c>
      <c r="AC252" s="14">
        <f t="shared" si="130"/>
        <v>0.99914732320170419</v>
      </c>
      <c r="AD252" s="14">
        <f t="shared" si="131"/>
        <v>0.99852685097237315</v>
      </c>
      <c r="AE252" s="14">
        <f t="shared" si="132"/>
        <v>0.999041568602417</v>
      </c>
      <c r="AF252" s="14">
        <f t="shared" si="133"/>
        <v>0.99924377622076621</v>
      </c>
      <c r="AH252" s="212"/>
      <c r="AI252" s="212"/>
      <c r="AJ252" s="212"/>
      <c r="AK252" s="212"/>
      <c r="AL252" s="212"/>
    </row>
    <row r="253" spans="1:44" x14ac:dyDescent="0.2">
      <c r="A253" s="568" t="s">
        <v>996</v>
      </c>
      <c r="B253" s="7"/>
      <c r="C253" s="589">
        <f>IF(SUM(R210:T210)=0,1,AVERAGEIF(R210:T210,"&lt;&gt;0"))</f>
        <v>0.99987736453334797</v>
      </c>
      <c r="D253" s="589">
        <f>IF(SUM(O210:T210)=0,1,AVERAGEIF(O210:T210,"&lt;&gt;0"))</f>
        <v>0.99912494227000748</v>
      </c>
      <c r="E253" s="589">
        <f>IF(SUM(I210:T210)=0,1,AVERAGEIF(I210:T210,"&lt;&gt;0"))</f>
        <v>0.99908288228329012</v>
      </c>
      <c r="F253" s="589">
        <f>IF(SUM($C210:T210)=0,1,AVERAGEIF($C210:T210,"&lt;&gt;0"))</f>
        <v>0.99817051205629048</v>
      </c>
      <c r="G253" s="589">
        <f>IF(SUM(O210:Q210)=0,1,AVERAGEIF(O210:Q210,"&lt;&gt;0"))</f>
        <v>0.99837252000666687</v>
      </c>
      <c r="H253" s="589">
        <f>IF(SUM(L210:N210)=0,1,AVERAGEIF(L210:N210,"&lt;&gt;0"))</f>
        <v>0.99882095396897663</v>
      </c>
      <c r="I253" s="589">
        <f>IF(SUM(I210:K210)=0,1,AVERAGEIF(I210:K210,"&lt;&gt;0"))</f>
        <v>0.99926069062416945</v>
      </c>
      <c r="J253" s="590">
        <v>18</v>
      </c>
      <c r="K253" s="590">
        <f t="shared" si="134"/>
        <v>6</v>
      </c>
      <c r="L253" s="591">
        <f t="shared" si="135"/>
        <v>4</v>
      </c>
      <c r="M253" s="589">
        <f>MAX(O210:T210)</f>
        <v>0.99998471890588425</v>
      </c>
      <c r="N253" s="589">
        <f>IF(SUM(O210:T210)=0,0,SMALL(O210:T210,COUNTIF(O210:T210,0)+1))</f>
        <v>0.99784603480625078</v>
      </c>
      <c r="O253" s="589">
        <f t="shared" si="122"/>
        <v>0.99922972497697737</v>
      </c>
      <c r="P253" s="590">
        <v>18</v>
      </c>
      <c r="Q253" s="590">
        <f t="shared" si="136"/>
        <v>12</v>
      </c>
      <c r="R253" s="591">
        <f t="shared" si="123"/>
        <v>10</v>
      </c>
      <c r="S253" s="589">
        <f>MAX(I210:T210)</f>
        <v>0.99998471890588425</v>
      </c>
      <c r="T253" s="589">
        <f>IF(SUM(I210:T210)=0,0,SMALL(I210:T210,COUNTIF(I210:T210,0)+1))</f>
        <v>0.99784603480625078</v>
      </c>
      <c r="U253" s="317">
        <f t="shared" si="124"/>
        <v>0.99911638336873465</v>
      </c>
      <c r="V253" s="568" t="s">
        <v>996</v>
      </c>
      <c r="W253" s="7"/>
      <c r="X253" s="14">
        <f t="shared" si="125"/>
        <v>0.99985015369117236</v>
      </c>
      <c r="Y253" s="14">
        <f t="shared" si="126"/>
        <v>0.99912494227000748</v>
      </c>
      <c r="Z253" s="14">
        <f t="shared" si="127"/>
        <v>0.99908288228329012</v>
      </c>
      <c r="AA253" s="14">
        <f t="shared" si="128"/>
        <v>0.99817051205629048</v>
      </c>
      <c r="AB253" s="14">
        <f t="shared" si="129"/>
        <v>0.99922972497697737</v>
      </c>
      <c r="AC253" s="14">
        <f t="shared" si="130"/>
        <v>0.99911638336873465</v>
      </c>
      <c r="AD253" s="14">
        <f t="shared" si="131"/>
        <v>0.99837252000666687</v>
      </c>
      <c r="AE253" s="14">
        <f t="shared" si="132"/>
        <v>0.99882095396897663</v>
      </c>
      <c r="AF253" s="14">
        <f t="shared" si="133"/>
        <v>0.99918041644221078</v>
      </c>
      <c r="AH253" s="212"/>
      <c r="AI253" s="212"/>
      <c r="AJ253" s="212"/>
      <c r="AK253" s="212"/>
      <c r="AL253" s="212"/>
    </row>
    <row r="254" spans="1:44" x14ac:dyDescent="0.2">
      <c r="A254" s="568" t="s">
        <v>997</v>
      </c>
      <c r="B254" s="7"/>
      <c r="C254" s="589">
        <f>IF(SUM(Q211:S211)=0,1,AVERAGEIF(Q211:S211,"&lt;&gt;0"))</f>
        <v>0.99979573422836332</v>
      </c>
      <c r="D254" s="589">
        <f>IF(SUM(N211:S211)=0,1,AVERAGEIF(N211:S211,"&lt;&gt;0"))</f>
        <v>0.99964634295889754</v>
      </c>
      <c r="E254" s="589">
        <f>IF(SUM(H211:S211)=0,1,AVERAGEIF(H211:S211,"&lt;&gt;0"))</f>
        <v>0.99929204892038725</v>
      </c>
      <c r="F254" s="589">
        <f>IF(SUM($C211:S211)=0,1,AVERAGEIF($C211:S211,"&lt;&gt;0"))</f>
        <v>0.99916806596936969</v>
      </c>
      <c r="G254" s="589">
        <f>IF(SUM(N211:P211)=0,1,AVERAGEIF(N211:P211,"&lt;&gt;0"))</f>
        <v>0.99949695168943176</v>
      </c>
      <c r="H254" s="589">
        <f>IF(SUM(K211:M211)=0,1,AVERAGEIF(K211:M211,"&lt;&gt;0"))</f>
        <v>0.99885562233984293</v>
      </c>
      <c r="I254" s="589">
        <f>IF(SUM(H211:J211)=0,1,AVERAGEIF(H211:J211,"&lt;&gt;0"))</f>
        <v>0.99901988742391101</v>
      </c>
      <c r="J254" s="590">
        <v>19</v>
      </c>
      <c r="K254" s="590">
        <f t="shared" si="134"/>
        <v>6</v>
      </c>
      <c r="L254" s="591">
        <f t="shared" si="135"/>
        <v>4</v>
      </c>
      <c r="M254" s="589">
        <f>MAX(N211:S211)</f>
        <v>0.99993748800962756</v>
      </c>
      <c r="N254" s="589">
        <f>IF(SUM(N211:S211)=0,0,SMALL(N211:S211,COUNTIF(N211:S211,0)+1))</f>
        <v>0.99912723263005421</v>
      </c>
      <c r="O254" s="589">
        <f t="shared" si="122"/>
        <v>0.99970333427842584</v>
      </c>
      <c r="P254" s="590">
        <v>19</v>
      </c>
      <c r="Q254" s="590">
        <f t="shared" si="136"/>
        <v>12</v>
      </c>
      <c r="R254" s="591">
        <f t="shared" si="123"/>
        <v>10</v>
      </c>
      <c r="S254" s="589">
        <f>MAX(H211:S211)</f>
        <v>0.99993748800962756</v>
      </c>
      <c r="T254" s="589">
        <f>IF(SUM(H211:S211)=0,0,SMALL(H211:S211,COUNTIF(H211:S211,0)+1))</f>
        <v>0.99750863045684579</v>
      </c>
      <c r="U254" s="317">
        <f t="shared" si="124"/>
        <v>0.9994058468578173</v>
      </c>
      <c r="V254" s="568" t="s">
        <v>997</v>
      </c>
      <c r="W254" s="7"/>
      <c r="X254" s="14">
        <f t="shared" si="125"/>
        <v>0.9997918501294969</v>
      </c>
      <c r="Y254" s="14">
        <f t="shared" si="126"/>
        <v>0.99959630883741357</v>
      </c>
      <c r="Z254" s="14">
        <f t="shared" si="127"/>
        <v>0.99929204892038725</v>
      </c>
      <c r="AA254" s="14">
        <f t="shared" si="128"/>
        <v>0.99916806596936969</v>
      </c>
      <c r="AB254" s="14">
        <f t="shared" si="129"/>
        <v>0.99969484410472043</v>
      </c>
      <c r="AC254" s="14">
        <f t="shared" si="130"/>
        <v>0.9994058468578173</v>
      </c>
      <c r="AD254" s="14">
        <f t="shared" si="131"/>
        <v>0.99940076328218586</v>
      </c>
      <c r="AE254" s="14">
        <f t="shared" si="132"/>
        <v>0.99878896787007287</v>
      </c>
      <c r="AF254" s="14">
        <f t="shared" si="133"/>
        <v>0.99901988742391101</v>
      </c>
      <c r="AH254" s="212"/>
      <c r="AI254" s="212"/>
      <c r="AJ254" s="212"/>
      <c r="AK254" s="212"/>
      <c r="AL254" s="212"/>
    </row>
    <row r="255" spans="1:44" x14ac:dyDescent="0.2">
      <c r="A255" s="568" t="s">
        <v>998</v>
      </c>
      <c r="B255" s="7"/>
      <c r="C255" s="589">
        <f>IF(SUM(P212:R212)=0,1,AVERAGEIF(P212:R212,"&lt;&gt;0"))</f>
        <v>0.99978408197703195</v>
      </c>
      <c r="D255" s="589">
        <f>IF(SUM(M212:R212)=0,1,AVERAGEIF(M212:R212,"&lt;&gt;0"))</f>
        <v>0.99949624810721716</v>
      </c>
      <c r="E255" s="589">
        <f>IF(SUM(G212:R212)=0,1,AVERAGEIF(G212:R212,"&lt;&gt;0"))</f>
        <v>0.99934973484307432</v>
      </c>
      <c r="F255" s="589">
        <f>IF(SUM($C212:R212)=0,1,AVERAGEIF($C212:R212,"&lt;&gt;0"))</f>
        <v>0.99926830958652757</v>
      </c>
      <c r="G255" s="589">
        <f>IF(SUM(M212:O212)=0,1,AVERAGEIF(M212:O212,"&lt;&gt;0"))</f>
        <v>0.99920841423740214</v>
      </c>
      <c r="H255" s="589">
        <f>IF(SUM(J212:L212)=0,1,AVERAGEIF(J212:L212,"&lt;&gt;0"))</f>
        <v>0.99865567227396135</v>
      </c>
      <c r="I255" s="589">
        <f>IF(SUM(G212:I212)=0,1,AVERAGEIF(G212:I212,"&lt;&gt;0"))</f>
        <v>0.99975077088390141</v>
      </c>
      <c r="J255" s="590">
        <v>20</v>
      </c>
      <c r="K255" s="590">
        <f t="shared" si="134"/>
        <v>6</v>
      </c>
      <c r="L255" s="591">
        <f t="shared" si="135"/>
        <v>4</v>
      </c>
      <c r="M255" s="589">
        <f>MAX(M212:R212)</f>
        <v>1</v>
      </c>
      <c r="N255" s="589">
        <f>IF(SUM(M212:R212)=0,0,SMALL(M212:R212,COUNTIF(M212:R212,0)+1))</f>
        <v>0.99826603274881343</v>
      </c>
      <c r="O255" s="589">
        <f t="shared" si="122"/>
        <v>0.99967786397362235</v>
      </c>
      <c r="P255" s="590">
        <v>20</v>
      </c>
      <c r="Q255" s="590">
        <f t="shared" si="136"/>
        <v>12</v>
      </c>
      <c r="R255" s="591">
        <f t="shared" si="123"/>
        <v>10</v>
      </c>
      <c r="S255" s="589">
        <f>MAX(G212:R212)</f>
        <v>1</v>
      </c>
      <c r="T255" s="589">
        <f>IF(SUM(G212:R212)=0,0,SMALL(G212:R212,COUNTIF(G212:R212,0)+1))</f>
        <v>0.99642859204417678</v>
      </c>
      <c r="U255" s="317">
        <f t="shared" si="124"/>
        <v>0.99957682260727143</v>
      </c>
      <c r="V255" s="568" t="s">
        <v>998</v>
      </c>
      <c r="W255" s="7"/>
      <c r="X255" s="14">
        <f t="shared" si="125"/>
        <v>0.99956775375858498</v>
      </c>
      <c r="Y255" s="14">
        <f t="shared" si="126"/>
        <v>0.99943188042101638</v>
      </c>
      <c r="Z255" s="14">
        <f t="shared" si="127"/>
        <v>0.99934973484307432</v>
      </c>
      <c r="AA255" s="14">
        <f t="shared" si="128"/>
        <v>0.99926830958652757</v>
      </c>
      <c r="AB255" s="14">
        <f t="shared" si="129"/>
        <v>0.99964690381289811</v>
      </c>
      <c r="AC255" s="14">
        <f t="shared" si="130"/>
        <v>0.99955562257727637</v>
      </c>
      <c r="AD255" s="14">
        <f t="shared" si="131"/>
        <v>0.99920841423740214</v>
      </c>
      <c r="AE255" s="14">
        <f t="shared" si="132"/>
        <v>0.99865567227396135</v>
      </c>
      <c r="AF255" s="14">
        <f t="shared" si="133"/>
        <v>0.99969199743611481</v>
      </c>
      <c r="AH255" s="212"/>
      <c r="AI255" s="212"/>
      <c r="AJ255" s="212"/>
      <c r="AK255" s="212"/>
      <c r="AL255" s="212"/>
    </row>
    <row r="256" spans="1:44" x14ac:dyDescent="0.2">
      <c r="A256" s="568" t="s">
        <v>999</v>
      </c>
      <c r="B256" s="7"/>
      <c r="C256" s="589">
        <f>IF(SUM(O213:Q213)=0,1,AVERAGEIF(O213:Q213,"&lt;&gt;0"))</f>
        <v>0.99913523773557744</v>
      </c>
      <c r="D256" s="589">
        <f>IF(SUM(L213:Q213)=0,1,AVERAGEIF(L213:Q213,"&lt;&gt;0"))</f>
        <v>0.9993031574842095</v>
      </c>
      <c r="E256" s="589">
        <f>IF(SUM(F213:Q213)=0,1,AVERAGEIF(F213:Q213,"&lt;&gt;0"))</f>
        <v>0.99938455510934709</v>
      </c>
      <c r="F256" s="589">
        <f>IF(SUM($C213:Q213)=0,1,AVERAGEIF($C213:Q213,"&lt;&gt;0"))</f>
        <v>0.99937269661243933</v>
      </c>
      <c r="G256" s="589">
        <f>IF(SUM(L213:N213)=0,1,AVERAGEIF(L213:N213,"&lt;&gt;0"))</f>
        <v>0.99947107723284134</v>
      </c>
      <c r="H256" s="589">
        <f>IF(SUM(I213:K213)=0,1,AVERAGEIF(I213:K213,"&lt;&gt;0"))</f>
        <v>0.99935744456309339</v>
      </c>
      <c r="I256" s="589">
        <f>IF(SUM(F213:H213)=0,1,AVERAGEIF(F213:H213,"&lt;&gt;0"))</f>
        <v>0.99957446090587621</v>
      </c>
      <c r="J256" s="590">
        <v>21</v>
      </c>
      <c r="K256" s="590">
        <f t="shared" si="134"/>
        <v>6</v>
      </c>
      <c r="L256" s="591">
        <f t="shared" si="135"/>
        <v>4</v>
      </c>
      <c r="M256" s="589">
        <f>MAX(L213:Q213)</f>
        <v>0.99999657678303921</v>
      </c>
      <c r="N256" s="589">
        <f>IF(SUM(L213:Q213)=0,0,SMALL(L213:Q213,COUNTIF(L213:Q213,0)+1))</f>
        <v>0.99748242265045239</v>
      </c>
      <c r="O256" s="589">
        <f t="shared" si="122"/>
        <v>0.99958498636794135</v>
      </c>
      <c r="P256" s="590">
        <v>21</v>
      </c>
      <c r="Q256" s="590">
        <f t="shared" si="136"/>
        <v>12</v>
      </c>
      <c r="R256" s="591">
        <f t="shared" si="123"/>
        <v>10</v>
      </c>
      <c r="S256" s="589">
        <f>MAX(F213:Q213)</f>
        <v>1</v>
      </c>
      <c r="T256" s="589">
        <f>IF(SUM(F213:Q213)=0,0,SMALL(F213:Q213,COUNTIF(F213:Q213,0)+1))</f>
        <v>0.99748242265045239</v>
      </c>
      <c r="U256" s="317">
        <f t="shared" si="124"/>
        <v>0.99951322386617125</v>
      </c>
      <c r="V256" s="568" t="s">
        <v>999</v>
      </c>
      <c r="W256" s="7"/>
      <c r="X256" s="14">
        <f t="shared" si="125"/>
        <v>0.99913523773557744</v>
      </c>
      <c r="Y256" s="14">
        <f t="shared" si="126"/>
        <v>0.99900128080927098</v>
      </c>
      <c r="Z256" s="14">
        <f t="shared" si="127"/>
        <v>0.99926769604614574</v>
      </c>
      <c r="AA256" s="14">
        <f t="shared" si="128"/>
        <v>0.99926461020954871</v>
      </c>
      <c r="AB256" s="14">
        <f t="shared" si="129"/>
        <v>0.99957266224787422</v>
      </c>
      <c r="AC256" s="14">
        <f t="shared" si="130"/>
        <v>0.99951322386617125</v>
      </c>
      <c r="AD256" s="14">
        <f t="shared" si="131"/>
        <v>0.99866694276386314</v>
      </c>
      <c r="AE256" s="14">
        <f t="shared" si="132"/>
        <v>0.99935744456309339</v>
      </c>
      <c r="AF256" s="14">
        <f t="shared" si="133"/>
        <v>0.99957446090587621</v>
      </c>
      <c r="AH256" s="212"/>
      <c r="AI256" s="212"/>
      <c r="AJ256" s="212"/>
      <c r="AK256" s="212"/>
      <c r="AL256" s="212"/>
      <c r="AM256" s="1" t="s">
        <v>317</v>
      </c>
      <c r="AN256" s="1" t="s">
        <v>318</v>
      </c>
      <c r="AO256" s="28" t="s">
        <v>319</v>
      </c>
      <c r="AP256" s="1" t="s">
        <v>54</v>
      </c>
      <c r="AQ256" s="1" t="s">
        <v>55</v>
      </c>
      <c r="AR256" s="1" t="s">
        <v>56</v>
      </c>
    </row>
    <row r="257" spans="1:44" x14ac:dyDescent="0.2">
      <c r="A257" s="568" t="s">
        <v>1000</v>
      </c>
      <c r="B257" s="7"/>
      <c r="C257" s="589">
        <f>IF(SUM(N214:P214)=0,1,AVERAGEIF(N214:P214,"&lt;&gt;0"))</f>
        <v>0.99973498779342751</v>
      </c>
      <c r="D257" s="589">
        <f>IF(SUM(K214:P214)=0,1,AVERAGEIF(K214:P214,"&lt;&gt;0"))</f>
        <v>0.9983978010110679</v>
      </c>
      <c r="E257" s="589">
        <f>IF(SUM(E214:P214)=0,1,AVERAGEIF(E214:P214,"&lt;&gt;0"))</f>
        <v>0.99903401891149635</v>
      </c>
      <c r="F257" s="589">
        <f>IF(SUM($C214:P214)=0,1,AVERAGEIF($C214:P214,"&lt;&gt;0"))</f>
        <v>0.99904847247251427</v>
      </c>
      <c r="G257" s="589">
        <f>IF(SUM(K214:M214)=0,1,AVERAGEIF(K214:M214,"&lt;&gt;0"))</f>
        <v>0.99706061422870829</v>
      </c>
      <c r="H257" s="589">
        <f>IF(SUM(H214:J214)=0,1,AVERAGEIF(H214:J214,"&lt;&gt;0"))</f>
        <v>0.9995230148365688</v>
      </c>
      <c r="I257" s="589">
        <f>IF(SUM(E214:G214)=0,1,AVERAGEIF(E214:G214,"&lt;&gt;0"))</f>
        <v>0.99981745878728046</v>
      </c>
      <c r="J257" s="590">
        <v>22</v>
      </c>
      <c r="K257" s="590">
        <f t="shared" si="134"/>
        <v>6</v>
      </c>
      <c r="L257" s="591">
        <f t="shared" si="135"/>
        <v>4</v>
      </c>
      <c r="M257" s="589">
        <f>MAX(K214:P214)</f>
        <v>0.9999876933882289</v>
      </c>
      <c r="N257" s="589">
        <f>IF(SUM(K214:P214)=0,0,SMALL(K214:P214,COUNTIF(K214:P214,0)+1))</f>
        <v>0.9922070548238624</v>
      </c>
      <c r="O257" s="589">
        <f t="shared" si="122"/>
        <v>0.9995480144635791</v>
      </c>
      <c r="P257" s="590">
        <v>22</v>
      </c>
      <c r="Q257" s="590">
        <f t="shared" si="136"/>
        <v>12</v>
      </c>
      <c r="R257" s="591">
        <f t="shared" si="123"/>
        <v>10</v>
      </c>
      <c r="S257" s="589">
        <f>MAX(E214:P214)</f>
        <v>0.9999876933882289</v>
      </c>
      <c r="T257" s="589">
        <f>IF(SUM(E214:P214)=0,0,SMALL(E214:P214,COUNTIF(E214:P214,0)+1))</f>
        <v>0.9922070548238624</v>
      </c>
      <c r="U257" s="317">
        <f t="shared" si="124"/>
        <v>0.99962134787258639</v>
      </c>
      <c r="V257" s="568" t="s">
        <v>1000</v>
      </c>
      <c r="W257" s="7"/>
      <c r="X257" s="14">
        <f t="shared" si="125"/>
        <v>0.99973498779342751</v>
      </c>
      <c r="Y257" s="14">
        <f t="shared" si="126"/>
        <v>0.9983978010110679</v>
      </c>
      <c r="Z257" s="14">
        <f t="shared" si="127"/>
        <v>0.99903401891149635</v>
      </c>
      <c r="AA257" s="14">
        <f t="shared" si="128"/>
        <v>0.99904847247251427</v>
      </c>
      <c r="AB257" s="14">
        <f t="shared" si="129"/>
        <v>0.9995480144635791</v>
      </c>
      <c r="AC257" s="14">
        <f t="shared" si="130"/>
        <v>0.99962134787258639</v>
      </c>
      <c r="AD257" s="14">
        <f t="shared" si="131"/>
        <v>0.99706061422870829</v>
      </c>
      <c r="AE257" s="14">
        <f t="shared" si="132"/>
        <v>0.9995230148365688</v>
      </c>
      <c r="AF257" s="14">
        <f t="shared" si="133"/>
        <v>0.99980109362261305</v>
      </c>
      <c r="AH257" s="212"/>
      <c r="AI257" s="212"/>
      <c r="AJ257" s="212"/>
      <c r="AK257" s="212"/>
      <c r="AL257" s="212"/>
      <c r="AM257" s="141">
        <f>+G281</f>
        <v>0.21553914296864224</v>
      </c>
      <c r="AN257" s="141">
        <f>+D281</f>
        <v>0.22267961147516946</v>
      </c>
      <c r="AO257" s="141">
        <f>+D281</f>
        <v>0.22267961147516946</v>
      </c>
      <c r="AP257" s="141">
        <f>+X281</f>
        <v>0.20831702578916045</v>
      </c>
      <c r="AQ257" s="141">
        <f>+AA281</f>
        <v>0.21564737845886728</v>
      </c>
      <c r="AR257" s="141">
        <f>+AD281</f>
        <v>0.28609376262931341</v>
      </c>
    </row>
    <row r="258" spans="1:44" x14ac:dyDescent="0.2">
      <c r="A258" s="568" t="s">
        <v>1001</v>
      </c>
      <c r="B258" s="568"/>
      <c r="C258" s="589">
        <f>IF(SUM(M215:O215)=0,1,AVERAGEIF(M215:O215,"&lt;&gt;0"))</f>
        <v>0.99994549956056156</v>
      </c>
      <c r="D258" s="589">
        <f>IF(SUM(J215:O215)=0,1,AVERAGEIF(J215:O215,"&lt;&gt;0"))</f>
        <v>0.99988159272987798</v>
      </c>
      <c r="E258" s="589">
        <f>IF(SUM(D215:O215)=0,1,AVERAGEIF(D215:O215,"&lt;&gt;0"))</f>
        <v>0.99982783197160863</v>
      </c>
      <c r="F258" s="589">
        <f>IF(SUM($C215:O215)=0,1,AVERAGEIF($C215:O215,"&lt;&gt;0"))</f>
        <v>0.99980030938382192</v>
      </c>
      <c r="G258" s="589">
        <f>IF(SUM(J215:L215)=0,1,AVERAGEIF(J215:L215,"&lt;&gt;0"))</f>
        <v>0.99981768589919418</v>
      </c>
      <c r="H258" s="589">
        <f>IF(SUM(G215:I215)=0,1,AVERAGEIF(G215:I215,"&lt;&gt;0"))</f>
        <v>0.99977977832980258</v>
      </c>
      <c r="I258" s="589">
        <f>IF(SUM(D215:F215)=0,1,AVERAGEIF(D215:F215,"&lt;&gt;0"))</f>
        <v>0.99976836409687653</v>
      </c>
      <c r="J258" s="590">
        <v>23</v>
      </c>
      <c r="K258" s="590">
        <f t="shared" si="134"/>
        <v>6</v>
      </c>
      <c r="L258" s="591">
        <f t="shared" si="135"/>
        <v>4</v>
      </c>
      <c r="M258" s="589">
        <f>MAX(J215:O215)</f>
        <v>1</v>
      </c>
      <c r="N258" s="589">
        <f>IF(SUM(J215:O215)=0,0,SMALL(J215:O215,COUNTIF(J215:O215,0)+1))</f>
        <v>0.99966886733037685</v>
      </c>
      <c r="O258" s="589">
        <f t="shared" si="122"/>
        <v>0.99990517226222275</v>
      </c>
      <c r="P258" s="590">
        <v>23</v>
      </c>
      <c r="Q258" s="590">
        <f t="shared" si="136"/>
        <v>12</v>
      </c>
      <c r="R258" s="591">
        <f t="shared" si="123"/>
        <v>10</v>
      </c>
      <c r="S258" s="589">
        <f>MAX(D215:O215)</f>
        <v>1</v>
      </c>
      <c r="T258" s="589">
        <f>IF(SUM(D215:O215)=0,0,SMALL(D215:O215,COUNTIF(D215:O215,0)+1))</f>
        <v>0.9995153117503468</v>
      </c>
      <c r="U258" s="317">
        <f t="shared" si="124"/>
        <v>0.99984186719089563</v>
      </c>
      <c r="V258" s="568" t="s">
        <v>1001</v>
      </c>
      <c r="W258" s="7"/>
      <c r="X258" s="14">
        <f t="shared" ref="X258:X269" si="137">IF((C258&gt;C259),MIN((C258^2*C259)^(1/3),1),MIN(C258,1))</f>
        <v>0.99988381255229108</v>
      </c>
      <c r="Y258" s="14">
        <f t="shared" ref="Y258:Y269" si="138">IF((D258&gt;D259),MIN((D258^2*D259)^(1/3),1),MIN(D258,1))</f>
        <v>0.99985644281383379</v>
      </c>
      <c r="Z258" s="14">
        <f t="shared" ref="Z258:Z269" si="139">IF((E258&gt;E259),MIN((E258^2*E259)^(1/3),1),MIN(E258,1))</f>
        <v>0.99982783197160863</v>
      </c>
      <c r="AA258" s="14">
        <f t="shared" ref="AA258:AA269" si="140">IF((F258&gt;F259),MIN((F258^2*F259)^(1/3),1),MIN(F258,1))</f>
        <v>0.99980030938382192</v>
      </c>
      <c r="AB258" s="14">
        <f t="shared" ref="AB258:AB269" si="141">IF((O258&gt;O259),MIN((O258^2*O259)^(1/3),1),MIN(O258,1))</f>
        <v>0.99987491450623922</v>
      </c>
      <c r="AC258" s="14">
        <f t="shared" ref="AC258:AC269" si="142">IF((U258&gt;U259),MIN((U258^2*U259)^(1/3),1),MIN(U258,1))</f>
        <v>0.99984186719089563</v>
      </c>
      <c r="AD258" s="14">
        <f t="shared" ref="AD258:AD269" si="143">IF((G258&gt;G259),MIN((G258^2*G259)^(1/3),1),MIN(G258,1))</f>
        <v>0.99981768589919418</v>
      </c>
      <c r="AE258" s="14">
        <f t="shared" ref="AE258:AE269" si="144">IF((H258&gt;H259),MIN((H258^2*H259)^(1/3),1),MIN(H258,1))</f>
        <v>0.99977977832980258</v>
      </c>
      <c r="AF258" s="14">
        <f t="shared" ref="AF258:AF269" si="145">IF((I258&gt;I259),MIN((I258^2*I259)^(1/3),1),MIN(I258,1))</f>
        <v>0.99976836409687653</v>
      </c>
      <c r="AH258" s="212"/>
      <c r="AI258" s="212"/>
      <c r="AJ258" s="212"/>
      <c r="AK258" s="212"/>
      <c r="AL258" s="212"/>
      <c r="AM258" s="141">
        <f>+G282</f>
        <v>0.7322408374727789</v>
      </c>
      <c r="AN258" s="141">
        <f>+D282</f>
        <v>0.73289500849945555</v>
      </c>
      <c r="AO258" s="141">
        <f>+D282</f>
        <v>0.73289500849945555</v>
      </c>
      <c r="AP258" s="141">
        <f>+X282</f>
        <v>0.7312565155923989</v>
      </c>
      <c r="AQ258" s="141">
        <f>+AA282</f>
        <v>0.71514678397062259</v>
      </c>
      <c r="AR258" s="141">
        <f>+AD282</f>
        <v>0.78622930334420382</v>
      </c>
    </row>
    <row r="259" spans="1:44" x14ac:dyDescent="0.2">
      <c r="A259" s="568" t="s">
        <v>1043</v>
      </c>
      <c r="B259" s="568"/>
      <c r="C259" s="589">
        <f>IF(SUM(L216:N216)=0,1,AVERAGEIF(L216:N216,"&lt;&gt;0"))</f>
        <v>0.99976044995199842</v>
      </c>
      <c r="D259" s="593">
        <f>IF(SUM(I216:N216)=0,1,AVERAGEIF(I216:N216,"&lt;&gt;0"))</f>
        <v>0.99980614487950892</v>
      </c>
      <c r="E259" s="593">
        <f>IF(SUM(C216:N216)=0,1,AVERAGEIF(C216:N216,"&lt;&gt;0"))</f>
        <v>0.99984283140269781</v>
      </c>
      <c r="F259" s="593">
        <f>IF(SUM(C216:N216)=0,1,AVERAGEIF(C216:N216,"&lt;&gt;0"))</f>
        <v>0.99984283140269781</v>
      </c>
      <c r="G259" s="593">
        <f>IF(SUM(I216:K216)=0,1,AVERAGEIF(I216:K216,"&lt;&gt;0"))</f>
        <v>0.99985183980701964</v>
      </c>
      <c r="H259" s="593">
        <f>IF(SUM(F216:H216)=0,1,AVERAGEIF(F216:H216,"&lt;&gt;0"))</f>
        <v>0.99984430431681981</v>
      </c>
      <c r="I259" s="589">
        <f>IF(SUM(C216:E216)=0,1,AVERAGEIF(C216:E216,"&lt;&gt;0"))</f>
        <v>0.99991473153495247</v>
      </c>
      <c r="J259" s="594">
        <v>24</v>
      </c>
      <c r="K259" s="590">
        <f t="shared" si="134"/>
        <v>6</v>
      </c>
      <c r="L259" s="591">
        <f t="shared" si="135"/>
        <v>4</v>
      </c>
      <c r="M259" s="589">
        <f>MAX(I216:N216)</f>
        <v>1</v>
      </c>
      <c r="N259" s="593">
        <f>IF(SUM(I216:N216)=0,0,SMALL(I216:N216,COUNTIF(I216:N216,0)+1))</f>
        <v>0.99957926231265204</v>
      </c>
      <c r="O259" s="589">
        <f t="shared" si="122"/>
        <v>0.99981440174110037</v>
      </c>
      <c r="P259" s="594">
        <v>24</v>
      </c>
      <c r="Q259" s="590">
        <f t="shared" ref="Q259:Q270" si="146">MAX((MIN(12,$AU$48-P259)),0)</f>
        <v>12</v>
      </c>
      <c r="R259" s="591">
        <f t="shared" ref="R259:R270" si="147">MAX(Q259-2,1)</f>
        <v>10</v>
      </c>
      <c r="S259" s="593">
        <f>MAX(C216:N216)</f>
        <v>1</v>
      </c>
      <c r="T259" s="593">
        <f>IF(SUM(C216:N216)=0,0,SMALL(C216:N216,COUNTIF(C216:N216,0)+1))</f>
        <v>0.99955830336176454</v>
      </c>
      <c r="U259" s="317">
        <f t="shared" si="124"/>
        <v>0.99985556734706083</v>
      </c>
      <c r="V259" s="568" t="s">
        <v>1043</v>
      </c>
      <c r="W259" s="7"/>
      <c r="X259" s="14">
        <f t="shared" si="137"/>
        <v>0.99976044995199842</v>
      </c>
      <c r="Y259" s="14">
        <f t="shared" si="138"/>
        <v>0.99980614487950892</v>
      </c>
      <c r="Z259" s="14">
        <f t="shared" si="139"/>
        <v>0.99981141276732144</v>
      </c>
      <c r="AA259" s="14">
        <f t="shared" si="140"/>
        <v>0.99981141276732144</v>
      </c>
      <c r="AB259" s="14">
        <f t="shared" si="141"/>
        <v>0.99981440174110037</v>
      </c>
      <c r="AC259" s="14">
        <f t="shared" si="142"/>
        <v>0.99985556734706083</v>
      </c>
      <c r="AD259" s="14">
        <f t="shared" si="143"/>
        <v>0.99985183980701964</v>
      </c>
      <c r="AE259" s="14">
        <f t="shared" si="144"/>
        <v>0.99984430431681981</v>
      </c>
      <c r="AF259" s="14">
        <f t="shared" si="145"/>
        <v>0.99961397917793504</v>
      </c>
      <c r="AH259" s="212"/>
      <c r="AI259" s="212"/>
      <c r="AJ259" s="212"/>
      <c r="AK259" s="212"/>
      <c r="AL259" s="212"/>
      <c r="AM259" s="141"/>
      <c r="AN259" s="141"/>
      <c r="AO259" s="141"/>
      <c r="AP259" s="141"/>
      <c r="AQ259" s="141"/>
      <c r="AR259" s="141"/>
    </row>
    <row r="260" spans="1:44" x14ac:dyDescent="0.2">
      <c r="A260" s="568" t="s">
        <v>1044</v>
      </c>
      <c r="B260" s="568"/>
      <c r="C260" s="589">
        <f>IF(SUM(K217:M217)=0,1,AVERAGEIF(K217:M217,"&lt;&gt;0"))</f>
        <v>0.99995593300735575</v>
      </c>
      <c r="D260" s="593">
        <f>IF(SUM(H217:M217)=0,1,AVERAGEIF(H217:M217,"&lt;&gt;0"))</f>
        <v>0.99992643757302846</v>
      </c>
      <c r="E260" s="600">
        <f>IF(SUM(C217:M217)=0,1,AVERAGEIF(C217:M217,"&lt;&gt;0"))</f>
        <v>0.99974857845839515</v>
      </c>
      <c r="F260" s="600">
        <f>IF(SUM(C217:M217)=0,1,AVERAGEIF(C217:M217,"&lt;&gt;0"))</f>
        <v>0.99974857845839515</v>
      </c>
      <c r="G260" s="593">
        <f>IF(SUM(H217:J217)=0,1,AVERAGEIF(H217:J217,"&lt;&gt;0"))</f>
        <v>0.99989694213870139</v>
      </c>
      <c r="H260" s="593">
        <f>IF(SUM(E217:G217)=0,1,AVERAGEIF(E217:G217,"&lt;&gt;0"))</f>
        <v>0.99988341532420988</v>
      </c>
      <c r="I260" s="600">
        <f>IF(SUM(C217:D217)=0,1,AVERAGEIF(C217:D217,"&lt;&gt;0"))</f>
        <v>0.99901274581577293</v>
      </c>
      <c r="J260" s="594">
        <v>25</v>
      </c>
      <c r="K260" s="590">
        <f t="shared" si="134"/>
        <v>6</v>
      </c>
      <c r="L260" s="591">
        <f t="shared" si="135"/>
        <v>4</v>
      </c>
      <c r="M260" s="589">
        <f>MAX(H217:M217)</f>
        <v>1</v>
      </c>
      <c r="N260" s="593">
        <f>IF(SUM(H217:M217)=0,0,SMALL(H217:M217,COUNTIF(H217:M217,0)+1))</f>
        <v>0.99982063435637225</v>
      </c>
      <c r="O260" s="589">
        <f t="shared" si="122"/>
        <v>0.99993449777044963</v>
      </c>
      <c r="P260" s="594">
        <v>25</v>
      </c>
      <c r="Q260" s="590">
        <f t="shared" si="146"/>
        <v>11</v>
      </c>
      <c r="R260" s="591">
        <f t="shared" si="147"/>
        <v>9</v>
      </c>
      <c r="S260" s="600">
        <f>MAX(C217:M217)</f>
        <v>1</v>
      </c>
      <c r="T260" s="600">
        <f>IF(SUM(C217:M217)=0,0,SMALL(C217:M217,COUNTIF(C217:M217,0)+1))</f>
        <v>0.99802549163154586</v>
      </c>
      <c r="U260" s="317">
        <f t="shared" si="124"/>
        <v>0.9999120968234223</v>
      </c>
      <c r="V260" s="568" t="s">
        <v>1044</v>
      </c>
      <c r="W260" s="7"/>
      <c r="X260" s="14">
        <f t="shared" si="137"/>
        <v>0.99995593300735575</v>
      </c>
      <c r="Y260" s="14">
        <f t="shared" si="138"/>
        <v>0.99992643757302846</v>
      </c>
      <c r="Z260" s="14">
        <f t="shared" si="139"/>
        <v>0.99974857845839515</v>
      </c>
      <c r="AA260" s="14">
        <f t="shared" si="140"/>
        <v>0.99974857845839515</v>
      </c>
      <c r="AB260" s="14">
        <f t="shared" si="141"/>
        <v>0.99993048248992589</v>
      </c>
      <c r="AC260" s="14">
        <f t="shared" si="142"/>
        <v>0.99990413891278984</v>
      </c>
      <c r="AD260" s="14">
        <f t="shared" si="143"/>
        <v>0.99987293034971114</v>
      </c>
      <c r="AE260" s="14">
        <f t="shared" si="144"/>
        <v>0.9997876020952684</v>
      </c>
      <c r="AF260" s="14">
        <f t="shared" si="145"/>
        <v>0.99901274581577293</v>
      </c>
      <c r="AH260" s="212"/>
      <c r="AI260" s="212"/>
      <c r="AJ260" s="212"/>
      <c r="AK260" s="212"/>
      <c r="AL260" s="212"/>
      <c r="AM260" s="141"/>
      <c r="AN260" s="141"/>
      <c r="AO260" s="141"/>
      <c r="AP260" s="141"/>
      <c r="AQ260" s="141"/>
      <c r="AR260" s="141"/>
    </row>
    <row r="261" spans="1:44" x14ac:dyDescent="0.2">
      <c r="A261" s="568" t="s">
        <v>1045</v>
      </c>
      <c r="B261" s="568"/>
      <c r="C261" s="589">
        <f>IF(SUM(J218:L218)=0,1,AVERAGEIF(J218:L218,"&lt;&gt;0"))</f>
        <v>1.0000398670419355</v>
      </c>
      <c r="D261" s="593">
        <f>IF(SUM(G218:L218)=0,1,AVERAGEIF(G218:L218,"&lt;&gt;0"))</f>
        <v>0.9999323877717643</v>
      </c>
      <c r="E261" s="600">
        <f>IF(SUM(C218:L218)=0,1,AVERAGEIF(C218:L218,"&lt;&gt;0"))</f>
        <v>0.99983823361713087</v>
      </c>
      <c r="F261" s="600">
        <f>IF(SUM(C218:L218)=0,1,AVERAGEIF(C218:L218,"&lt;&gt;0"))</f>
        <v>0.99983823361713087</v>
      </c>
      <c r="G261" s="593">
        <f>IF(SUM(G218:I218)=0,1,AVERAGEIF(G218:I218,"&lt;&gt;0"))</f>
        <v>0.999824908501593</v>
      </c>
      <c r="H261" s="593">
        <f>IF(SUM(D218:F218)=0,1,AVERAGEIF(D218:F218,"&lt;&gt;0"))</f>
        <v>0.99959600318024133</v>
      </c>
      <c r="I261" s="600">
        <f t="shared" ref="I261:I270" si="148">IF(SUM(C218:C218)=0,1,AVERAGEIF(C218:C218,"&lt;&gt;0"))</f>
        <v>1</v>
      </c>
      <c r="J261" s="594">
        <v>26</v>
      </c>
      <c r="K261" s="590">
        <f t="shared" si="134"/>
        <v>6</v>
      </c>
      <c r="L261" s="591">
        <f t="shared" si="135"/>
        <v>4</v>
      </c>
      <c r="M261" s="593">
        <f>MAX(G218:L218)</f>
        <v>1.0002857273272163</v>
      </c>
      <c r="N261" s="593">
        <f>IF(SUM(G218:L218)=0,0,SMALL(G218:L218,COUNTIF(G218:L218,0)+1))</f>
        <v>0.99961879139437315</v>
      </c>
      <c r="O261" s="589">
        <f t="shared" si="122"/>
        <v>0.99992245197724916</v>
      </c>
      <c r="P261" s="594">
        <v>26</v>
      </c>
      <c r="Q261" s="590">
        <f t="shared" si="146"/>
        <v>10</v>
      </c>
      <c r="R261" s="591">
        <f t="shared" si="147"/>
        <v>8</v>
      </c>
      <c r="S261" s="600">
        <f>MAX(C218:L218)</f>
        <v>1.0002857273272163</v>
      </c>
      <c r="T261" s="600">
        <f>IF(SUM(C218:L218)=0,0,SMALL(C218:L218,COUNTIF(C218:L218,0)+1))</f>
        <v>0.99899082259188177</v>
      </c>
      <c r="U261" s="317">
        <f t="shared" si="124"/>
        <v>0.99988822328152627</v>
      </c>
      <c r="V261" s="568" t="s">
        <v>1045</v>
      </c>
      <c r="W261" s="7"/>
      <c r="X261" s="14">
        <f t="shared" si="137"/>
        <v>1</v>
      </c>
      <c r="Y261" s="14">
        <f t="shared" si="138"/>
        <v>0.9999323877717643</v>
      </c>
      <c r="Z261" s="14">
        <f t="shared" si="139"/>
        <v>0.99983823361713087</v>
      </c>
      <c r="AA261" s="14">
        <f t="shared" si="140"/>
        <v>0.99983823361713087</v>
      </c>
      <c r="AB261" s="14">
        <f t="shared" si="141"/>
        <v>0.99992110788568345</v>
      </c>
      <c r="AC261" s="14">
        <f t="shared" si="142"/>
        <v>0.99988822328152627</v>
      </c>
      <c r="AD261" s="14">
        <f t="shared" si="143"/>
        <v>0.999824908501593</v>
      </c>
      <c r="AE261" s="14">
        <f t="shared" si="144"/>
        <v>0.99959600318024133</v>
      </c>
      <c r="AF261" s="14">
        <f t="shared" si="145"/>
        <v>1</v>
      </c>
      <c r="AH261" s="212"/>
      <c r="AI261" s="212"/>
      <c r="AJ261" s="212"/>
      <c r="AK261" s="212"/>
      <c r="AL261" s="212"/>
      <c r="AM261" s="141"/>
      <c r="AN261" s="141"/>
      <c r="AO261" s="141"/>
      <c r="AP261" s="141"/>
      <c r="AQ261" s="141"/>
      <c r="AR261" s="141"/>
    </row>
    <row r="262" spans="1:44" x14ac:dyDescent="0.2">
      <c r="A262" s="568" t="s">
        <v>1046</v>
      </c>
      <c r="B262" s="568"/>
      <c r="C262" s="589">
        <f>IF(SUM(I219:K219)=0,1,AVERAGEIF(I219:K219,"&lt;&gt;0"))</f>
        <v>1.0000294664591047</v>
      </c>
      <c r="D262" s="593">
        <f>IF(SUM(F219:K219)=0,1,AVERAGEIF(F219:K219,"&lt;&gt;0"))</f>
        <v>0.99996034636820053</v>
      </c>
      <c r="E262" s="600">
        <f>IF(SUM(C219:K219)=0,1,AVERAGEIF(C219:K219,"&lt;&gt;0"))</f>
        <v>0.99995542735666332</v>
      </c>
      <c r="F262" s="600">
        <f>IF(SUM(C219:K219)=0,1,AVERAGEIF(C219:K219,"&lt;&gt;0"))</f>
        <v>0.99995542735666332</v>
      </c>
      <c r="G262" s="593">
        <f>IF(SUM(F219:H219)=0,1,AVERAGEIF(F219:H219,"&lt;&gt;0"))</f>
        <v>0.99989122627729632</v>
      </c>
      <c r="H262" s="593">
        <f>IF(SUM(C219:E219)=0,1,AVERAGEIF(C219:E219,"&lt;&gt;0"))</f>
        <v>0.99994558933358901</v>
      </c>
      <c r="I262" s="600">
        <f t="shared" si="148"/>
        <v>1</v>
      </c>
      <c r="J262" s="594">
        <v>27</v>
      </c>
      <c r="K262" s="590">
        <f t="shared" si="134"/>
        <v>6</v>
      </c>
      <c r="L262" s="591">
        <f t="shared" si="135"/>
        <v>4</v>
      </c>
      <c r="M262" s="593">
        <f>MAX(F219:K219)</f>
        <v>1.0005449527798633</v>
      </c>
      <c r="N262" s="593">
        <f>IF(SUM(F219:K219)=0,0,SMALL(F219:K219,COUNTIF(F219:K219,0)+1))</f>
        <v>0.99954344659745076</v>
      </c>
      <c r="O262" s="589">
        <f t="shared" si="122"/>
        <v>0.99991841970797224</v>
      </c>
      <c r="P262" s="594">
        <v>27</v>
      </c>
      <c r="Q262" s="590">
        <f t="shared" si="146"/>
        <v>9</v>
      </c>
      <c r="R262" s="591">
        <f t="shared" si="147"/>
        <v>7</v>
      </c>
      <c r="S262" s="600">
        <f>MAX(C219:K219)</f>
        <v>1.0005449527798633</v>
      </c>
      <c r="T262" s="600">
        <f>IF(SUM(C219:K219)=0,0,SMALL(C219:K219,COUNTIF(C219:K219,0)+1))</f>
        <v>0.99954344659745076</v>
      </c>
      <c r="U262" s="317">
        <f t="shared" si="124"/>
        <v>0.99993006383323657</v>
      </c>
      <c r="V262" s="568" t="s">
        <v>1046</v>
      </c>
      <c r="W262" s="7"/>
      <c r="X262" s="14">
        <f t="shared" si="137"/>
        <v>0.99998648167190474</v>
      </c>
      <c r="Y262" s="14">
        <f t="shared" si="138"/>
        <v>0.99994413433966955</v>
      </c>
      <c r="Z262" s="14">
        <f t="shared" si="139"/>
        <v>0.99982377661792798</v>
      </c>
      <c r="AA262" s="14">
        <f t="shared" si="140"/>
        <v>0.99982377661792798</v>
      </c>
      <c r="AB262" s="14">
        <f t="shared" si="141"/>
        <v>0.99991841970797224</v>
      </c>
      <c r="AC262" s="14">
        <f t="shared" si="142"/>
        <v>0.99991702043768071</v>
      </c>
      <c r="AD262" s="14">
        <f t="shared" si="143"/>
        <v>0.99989122627729632</v>
      </c>
      <c r="AE262" s="14">
        <f t="shared" si="144"/>
        <v>0.9994658211797357</v>
      </c>
      <c r="AF262" s="14">
        <f t="shared" si="145"/>
        <v>0.99995844444489757</v>
      </c>
      <c r="AH262" s="212"/>
      <c r="AI262" s="212"/>
      <c r="AJ262" s="212"/>
      <c r="AK262" s="212"/>
      <c r="AL262" s="212"/>
      <c r="AM262" s="141"/>
      <c r="AN262" s="141"/>
      <c r="AO262" s="141"/>
      <c r="AP262" s="141"/>
      <c r="AQ262" s="141"/>
      <c r="AR262" s="141"/>
    </row>
    <row r="263" spans="1:44" x14ac:dyDescent="0.2">
      <c r="A263" s="568" t="s">
        <v>1047</v>
      </c>
      <c r="B263" s="568"/>
      <c r="C263" s="589">
        <f>IF(SUM(H220:J220)=0,1,AVERAGEIF(H220:J220,"&lt;&gt;0"))</f>
        <v>0.99990051764033805</v>
      </c>
      <c r="D263" s="593">
        <f>IF(SUM(E220:J220)=0,1,AVERAGEIF(E220:J220,"&lt;&gt;0"))</f>
        <v>0.99991171107112409</v>
      </c>
      <c r="E263" s="600">
        <f>IF(SUM(C220:J220)=0,1,AVERAGEIF(C220:J220,"&lt;&gt;0"))</f>
        <v>0.99956052713624399</v>
      </c>
      <c r="F263" s="600">
        <f>IF(SUM(C220:J220)=0,1,AVERAGEIF(C220:J220,"&lt;&gt;0"))</f>
        <v>0.99956052713624399</v>
      </c>
      <c r="G263" s="593">
        <f>IF(SUM(E220:G220)=0,1,AVERAGEIF(E220:G220,"&lt;&gt;0"))</f>
        <v>0.99992290450191013</v>
      </c>
      <c r="H263" s="600">
        <f>IF(SUM(C220:D220)=0,1,AVERAGEIF(C220:D220,"&lt;&gt;0"))</f>
        <v>0.99850697533160404</v>
      </c>
      <c r="I263" s="600">
        <f t="shared" si="148"/>
        <v>0.99987533851521326</v>
      </c>
      <c r="J263" s="594">
        <v>28</v>
      </c>
      <c r="K263" s="590">
        <f t="shared" si="134"/>
        <v>6</v>
      </c>
      <c r="L263" s="591">
        <f t="shared" si="135"/>
        <v>4</v>
      </c>
      <c r="M263" s="593">
        <f>MAX(E220:J220)</f>
        <v>1</v>
      </c>
      <c r="N263" s="593">
        <f>IF(SUM(E220:J220)=0,0,SMALL(E220:J220,COUNTIF(E220:J220,0)+1))</f>
        <v>0.99974459991365638</v>
      </c>
      <c r="O263" s="589">
        <f t="shared" si="122"/>
        <v>0.99993141662827201</v>
      </c>
      <c r="P263" s="594">
        <v>28</v>
      </c>
      <c r="Q263" s="590">
        <f t="shared" si="146"/>
        <v>8</v>
      </c>
      <c r="R263" s="591">
        <f t="shared" si="147"/>
        <v>6</v>
      </c>
      <c r="S263" s="600">
        <f>MAX(C220:J220)</f>
        <v>1</v>
      </c>
      <c r="T263" s="600">
        <f>IF(SUM(C220:J220)=0,0,SMALL(C220:J220,COUNTIF(C220:J220,0)+1))</f>
        <v>0.99713861214799493</v>
      </c>
      <c r="U263" s="317">
        <f t="shared" si="124"/>
        <v>0.99989093415699282</v>
      </c>
      <c r="V263" s="568" t="s">
        <v>1047</v>
      </c>
      <c r="W263" s="7"/>
      <c r="X263" s="14">
        <f t="shared" si="137"/>
        <v>0.99989117922853876</v>
      </c>
      <c r="Y263" s="14">
        <f t="shared" si="138"/>
        <v>0.99989054440452052</v>
      </c>
      <c r="Z263" s="14">
        <f t="shared" si="139"/>
        <v>0.99956052713624399</v>
      </c>
      <c r="AA263" s="14">
        <f t="shared" si="140"/>
        <v>0.99956052713624399</v>
      </c>
      <c r="AB263" s="14">
        <f t="shared" si="141"/>
        <v>0.99990884451642059</v>
      </c>
      <c r="AC263" s="14">
        <f t="shared" si="142"/>
        <v>0.99986957063031812</v>
      </c>
      <c r="AD263" s="14">
        <f t="shared" si="143"/>
        <v>0.99988990930066102</v>
      </c>
      <c r="AE263" s="14">
        <f t="shared" si="144"/>
        <v>0.99850697533160404</v>
      </c>
      <c r="AF263" s="14">
        <f t="shared" si="145"/>
        <v>0.99981002722623835</v>
      </c>
      <c r="AH263" s="212"/>
      <c r="AI263" s="212"/>
      <c r="AJ263" s="212"/>
      <c r="AK263" s="212"/>
      <c r="AL263" s="212"/>
      <c r="AM263" s="141"/>
      <c r="AN263" s="141"/>
      <c r="AO263" s="141"/>
      <c r="AP263" s="141"/>
      <c r="AQ263" s="141"/>
      <c r="AR263" s="141"/>
    </row>
    <row r="264" spans="1:44" x14ac:dyDescent="0.2">
      <c r="A264" s="568" t="s">
        <v>1048</v>
      </c>
      <c r="B264" s="568"/>
      <c r="C264" s="589">
        <f>IF(SUM(G221:I221)=0,1,AVERAGEIF(G221:I221,"&lt;&gt;0"))</f>
        <v>0.99987250266658334</v>
      </c>
      <c r="D264" s="593">
        <f>IF(SUM(D221:I221)=0,1,AVERAGEIF(D221:I221,"&lt;&gt;0"))</f>
        <v>0.99984821241550581</v>
      </c>
      <c r="E264" s="600">
        <f>IF(SUM(C221:I221)=0,1,AVERAGEIF(C221:I221,"&lt;&gt;0"))</f>
        <v>0.99982409884847634</v>
      </c>
      <c r="F264" s="600">
        <f>IF(SUM(C221:I221)=0,1,AVERAGEIF(C221:I221,"&lt;&gt;0"))</f>
        <v>0.99982409884847634</v>
      </c>
      <c r="G264" s="593">
        <f>IF(SUM(D221:F221)=0,1,AVERAGEIF(D221:F221,"&lt;&gt;0"))</f>
        <v>0.9998239221644285</v>
      </c>
      <c r="H264" s="600">
        <f t="shared" ref="H264:H270" si="149">IF(SUM(C221:C221)=0,1,AVERAGEIF(C221:C221,"&lt;&gt;0"))</f>
        <v>0.99967941744629885</v>
      </c>
      <c r="I264" s="600">
        <f t="shared" si="148"/>
        <v>0.99967941744629885</v>
      </c>
      <c r="J264" s="594">
        <v>29</v>
      </c>
      <c r="K264" s="590">
        <f t="shared" si="134"/>
        <v>6</v>
      </c>
      <c r="L264" s="591">
        <f t="shared" si="135"/>
        <v>4</v>
      </c>
      <c r="M264" s="593">
        <f>MAX(D221:I221)</f>
        <v>1</v>
      </c>
      <c r="N264" s="593">
        <f>IF(SUM(D221:I221)=0,0,SMALL(D221:I221,COUNTIF(D221:I221,0)+1))</f>
        <v>0.99963446720778848</v>
      </c>
      <c r="O264" s="589">
        <f t="shared" si="122"/>
        <v>0.99986370182131168</v>
      </c>
      <c r="P264" s="594">
        <v>29</v>
      </c>
      <c r="Q264" s="590">
        <f t="shared" si="146"/>
        <v>7</v>
      </c>
      <c r="R264" s="591">
        <f t="shared" si="147"/>
        <v>5</v>
      </c>
      <c r="S264" s="600">
        <f>MAX(C221:I221)</f>
        <v>1</v>
      </c>
      <c r="T264" s="600">
        <f>IF(SUM(C221:I221)=0,0,SMALL(C221:I221,COUNTIF(C221:I221,0)+1))</f>
        <v>0.99963446720778848</v>
      </c>
      <c r="U264" s="317">
        <f t="shared" si="124"/>
        <v>0.99982684494630925</v>
      </c>
      <c r="V264" s="568" t="s">
        <v>1048</v>
      </c>
      <c r="W264" s="7"/>
      <c r="X264" s="14">
        <f t="shared" si="137"/>
        <v>0.99985742662361254</v>
      </c>
      <c r="Y264" s="14">
        <f t="shared" si="138"/>
        <v>0.99984821241550581</v>
      </c>
      <c r="Z264" s="14">
        <f t="shared" si="139"/>
        <v>0.99982409884847634</v>
      </c>
      <c r="AA264" s="14">
        <f t="shared" si="140"/>
        <v>0.99982409884847634</v>
      </c>
      <c r="AB264" s="14">
        <f t="shared" si="141"/>
        <v>0.99986370182131168</v>
      </c>
      <c r="AC264" s="14">
        <f t="shared" si="142"/>
        <v>0.99982684494630925</v>
      </c>
      <c r="AD264" s="14">
        <f t="shared" si="143"/>
        <v>0.9998239221644285</v>
      </c>
      <c r="AE264" s="14">
        <f t="shared" si="144"/>
        <v>0.99967941744629885</v>
      </c>
      <c r="AF264" s="14">
        <f t="shared" si="145"/>
        <v>0.99967941744629885</v>
      </c>
      <c r="AH264" s="212"/>
      <c r="AI264" s="212"/>
      <c r="AJ264" s="212"/>
      <c r="AK264" s="212"/>
      <c r="AL264" s="212"/>
      <c r="AM264" s="141"/>
      <c r="AN264" s="141"/>
      <c r="AO264" s="141"/>
      <c r="AP264" s="141"/>
      <c r="AQ264" s="141"/>
      <c r="AR264" s="141"/>
    </row>
    <row r="265" spans="1:44" x14ac:dyDescent="0.2">
      <c r="A265" s="568" t="s">
        <v>1049</v>
      </c>
      <c r="B265" s="568"/>
      <c r="C265" s="589">
        <f>IF(SUM(F222:H222)=0,1,AVERAGEIF(F222:H222,"&lt;&gt;0"))</f>
        <v>0.99982727521961579</v>
      </c>
      <c r="D265" s="593">
        <f>IF(SUM(C222:H222)=0,1,AVERAGEIF(C222:H222,"&lt;&gt;0"))</f>
        <v>0.99985254707825</v>
      </c>
      <c r="E265" s="600">
        <f>IF(SUM(C222:H222)=0,1,AVERAGEIF(C222:H222,"&lt;&gt;0"))</f>
        <v>0.99985254707825</v>
      </c>
      <c r="F265" s="600">
        <f>IF(SUM(C222:H222)=0,1,AVERAGEIF(C222:H222,"&lt;&gt;0"))</f>
        <v>0.99985254707825</v>
      </c>
      <c r="G265" s="593">
        <f>IF(SUM(C222:E222)=0,1,AVERAGEIF(C222:E222,"&lt;&gt;0"))</f>
        <v>0.99987781893688421</v>
      </c>
      <c r="H265" s="600">
        <f t="shared" si="149"/>
        <v>0.99986556192017939</v>
      </c>
      <c r="I265" s="600">
        <f t="shared" si="148"/>
        <v>0.99986556192017939</v>
      </c>
      <c r="J265" s="594">
        <v>30</v>
      </c>
      <c r="K265" s="590">
        <f t="shared" si="134"/>
        <v>6</v>
      </c>
      <c r="L265" s="591">
        <f t="shared" si="135"/>
        <v>4</v>
      </c>
      <c r="M265" s="593">
        <f>MAX(C222:H222)</f>
        <v>1</v>
      </c>
      <c r="N265" s="593">
        <f>IF(SUM(C222:H222)=0,0,SMALL(C222:H222,COUNTIF(C222:H222,0)+1))</f>
        <v>0.99956864860705186</v>
      </c>
      <c r="O265" s="589">
        <f t="shared" si="122"/>
        <v>0.99988665846561209</v>
      </c>
      <c r="P265" s="594">
        <v>30</v>
      </c>
      <c r="Q265" s="590">
        <f t="shared" si="146"/>
        <v>6</v>
      </c>
      <c r="R265" s="591">
        <f t="shared" si="147"/>
        <v>4</v>
      </c>
      <c r="S265" s="600">
        <f>MAX(C222:H222)</f>
        <v>1</v>
      </c>
      <c r="T265" s="600">
        <f>IF(SUM(C222:H222)=0,0,SMALL(C222:H222,COUNTIF(C222:H222,0)+1))</f>
        <v>0.99956864860705186</v>
      </c>
      <c r="U265" s="317">
        <f t="shared" si="124"/>
        <v>0.99988665846561209</v>
      </c>
      <c r="V265" s="568" t="s">
        <v>1049</v>
      </c>
      <c r="W265" s="7"/>
      <c r="X265" s="14">
        <f t="shared" si="137"/>
        <v>0.99978429834459615</v>
      </c>
      <c r="Y265" s="14">
        <f t="shared" si="138"/>
        <v>0.99984260122970792</v>
      </c>
      <c r="Z265" s="14">
        <f t="shared" si="139"/>
        <v>0.99984260122970792</v>
      </c>
      <c r="AA265" s="14">
        <f t="shared" si="140"/>
        <v>0.99984260122970792</v>
      </c>
      <c r="AB265" s="14">
        <f t="shared" si="141"/>
        <v>0.99988665846561209</v>
      </c>
      <c r="AC265" s="14">
        <f t="shared" si="142"/>
        <v>0.99988665846561209</v>
      </c>
      <c r="AD265" s="14">
        <f t="shared" si="143"/>
        <v>0.99987781893688421</v>
      </c>
      <c r="AE265" s="14">
        <f t="shared" si="144"/>
        <v>0.99986556192017939</v>
      </c>
      <c r="AF265" s="14">
        <f t="shared" si="145"/>
        <v>0.99986556192017939</v>
      </c>
      <c r="AH265" s="212"/>
      <c r="AI265" s="212"/>
      <c r="AJ265" s="212"/>
      <c r="AK265" s="212"/>
      <c r="AL265" s="212"/>
      <c r="AM265" s="141"/>
      <c r="AN265" s="141"/>
      <c r="AO265" s="141"/>
      <c r="AP265" s="141"/>
      <c r="AQ265" s="141"/>
      <c r="AR265" s="141"/>
    </row>
    <row r="266" spans="1:44" x14ac:dyDescent="0.2">
      <c r="A266" s="568" t="s">
        <v>1050</v>
      </c>
      <c r="B266" s="568"/>
      <c r="C266" s="589">
        <f>IF(SUM(E223:G223)=0,1,AVERAGEIF(E223:G223,"&lt;&gt;0"))</f>
        <v>0.99969835013647013</v>
      </c>
      <c r="D266" s="600">
        <f>IF(SUM(C223:G223)=0,1,AVERAGEIF(C223:G223,"&lt;&gt;0"))</f>
        <v>0.99982270982942612</v>
      </c>
      <c r="E266" s="600">
        <f>IF(SUM(C223:G223)=0,1,AVERAGEIF(C223:G223,"&lt;&gt;0"))</f>
        <v>0.99982270982942612</v>
      </c>
      <c r="F266" s="600">
        <f>IF(SUM(C223:G223)=0,1,AVERAGEIF(C223:G223,"&lt;&gt;0"))</f>
        <v>0.99982270982942612</v>
      </c>
      <c r="G266" s="600">
        <f>IF(SUM(C223:D223)=0,1,AVERAGEIF(C223:D223,"&lt;&gt;0"))</f>
        <v>1.0000092493688606</v>
      </c>
      <c r="H266" s="600">
        <f t="shared" si="149"/>
        <v>1</v>
      </c>
      <c r="I266" s="600">
        <f t="shared" si="148"/>
        <v>1</v>
      </c>
      <c r="J266" s="594">
        <v>31</v>
      </c>
      <c r="K266" s="590">
        <f t="shared" si="134"/>
        <v>5</v>
      </c>
      <c r="L266" s="591">
        <f t="shared" si="135"/>
        <v>3</v>
      </c>
      <c r="M266" s="600">
        <f>MAX(C223:G223)</f>
        <v>1.0000184987377214</v>
      </c>
      <c r="N266" s="600">
        <f>IF(SUM(C223:G223)=0,0,SMALL(C223:G223,COUNTIF(C223:G223,0)+1))</f>
        <v>0.99931331068624873</v>
      </c>
      <c r="O266" s="589">
        <f t="shared" si="122"/>
        <v>0.99992724657438703</v>
      </c>
      <c r="P266" s="594">
        <v>31</v>
      </c>
      <c r="Q266" s="590">
        <f t="shared" si="146"/>
        <v>5</v>
      </c>
      <c r="R266" s="591">
        <f t="shared" si="147"/>
        <v>3</v>
      </c>
      <c r="S266" s="600">
        <f>MAX(C223:G223)</f>
        <v>1.0000184987377214</v>
      </c>
      <c r="T266" s="600">
        <f>IF(SUM(C223:G223)=0,0,SMALL(C223:G223,COUNTIF(C223:G223,0)+1))</f>
        <v>0.99931331068624873</v>
      </c>
      <c r="U266" s="317">
        <f t="shared" si="124"/>
        <v>0.99992724657438703</v>
      </c>
      <c r="V266" s="568" t="s">
        <v>1050</v>
      </c>
      <c r="W266" s="7"/>
      <c r="X266" s="14">
        <f t="shared" si="137"/>
        <v>0.99967581220737389</v>
      </c>
      <c r="Y266" s="14">
        <f t="shared" si="138"/>
        <v>0.99978948991758088</v>
      </c>
      <c r="Z266" s="14">
        <f t="shared" si="139"/>
        <v>0.99978948991758088</v>
      </c>
      <c r="AA266" s="14">
        <f t="shared" si="140"/>
        <v>0.99978948991758088</v>
      </c>
      <c r="AB266" s="14">
        <f t="shared" si="141"/>
        <v>0.9999134928664325</v>
      </c>
      <c r="AC266" s="14">
        <f t="shared" si="142"/>
        <v>0.9999134928664325</v>
      </c>
      <c r="AD266" s="14">
        <f t="shared" si="143"/>
        <v>1</v>
      </c>
      <c r="AE266" s="14">
        <f t="shared" si="144"/>
        <v>1</v>
      </c>
      <c r="AF266" s="14">
        <f t="shared" si="145"/>
        <v>1</v>
      </c>
      <c r="AH266" s="212"/>
      <c r="AI266" s="212"/>
      <c r="AJ266" s="212"/>
      <c r="AK266" s="212"/>
      <c r="AL266" s="212"/>
      <c r="AM266" s="141"/>
      <c r="AN266" s="141"/>
      <c r="AO266" s="141"/>
      <c r="AP266" s="141"/>
      <c r="AQ266" s="141"/>
      <c r="AR266" s="141"/>
    </row>
    <row r="267" spans="1:44" x14ac:dyDescent="0.2">
      <c r="A267" s="568" t="s">
        <v>1051</v>
      </c>
      <c r="B267" s="568"/>
      <c r="C267" s="589">
        <f>IF(SUM(D224:F224)=0,1,AVERAGEIF(D224:F224,"&lt;&gt;0"))</f>
        <v>0.99963073787350465</v>
      </c>
      <c r="D267" s="600">
        <f>IF(SUM(C224:F224)=0,1,AVERAGEIF(C224:F224,"&lt;&gt;0"))</f>
        <v>0.99972305340512846</v>
      </c>
      <c r="E267" s="600">
        <f>IF(SUM(C224:F224)=0,1,AVERAGEIF(C224:F224,"&lt;&gt;0"))</f>
        <v>0.99972305340512846</v>
      </c>
      <c r="F267" s="600">
        <f>IF(SUM(C224:F224)=0,1,AVERAGEIF(C224:F224,"&lt;&gt;0"))</f>
        <v>0.99972305340512846</v>
      </c>
      <c r="G267" s="600">
        <f>IF(SUM(C224:C224)=0,1,AVERAGEIF(C224:C224,"&lt;&gt;0"))</f>
        <v>1</v>
      </c>
      <c r="H267" s="600">
        <f t="shared" si="149"/>
        <v>1</v>
      </c>
      <c r="I267" s="600">
        <f t="shared" si="148"/>
        <v>1</v>
      </c>
      <c r="J267" s="594">
        <v>32</v>
      </c>
      <c r="K267" s="590">
        <f t="shared" si="134"/>
        <v>4</v>
      </c>
      <c r="L267" s="591">
        <f t="shared" si="135"/>
        <v>2</v>
      </c>
      <c r="M267" s="600">
        <f>MAX(C224:F224)</f>
        <v>1</v>
      </c>
      <c r="N267" s="600">
        <f>IF(SUM(C224:F224)=0,0,SMALL(C224:F224,COUNTIF(C224:F224,0)+1))</f>
        <v>0.9991202415844026</v>
      </c>
      <c r="O267" s="589">
        <f t="shared" si="122"/>
        <v>0.99988598601805556</v>
      </c>
      <c r="P267" s="594">
        <v>32</v>
      </c>
      <c r="Q267" s="590">
        <f t="shared" si="146"/>
        <v>4</v>
      </c>
      <c r="R267" s="591">
        <f t="shared" si="147"/>
        <v>2</v>
      </c>
      <c r="S267" s="600">
        <f>MAX(C224:F224)</f>
        <v>1</v>
      </c>
      <c r="T267" s="600">
        <f>IF(SUM(C224:F224)=0,0,SMALL(C224:F224,COUNTIF(C224:F224,0)+1))</f>
        <v>0.9991202415844026</v>
      </c>
      <c r="U267" s="317">
        <f t="shared" si="124"/>
        <v>0.99988598601805556</v>
      </c>
      <c r="V267" s="568" t="s">
        <v>1051</v>
      </c>
      <c r="W267" s="7"/>
      <c r="X267" s="14">
        <f t="shared" si="137"/>
        <v>0.99963073787350465</v>
      </c>
      <c r="Y267" s="14">
        <f t="shared" si="138"/>
        <v>0.99972305340512846</v>
      </c>
      <c r="Z267" s="14">
        <f t="shared" si="139"/>
        <v>0.99972305340512846</v>
      </c>
      <c r="AA267" s="14">
        <f t="shared" si="140"/>
        <v>0.99972305340512846</v>
      </c>
      <c r="AB267" s="14">
        <f t="shared" si="141"/>
        <v>0.99988598601805556</v>
      </c>
      <c r="AC267" s="14">
        <f t="shared" si="142"/>
        <v>0.99988598601805556</v>
      </c>
      <c r="AD267" s="14">
        <f t="shared" si="143"/>
        <v>0.99996528945167262</v>
      </c>
      <c r="AE267" s="14">
        <f t="shared" si="144"/>
        <v>0.99996528945167262</v>
      </c>
      <c r="AF267" s="14">
        <f t="shared" si="145"/>
        <v>0.99996528945167262</v>
      </c>
      <c r="AH267" s="212"/>
      <c r="AI267" s="212"/>
      <c r="AJ267" s="212"/>
      <c r="AK267" s="212"/>
      <c r="AL267" s="212"/>
      <c r="AM267" s="141"/>
      <c r="AN267" s="141"/>
      <c r="AO267" s="141"/>
      <c r="AP267" s="141"/>
      <c r="AQ267" s="141"/>
      <c r="AR267" s="141"/>
    </row>
    <row r="268" spans="1:44" x14ac:dyDescent="0.2">
      <c r="A268" s="568" t="s">
        <v>1052</v>
      </c>
      <c r="B268" s="568"/>
      <c r="C268" s="589">
        <f>IF(SUM(C225:E225)=0,1,AVERAGEIF(C225:E225,"&lt;&gt;0"))</f>
        <v>0.99990529956837115</v>
      </c>
      <c r="D268" s="600">
        <f>IF(SUM(C225:E225)=0,1,AVERAGEIF(C225:E225,"&lt;&gt;0"))</f>
        <v>0.99990529956837115</v>
      </c>
      <c r="E268" s="600">
        <f>IF(SUM(C225:E225)=0,1,AVERAGEIF(C225:E225,"&lt;&gt;0"))</f>
        <v>0.99990529956837115</v>
      </c>
      <c r="F268" s="600">
        <f>IF(SUM(C225:E225)=0,1,AVERAGEIF(C225:E225,"&lt;&gt;0"))</f>
        <v>0.99990529956837115</v>
      </c>
      <c r="G268" s="600">
        <f>IF(SUM(C225:C225)=0,1,AVERAGEIF(C225:C225,"&lt;&gt;0"))</f>
        <v>0.99989587196944252</v>
      </c>
      <c r="H268" s="600">
        <f t="shared" si="149"/>
        <v>0.99989587196944252</v>
      </c>
      <c r="I268" s="600">
        <f t="shared" si="148"/>
        <v>0.99989587196944252</v>
      </c>
      <c r="J268" s="594">
        <v>33</v>
      </c>
      <c r="K268" s="590">
        <f t="shared" si="134"/>
        <v>3</v>
      </c>
      <c r="L268" s="591">
        <f t="shared" si="135"/>
        <v>1</v>
      </c>
      <c r="M268" s="600">
        <f>MAX(C225:E225)</f>
        <v>1</v>
      </c>
      <c r="N268" s="600">
        <f>IF(SUM(C225:E225)=0,0,SMALL(C225:E225,COUNTIF(C225:E225,0)+1))</f>
        <v>0.99982002673567116</v>
      </c>
      <c r="O268" s="589">
        <f t="shared" si="122"/>
        <v>0.99989587196944241</v>
      </c>
      <c r="P268" s="594">
        <v>33</v>
      </c>
      <c r="Q268" s="590">
        <f t="shared" si="146"/>
        <v>3</v>
      </c>
      <c r="R268" s="591">
        <f t="shared" si="147"/>
        <v>1</v>
      </c>
      <c r="S268" s="600">
        <f>MAX(C225:E225)</f>
        <v>1</v>
      </c>
      <c r="T268" s="600">
        <f>IF(SUM(C225:E225)=0,0,SMALL(C225:E225,COUNTIF(C225:E225,0)+1))</f>
        <v>0.99982002673567116</v>
      </c>
      <c r="U268" s="317">
        <f t="shared" si="124"/>
        <v>0.99989587196944241</v>
      </c>
      <c r="V268" s="568" t="s">
        <v>1052</v>
      </c>
      <c r="W268" s="7"/>
      <c r="X268" s="14">
        <f t="shared" si="137"/>
        <v>0.99990529956837115</v>
      </c>
      <c r="Y268" s="14">
        <f t="shared" si="138"/>
        <v>0.99990529956837115</v>
      </c>
      <c r="Z268" s="14">
        <f t="shared" si="139"/>
        <v>0.99990529956837115</v>
      </c>
      <c r="AA268" s="14">
        <f t="shared" si="140"/>
        <v>0.99990529956837115</v>
      </c>
      <c r="AB268" s="14">
        <f t="shared" si="141"/>
        <v>0.99989587196944241</v>
      </c>
      <c r="AC268" s="14">
        <f t="shared" si="142"/>
        <v>0.99989587196944241</v>
      </c>
      <c r="AD268" s="14">
        <f t="shared" si="143"/>
        <v>0.99989587196944252</v>
      </c>
      <c r="AE268" s="14">
        <f t="shared" si="144"/>
        <v>0.99989587196944252</v>
      </c>
      <c r="AF268" s="14">
        <f t="shared" si="145"/>
        <v>0.99989587196944252</v>
      </c>
      <c r="AH268" s="212"/>
      <c r="AI268" s="212"/>
      <c r="AJ268" s="212"/>
      <c r="AK268" s="212"/>
      <c r="AL268" s="212"/>
      <c r="AM268" s="141"/>
      <c r="AN268" s="141"/>
      <c r="AO268" s="141"/>
      <c r="AP268" s="141"/>
      <c r="AQ268" s="141"/>
      <c r="AR268" s="141"/>
    </row>
    <row r="269" spans="1:44" x14ac:dyDescent="0.2">
      <c r="A269" s="568" t="s">
        <v>1053</v>
      </c>
      <c r="B269" s="568"/>
      <c r="C269" s="599">
        <f>IF(SUM(C226:D226)=0,1,AVERAGEIF(C226:D226,"&lt;&gt;0"))</f>
        <v>0.99997683779262792</v>
      </c>
      <c r="D269" s="600">
        <f>IF(SUM(C226:D226)=0,1,AVERAGEIF(C226:D226,"&lt;&gt;0"))</f>
        <v>0.99997683779262792</v>
      </c>
      <c r="E269" s="600">
        <f>IF(SUM(C226:D226)=0,1,AVERAGEIF(C226:D226,"&lt;&gt;0"))</f>
        <v>0.99997683779262792</v>
      </c>
      <c r="F269" s="600">
        <f>IF(SUM(C226:D226)=0,1,AVERAGEIF(C226:D226,"&lt;&gt;0"))</f>
        <v>0.99997683779262792</v>
      </c>
      <c r="G269" s="600">
        <f>IF(SUM(C226:C226)=0,1,AVERAGEIF(C226:C226,"&lt;&gt;0"))</f>
        <v>0.99995367558525583</v>
      </c>
      <c r="H269" s="600">
        <f t="shared" si="149"/>
        <v>0.99995367558525583</v>
      </c>
      <c r="I269" s="600">
        <f t="shared" si="148"/>
        <v>0.99995367558525583</v>
      </c>
      <c r="J269" s="594">
        <v>34</v>
      </c>
      <c r="K269" s="590">
        <f t="shared" si="134"/>
        <v>2</v>
      </c>
      <c r="L269" s="591">
        <f t="shared" si="135"/>
        <v>1</v>
      </c>
      <c r="M269" s="600">
        <f>MAX(C226:D226)</f>
        <v>1</v>
      </c>
      <c r="N269" s="600">
        <f>IF(SUM(C226:D226)=0,0,SMALL(C226:D226,COUNTIF(C226:D226,0)+1))</f>
        <v>0.99995367558525583</v>
      </c>
      <c r="O269" s="589">
        <f t="shared" si="122"/>
        <v>0.99997683779262792</v>
      </c>
      <c r="P269" s="594">
        <v>34</v>
      </c>
      <c r="Q269" s="590">
        <f t="shared" si="146"/>
        <v>2</v>
      </c>
      <c r="R269" s="591">
        <f t="shared" si="147"/>
        <v>1</v>
      </c>
      <c r="S269" s="600">
        <f>MAX(C226:D226)</f>
        <v>1</v>
      </c>
      <c r="T269" s="600">
        <f>IF(SUM(C226:D226)=0,0,SMALL(C226:D226,COUNTIF(C226:D226,0)+1))</f>
        <v>0.99995367558525583</v>
      </c>
      <c r="U269" s="317">
        <f t="shared" si="124"/>
        <v>0.99997683779262792</v>
      </c>
      <c r="V269" s="568" t="s">
        <v>1053</v>
      </c>
      <c r="W269" s="7"/>
      <c r="X269" s="14">
        <f t="shared" si="137"/>
        <v>0.99997601543757597</v>
      </c>
      <c r="Y269" s="14">
        <f t="shared" si="138"/>
        <v>0.99997601543757597</v>
      </c>
      <c r="Z269" s="14">
        <f t="shared" si="139"/>
        <v>0.99997601543757597</v>
      </c>
      <c r="AA269" s="14">
        <f t="shared" si="140"/>
        <v>0.99997601543757597</v>
      </c>
      <c r="AB269" s="14">
        <f t="shared" si="141"/>
        <v>0.99997601543757597</v>
      </c>
      <c r="AC269" s="14">
        <f t="shared" si="142"/>
        <v>0.99997601543757597</v>
      </c>
      <c r="AD269" s="14">
        <f t="shared" si="143"/>
        <v>0.99995367558525583</v>
      </c>
      <c r="AE269" s="14">
        <f t="shared" si="144"/>
        <v>0.99995367558525583</v>
      </c>
      <c r="AF269" s="14">
        <f t="shared" si="145"/>
        <v>0.99995367558525583</v>
      </c>
      <c r="AH269" s="212"/>
      <c r="AI269" s="212"/>
      <c r="AJ269" s="212"/>
      <c r="AK269" s="212"/>
      <c r="AL269" s="212"/>
      <c r="AM269" s="141"/>
      <c r="AN269" s="141"/>
      <c r="AO269" s="141"/>
      <c r="AP269" s="141"/>
      <c r="AQ269" s="141"/>
      <c r="AR269" s="141"/>
    </row>
    <row r="270" spans="1:44" x14ac:dyDescent="0.2">
      <c r="A270" s="568" t="s">
        <v>1054</v>
      </c>
      <c r="B270" s="568"/>
      <c r="C270" s="599">
        <f>IF(SUM(C227:C227)=0,1,AVERAGEIF(C227:C227,"&lt;&gt;0"))</f>
        <v>0.99997437072950102</v>
      </c>
      <c r="D270" s="600">
        <f>IF(SUM(C227:C227)=0,1,AVERAGEIF(C227:C227,"&lt;&gt;0"))</f>
        <v>0.99997437072950102</v>
      </c>
      <c r="E270" s="600">
        <f>IF(SUM(C227:C227)=0,1,AVERAGEIF(C227:C227,"&lt;&gt;0"))</f>
        <v>0.99997437072950102</v>
      </c>
      <c r="F270" s="600">
        <f>IF(SUM(C227:C227)=0,1,AVERAGEIF(C227:C227,"&lt;&gt;0"))</f>
        <v>0.99997437072950102</v>
      </c>
      <c r="G270" s="600">
        <f>IF(SUM(C227:C227)=0,1,AVERAGEIF(C227:C227,"&lt;&gt;0"))</f>
        <v>0.99997437072950102</v>
      </c>
      <c r="H270" s="600">
        <f t="shared" si="149"/>
        <v>0.99997437072950102</v>
      </c>
      <c r="I270" s="600">
        <f t="shared" si="148"/>
        <v>0.99997437072950102</v>
      </c>
      <c r="J270" s="594">
        <v>35</v>
      </c>
      <c r="K270" s="590">
        <f t="shared" si="134"/>
        <v>1</v>
      </c>
      <c r="L270" s="591">
        <f t="shared" si="135"/>
        <v>1</v>
      </c>
      <c r="M270" s="600">
        <f>MAX(C227:C227)</f>
        <v>0.99997437072950102</v>
      </c>
      <c r="N270" s="600">
        <f>IF(SUM(C227:C227)=0,0,SMALL(C227:C227,COUNTIF(C227:C227,0)+1))</f>
        <v>0.99997437072950102</v>
      </c>
      <c r="O270" s="589">
        <f t="shared" si="122"/>
        <v>0.99997437072950102</v>
      </c>
      <c r="P270" s="594">
        <v>35</v>
      </c>
      <c r="Q270" s="590">
        <f t="shared" si="146"/>
        <v>1</v>
      </c>
      <c r="R270" s="591">
        <f t="shared" si="147"/>
        <v>1</v>
      </c>
      <c r="S270" s="600">
        <f>MAX(C227:C227)</f>
        <v>0.99997437072950102</v>
      </c>
      <c r="T270" s="600">
        <f>IF(SUM(C227:C227)=0,0,SMALL(C227:C227,COUNTIF(C227:C227,0)+1))</f>
        <v>0.99997437072950102</v>
      </c>
      <c r="U270" s="317">
        <f t="shared" si="124"/>
        <v>0.99997437072950102</v>
      </c>
      <c r="V270" s="568" t="s">
        <v>1054</v>
      </c>
      <c r="W270" s="7"/>
      <c r="X270" s="213">
        <f>MIN(+C270,1)</f>
        <v>0.99997437072950102</v>
      </c>
      <c r="Y270" s="213">
        <f>MIN(+D270,1)</f>
        <v>0.99997437072950102</v>
      </c>
      <c r="Z270" s="213">
        <f>MIN(+E270,1)</f>
        <v>0.99997437072950102</v>
      </c>
      <c r="AA270" s="213">
        <f>MIN(+F270,1)</f>
        <v>0.99997437072950102</v>
      </c>
      <c r="AB270" s="213">
        <f>MIN(+O270,1)</f>
        <v>0.99997437072950102</v>
      </c>
      <c r="AC270" s="213">
        <f>MIN(+U270,1)</f>
        <v>0.99997437072950102</v>
      </c>
      <c r="AD270" s="213">
        <f>MIN(+G270,1)</f>
        <v>0.99997437072950102</v>
      </c>
      <c r="AE270" s="213">
        <f>MIN(+H270,1)</f>
        <v>0.99997437072950102</v>
      </c>
      <c r="AF270" s="213">
        <f>MIN(+I270,1)</f>
        <v>0.99997437072950102</v>
      </c>
      <c r="AH270" s="212"/>
      <c r="AI270" s="212"/>
      <c r="AJ270" s="212"/>
      <c r="AK270" s="212"/>
      <c r="AL270" s="212"/>
      <c r="AM270" s="141"/>
      <c r="AN270" s="141"/>
      <c r="AO270" s="141"/>
      <c r="AP270" s="141"/>
      <c r="AQ270" s="141"/>
      <c r="AR270" s="141"/>
    </row>
    <row r="271" spans="1:44" x14ac:dyDescent="0.2">
      <c r="AM271" s="141">
        <f t="shared" ref="AM271:AM291" si="150">+G283</f>
        <v>0.87409588137181282</v>
      </c>
      <c r="AN271" s="141">
        <f t="shared" ref="AN271:AN291" si="151">+D283</f>
        <v>0.87909387335932276</v>
      </c>
      <c r="AO271" s="141">
        <f t="shared" ref="AO271:AO291" si="152">+D283</f>
        <v>0.87909387335932276</v>
      </c>
      <c r="AP271" s="141">
        <f t="shared" ref="AP271:AP291" si="153">+X283</f>
        <v>0.86875338352933695</v>
      </c>
      <c r="AQ271" s="141">
        <f t="shared" ref="AQ271:AQ291" si="154">+AA283</f>
        <v>0.86488471486644092</v>
      </c>
      <c r="AR271" s="141">
        <f t="shared" ref="AR271:AR291" si="155">+AD283</f>
        <v>0.89659371220203343</v>
      </c>
    </row>
    <row r="272" spans="1:44" x14ac:dyDescent="0.2">
      <c r="A272" s="3" t="str">
        <f>+$C$1</f>
        <v>Allied Pacific (APC Commerical)</v>
      </c>
      <c r="G272" s="354"/>
      <c r="N272" s="208" t="s">
        <v>1055</v>
      </c>
      <c r="O272" s="3" t="str">
        <f>+$C$1</f>
        <v>Allied Pacific (APC Commerical)</v>
      </c>
      <c r="AB272" s="208" t="s">
        <v>1058</v>
      </c>
      <c r="AM272" s="141">
        <f t="shared" si="150"/>
        <v>0.92837614609871677</v>
      </c>
      <c r="AN272" s="141">
        <f t="shared" si="151"/>
        <v>0.93383202622570205</v>
      </c>
      <c r="AO272" s="141">
        <f t="shared" si="152"/>
        <v>0.93383202622570205</v>
      </c>
      <c r="AP272" s="141">
        <f t="shared" si="153"/>
        <v>0.92255614800264008</v>
      </c>
      <c r="AQ272" s="141">
        <f t="shared" si="154"/>
        <v>0.91416991165877703</v>
      </c>
      <c r="AR272" s="141">
        <f t="shared" si="155"/>
        <v>0.93601863084926606</v>
      </c>
    </row>
    <row r="273" spans="1:44" x14ac:dyDescent="0.2">
      <c r="A273" s="1" t="s">
        <v>738</v>
      </c>
      <c r="O273" s="1" t="s">
        <v>738</v>
      </c>
      <c r="AM273" s="141">
        <f t="shared" si="150"/>
        <v>0.94777800665301637</v>
      </c>
      <c r="AN273" s="141">
        <f t="shared" si="151"/>
        <v>0.95356844093311832</v>
      </c>
      <c r="AO273" s="141">
        <f t="shared" si="152"/>
        <v>0.95356844093311832</v>
      </c>
      <c r="AP273" s="141">
        <f t="shared" si="153"/>
        <v>0.9416186084663587</v>
      </c>
      <c r="AQ273" s="141">
        <f t="shared" si="154"/>
        <v>0.93170174839347986</v>
      </c>
      <c r="AR273" s="141">
        <f t="shared" si="155"/>
        <v>0.95024108913962546</v>
      </c>
    </row>
    <row r="274" spans="1:44" x14ac:dyDescent="0.2">
      <c r="A274" s="1"/>
      <c r="O274" s="1"/>
      <c r="AM274" s="141">
        <f t="shared" si="150"/>
        <v>0.95685483322655829</v>
      </c>
      <c r="AN274" s="141">
        <f t="shared" si="151"/>
        <v>0.96242769045952814</v>
      </c>
      <c r="AO274" s="141">
        <f t="shared" si="152"/>
        <v>0.96242769045952814</v>
      </c>
      <c r="AP274" s="141">
        <f t="shared" si="153"/>
        <v>0.95090620999990549</v>
      </c>
      <c r="AQ274" s="141">
        <f t="shared" si="154"/>
        <v>0.94314793438162448</v>
      </c>
      <c r="AR274" s="141">
        <f t="shared" si="155"/>
        <v>0.95733827020665985</v>
      </c>
    </row>
    <row r="275" spans="1:44" x14ac:dyDescent="0.2">
      <c r="C275" s="16" t="s">
        <v>64</v>
      </c>
      <c r="D275" s="16"/>
      <c r="E275" s="14">
        <f>Final!$M$4</f>
        <v>1</v>
      </c>
      <c r="Q275" s="16" t="s">
        <v>64</v>
      </c>
      <c r="R275" s="16"/>
      <c r="S275" s="14">
        <f>Final!$M$4</f>
        <v>1</v>
      </c>
      <c r="AM275" s="141">
        <f t="shared" si="150"/>
        <v>0.96398179238062165</v>
      </c>
      <c r="AN275" s="141">
        <f t="shared" si="151"/>
        <v>0.96929641614863582</v>
      </c>
      <c r="AO275" s="141">
        <f t="shared" si="152"/>
        <v>0.96929641614863582</v>
      </c>
      <c r="AP275" s="141">
        <f t="shared" si="153"/>
        <v>0.95833573469404598</v>
      </c>
      <c r="AQ275" s="141">
        <f t="shared" si="154"/>
        <v>0.95469838900122361</v>
      </c>
      <c r="AR275" s="141">
        <f t="shared" si="155"/>
        <v>0.96460102768475775</v>
      </c>
    </row>
    <row r="276" spans="1:44" x14ac:dyDescent="0.2">
      <c r="C276" s="16" t="s">
        <v>67</v>
      </c>
      <c r="D276" s="16"/>
      <c r="E276" s="14">
        <f>Final!$M$5</f>
        <v>0</v>
      </c>
      <c r="Q276" s="16" t="s">
        <v>67</v>
      </c>
      <c r="R276" s="16"/>
      <c r="S276" s="14">
        <f>Final!$M$5</f>
        <v>0</v>
      </c>
      <c r="AM276" s="141">
        <f t="shared" si="150"/>
        <v>0.97132728101712662</v>
      </c>
      <c r="AN276" s="141">
        <f t="shared" si="151"/>
        <v>0.97605994987273759</v>
      </c>
      <c r="AO276" s="141">
        <f t="shared" si="152"/>
        <v>0.97605994987273759</v>
      </c>
      <c r="AP276" s="141">
        <f t="shared" si="153"/>
        <v>0.96625439954803349</v>
      </c>
      <c r="AQ276" s="141">
        <f t="shared" si="154"/>
        <v>0.96276399676956825</v>
      </c>
      <c r="AR276" s="141">
        <f t="shared" si="155"/>
        <v>0.9701586495113439</v>
      </c>
    </row>
    <row r="277" spans="1:44" x14ac:dyDescent="0.2">
      <c r="C277" s="28" t="s">
        <v>68</v>
      </c>
      <c r="Q277" s="28" t="s">
        <v>68</v>
      </c>
      <c r="AM277" s="141">
        <f t="shared" si="150"/>
        <v>0.97521571083726688</v>
      </c>
      <c r="AN277" s="141">
        <f t="shared" si="151"/>
        <v>0.98008004829088269</v>
      </c>
      <c r="AO277" s="141">
        <f t="shared" si="152"/>
        <v>0.98008004829088269</v>
      </c>
      <c r="AP277" s="141">
        <f t="shared" si="153"/>
        <v>0.97001095691100037</v>
      </c>
      <c r="AQ277" s="141">
        <f t="shared" si="154"/>
        <v>0.96913770815091638</v>
      </c>
      <c r="AR277" s="141">
        <f t="shared" si="155"/>
        <v>0.97524796952374337</v>
      </c>
    </row>
    <row r="278" spans="1:44" ht="12" thickBot="1" x14ac:dyDescent="0.25">
      <c r="AM278" s="141">
        <f t="shared" si="150"/>
        <v>0.97861987373546322</v>
      </c>
      <c r="AN278" s="141">
        <f t="shared" si="151"/>
        <v>0.98307841292336984</v>
      </c>
      <c r="AO278" s="141">
        <f t="shared" si="152"/>
        <v>0.98307841292336984</v>
      </c>
      <c r="AP278" s="141">
        <f t="shared" si="153"/>
        <v>0.9738157463321464</v>
      </c>
      <c r="AQ278" s="141">
        <f t="shared" si="154"/>
        <v>0.97297240486699776</v>
      </c>
      <c r="AR278" s="141">
        <f t="shared" si="155"/>
        <v>0.9790687381057005</v>
      </c>
    </row>
    <row r="279" spans="1:44" ht="12" thickTop="1" x14ac:dyDescent="0.2">
      <c r="C279" s="19"/>
      <c r="D279" s="20" t="s">
        <v>53</v>
      </c>
      <c r="E279" s="21"/>
      <c r="F279" s="19"/>
      <c r="G279" s="20" t="s">
        <v>52</v>
      </c>
      <c r="H279" s="21"/>
      <c r="I279" s="19"/>
      <c r="J279" s="20" t="s">
        <v>51</v>
      </c>
      <c r="K279" s="21"/>
      <c r="L279" s="19"/>
      <c r="M279" s="20" t="s">
        <v>50</v>
      </c>
      <c r="N279" s="21"/>
      <c r="Q279" s="19"/>
      <c r="R279" s="360" t="s">
        <v>736</v>
      </c>
      <c r="S279" s="21"/>
      <c r="T279" s="19"/>
      <c r="U279" s="20" t="s">
        <v>66</v>
      </c>
      <c r="V279" s="21"/>
      <c r="W279" s="19"/>
      <c r="X279" s="20" t="s">
        <v>54</v>
      </c>
      <c r="Y279" s="21"/>
      <c r="Z279" s="19"/>
      <c r="AA279" s="20" t="s">
        <v>55</v>
      </c>
      <c r="AB279" s="21"/>
      <c r="AC279" s="19"/>
      <c r="AD279" s="20" t="s">
        <v>56</v>
      </c>
      <c r="AE279" s="21"/>
      <c r="AH279" s="2" t="s">
        <v>266</v>
      </c>
      <c r="AI279" s="2" t="s">
        <v>266</v>
      </c>
      <c r="AK279" t="s">
        <v>314</v>
      </c>
      <c r="AM279" s="141">
        <f t="shared" si="150"/>
        <v>0.98217546750704832</v>
      </c>
      <c r="AN279" s="141">
        <f t="shared" si="151"/>
        <v>0.98622556459580313</v>
      </c>
      <c r="AO279" s="141">
        <f t="shared" si="152"/>
        <v>0.98622556459580313</v>
      </c>
      <c r="AP279" s="141">
        <f t="shared" si="153"/>
        <v>0.97777488796092704</v>
      </c>
      <c r="AQ279" s="141">
        <f t="shared" si="154"/>
        <v>0.9760973922461742</v>
      </c>
      <c r="AR279" s="141">
        <f t="shared" si="155"/>
        <v>0.98317176365525227</v>
      </c>
    </row>
    <row r="280" spans="1:44" x14ac:dyDescent="0.2">
      <c r="C280" s="22" t="s">
        <v>62</v>
      </c>
      <c r="D280" s="8" t="s">
        <v>63</v>
      </c>
      <c r="E280" s="23" t="s">
        <v>65</v>
      </c>
      <c r="F280" s="22" t="s">
        <v>62</v>
      </c>
      <c r="G280" s="8" t="s">
        <v>63</v>
      </c>
      <c r="H280" s="23" t="s">
        <v>65</v>
      </c>
      <c r="I280" s="22" t="s">
        <v>62</v>
      </c>
      <c r="J280" s="8" t="s">
        <v>63</v>
      </c>
      <c r="K280" s="23" t="s">
        <v>65</v>
      </c>
      <c r="L280" s="22" t="s">
        <v>62</v>
      </c>
      <c r="M280" s="8" t="s">
        <v>63</v>
      </c>
      <c r="N280" s="23" t="s">
        <v>65</v>
      </c>
      <c r="Q280" s="22" t="s">
        <v>62</v>
      </c>
      <c r="R280" s="8" t="s">
        <v>63</v>
      </c>
      <c r="S280" s="23" t="s">
        <v>65</v>
      </c>
      <c r="T280" s="22" t="s">
        <v>62</v>
      </c>
      <c r="U280" s="8" t="s">
        <v>63</v>
      </c>
      <c r="V280" s="23" t="s">
        <v>65</v>
      </c>
      <c r="W280" s="22" t="s">
        <v>62</v>
      </c>
      <c r="X280" s="8" t="s">
        <v>63</v>
      </c>
      <c r="Y280" s="23" t="s">
        <v>65</v>
      </c>
      <c r="Z280" s="22" t="s">
        <v>62</v>
      </c>
      <c r="AA280" s="8" t="s">
        <v>63</v>
      </c>
      <c r="AB280" s="23" t="s">
        <v>65</v>
      </c>
      <c r="AC280" s="22" t="s">
        <v>62</v>
      </c>
      <c r="AD280" s="8" t="s">
        <v>63</v>
      </c>
      <c r="AE280" s="23" t="s">
        <v>65</v>
      </c>
      <c r="AG280" s="38" t="s">
        <v>41</v>
      </c>
      <c r="AH280" s="38" t="s">
        <v>41</v>
      </c>
      <c r="AI280" s="38" t="s">
        <v>42</v>
      </c>
      <c r="AJ280" s="38" t="s">
        <v>315</v>
      </c>
      <c r="AK280" t="s">
        <v>50</v>
      </c>
      <c r="AL280" s="1" t="s">
        <v>316</v>
      </c>
      <c r="AM280" s="141">
        <f t="shared" si="150"/>
        <v>0.98447441318381057</v>
      </c>
      <c r="AN280" s="141">
        <f t="shared" si="151"/>
        <v>0.98818794845553182</v>
      </c>
      <c r="AO280" s="141">
        <f t="shared" si="152"/>
        <v>0.98818794845553182</v>
      </c>
      <c r="AP280" s="141">
        <f t="shared" si="153"/>
        <v>0.9804069105563129</v>
      </c>
      <c r="AQ280" s="141">
        <f t="shared" si="154"/>
        <v>0.98018527609956596</v>
      </c>
      <c r="AR280" s="141">
        <f t="shared" si="155"/>
        <v>0.98550117594572217</v>
      </c>
    </row>
    <row r="281" spans="1:44" x14ac:dyDescent="0.2">
      <c r="A281" s="252" t="s">
        <v>978</v>
      </c>
      <c r="B281" s="7"/>
      <c r="C281" s="24"/>
      <c r="D281" s="601">
        <f t="shared" ref="D281:D314" si="156">C282*D282</f>
        <v>0.22267961147516946</v>
      </c>
      <c r="E281" s="33">
        <f t="shared" ref="E281:E311" si="157">MIN(SUMPRODUCT(D276:D286,$G$329:$G$339),$E$275)</f>
        <v>0.22267961147516946</v>
      </c>
      <c r="F281" s="24"/>
      <c r="G281" s="601">
        <f t="shared" ref="G281:G314" si="158">F282*G282</f>
        <v>0.21553914296864224</v>
      </c>
      <c r="H281" s="33">
        <f t="shared" ref="H281:H311" si="159">MIN(SUMPRODUCT(G276:G286,$G$329:$G$339),$E$275)</f>
        <v>0.21553914296864224</v>
      </c>
      <c r="I281" s="24"/>
      <c r="J281" s="601">
        <f t="shared" ref="J281:J314" si="160">I282*J282</f>
        <v>0.23261241776060959</v>
      </c>
      <c r="K281" s="33">
        <f t="shared" ref="K281:K311" si="161">MIN(SUMPRODUCT(J276:J286,$G$329:$G$339),$E$275)</f>
        <v>0.23261241776060959</v>
      </c>
      <c r="L281" s="24"/>
      <c r="M281" s="601">
        <f t="shared" ref="M281:M314" si="162">L282*M282</f>
        <v>0.21250753586641688</v>
      </c>
      <c r="N281" s="33">
        <f t="shared" ref="N281:N311" si="163">MIN(SUMPRODUCT(M276:M286,$G$329:$G$339),$E$275)</f>
        <v>0.21250753586641688</v>
      </c>
      <c r="O281" s="252" t="s">
        <v>978</v>
      </c>
      <c r="P281" s="7"/>
      <c r="Q281" s="24"/>
      <c r="R281" s="601">
        <f t="shared" ref="R281:R314" si="164">Q282*R282</f>
        <v>0.21996961268782741</v>
      </c>
      <c r="S281" s="33">
        <f t="shared" ref="S281:S311" si="165">MIN(SUMPRODUCT(R276:R286,$G$329:$G$339),$E$275)</f>
        <v>0.21996961268782741</v>
      </c>
      <c r="T281" s="24"/>
      <c r="U281" s="601">
        <f t="shared" ref="U281:U314" si="166">T282*U282</f>
        <v>0.22629229444231419</v>
      </c>
      <c r="V281" s="33">
        <f t="shared" ref="V281:V311" si="167">MIN(SUMPRODUCT(U276:U286,$G$329:$G$339),$E$275)</f>
        <v>0.22629229444231419</v>
      </c>
      <c r="W281" s="24"/>
      <c r="X281" s="601">
        <f t="shared" ref="X281:X314" si="168">W282*X282</f>
        <v>0.20831702578916045</v>
      </c>
      <c r="Y281" s="33">
        <f t="shared" ref="Y281:Y311" si="169">MIN(SUMPRODUCT(X276:X286,$G$329:$G$339),$E$275)</f>
        <v>0.20831702578916045</v>
      </c>
      <c r="Z281" s="24"/>
      <c r="AA281" s="601">
        <f t="shared" ref="AA281:AA314" si="170">Z282*AA282</f>
        <v>0.21564737845886728</v>
      </c>
      <c r="AB281" s="33">
        <f t="shared" ref="AB281:AB311" si="171">MIN(SUMPRODUCT(AA276:AA286,$G$329:$G$339),$E$275)</f>
        <v>0.21564737845886728</v>
      </c>
      <c r="AC281" s="24"/>
      <c r="AD281" s="601">
        <f t="shared" ref="AD281:AD314" si="172">AC282*AD282</f>
        <v>0.28609376262931341</v>
      </c>
      <c r="AE281" s="33">
        <f t="shared" ref="AE281:AE311" si="173">MIN(SUMPRODUCT(AD276:AD286,$G$329:$G$339),$E$275)</f>
        <v>0.28609376262931341</v>
      </c>
      <c r="AG281" s="121">
        <f t="shared" ref="AG281:AG302" si="174">+AN8</f>
        <v>45352</v>
      </c>
      <c r="AH281" s="132" t="str">
        <f t="shared" ref="AH281:AH302" si="175">TEXT(0,MONTH(AG281))</f>
        <v>3</v>
      </c>
      <c r="AI281" s="132" t="str">
        <f t="shared" ref="AI281:AI302" si="176">RIGHT((TEXT(0,YEAR(AG281))),2)</f>
        <v>24</v>
      </c>
      <c r="AJ281" t="str">
        <f>AH281&amp;"/"&amp;AI281</f>
        <v>3/24</v>
      </c>
      <c r="AK281" s="141">
        <f t="shared" ref="AK281:AK303" si="177">+M281</f>
        <v>0.21250753586641688</v>
      </c>
      <c r="AL281" s="141">
        <f t="shared" ref="AL281:AL303" si="178">+J281</f>
        <v>0.23261241776060959</v>
      </c>
      <c r="AM281" s="141">
        <f t="shared" si="150"/>
        <v>0.98743498618863002</v>
      </c>
      <c r="AN281" s="141">
        <f t="shared" si="151"/>
        <v>0.99046568560927273</v>
      </c>
      <c r="AO281" s="141">
        <f t="shared" si="152"/>
        <v>0.99046568560927273</v>
      </c>
      <c r="AP281" s="141">
        <f t="shared" si="153"/>
        <v>0.9840447558969414</v>
      </c>
      <c r="AQ281" s="141">
        <f t="shared" si="154"/>
        <v>0.98226078909387249</v>
      </c>
      <c r="AR281" s="141">
        <f t="shared" si="155"/>
        <v>0.98770015567899183</v>
      </c>
    </row>
    <row r="282" spans="1:44" x14ac:dyDescent="0.2">
      <c r="A282" s="252" t="s">
        <v>979</v>
      </c>
      <c r="B282" s="7"/>
      <c r="C282" s="214">
        <f>+X236</f>
        <v>0.30383562296472494</v>
      </c>
      <c r="D282" s="601">
        <f t="shared" si="156"/>
        <v>0.73289500849945555</v>
      </c>
      <c r="E282" s="33">
        <f t="shared" si="157"/>
        <v>0.73289500849945555</v>
      </c>
      <c r="F282" s="214">
        <f>+Y236</f>
        <v>0.29435553432466804</v>
      </c>
      <c r="G282" s="601">
        <f t="shared" si="158"/>
        <v>0.7322408374727789</v>
      </c>
      <c r="H282" s="33">
        <f t="shared" si="159"/>
        <v>0.7322408374727789</v>
      </c>
      <c r="I282" s="214">
        <f>+Z236</f>
        <v>0.31353367702788476</v>
      </c>
      <c r="J282" s="601">
        <f t="shared" si="160"/>
        <v>0.74190568606740681</v>
      </c>
      <c r="K282" s="33">
        <f t="shared" si="161"/>
        <v>0.74190568606740681</v>
      </c>
      <c r="L282" s="214">
        <f>+AA236</f>
        <v>0.32189972112070786</v>
      </c>
      <c r="M282" s="601">
        <f t="shared" si="162"/>
        <v>0.66016688404252932</v>
      </c>
      <c r="N282" s="33">
        <f t="shared" si="163"/>
        <v>0.66016688404252932</v>
      </c>
      <c r="O282" s="252" t="s">
        <v>979</v>
      </c>
      <c r="P282" s="7"/>
      <c r="Q282" s="214">
        <f>+AB236</f>
        <v>0.30030913412702576</v>
      </c>
      <c r="R282" s="601">
        <f t="shared" si="164"/>
        <v>0.73247726322831042</v>
      </c>
      <c r="S282" s="33">
        <f t="shared" si="165"/>
        <v>0.73247726322831042</v>
      </c>
      <c r="T282" s="214">
        <f>+AC236</f>
        <v>0.30538631306124442</v>
      </c>
      <c r="U282" s="601">
        <f t="shared" si="166"/>
        <v>0.74100339394363057</v>
      </c>
      <c r="V282" s="33">
        <f t="shared" si="167"/>
        <v>0.74100339394363057</v>
      </c>
      <c r="W282" s="214">
        <f>+AD236</f>
        <v>0.28487544568461115</v>
      </c>
      <c r="X282" s="601">
        <f t="shared" si="168"/>
        <v>0.7312565155923989</v>
      </c>
      <c r="Y282" s="33">
        <f t="shared" si="169"/>
        <v>0.7312565155923989</v>
      </c>
      <c r="Z282" s="214">
        <f>+AE236</f>
        <v>0.30154282070815525</v>
      </c>
      <c r="AA282" s="601">
        <f t="shared" si="170"/>
        <v>0.71514678397062259</v>
      </c>
      <c r="AB282" s="33">
        <f t="shared" si="171"/>
        <v>0.71514678397062259</v>
      </c>
      <c r="AC282" s="214">
        <f>+AF236</f>
        <v>0.36388081875404771</v>
      </c>
      <c r="AD282" s="601">
        <f t="shared" si="172"/>
        <v>0.78622930334420382</v>
      </c>
      <c r="AE282" s="33">
        <f t="shared" si="173"/>
        <v>0.78622930334420382</v>
      </c>
      <c r="AG282" s="121">
        <f t="shared" si="174"/>
        <v>45323</v>
      </c>
      <c r="AH282" s="132" t="str">
        <f t="shared" si="175"/>
        <v>2</v>
      </c>
      <c r="AI282" s="132" t="str">
        <f t="shared" si="176"/>
        <v>24</v>
      </c>
      <c r="AJ282" s="1" t="s">
        <v>270</v>
      </c>
      <c r="AK282" s="141">
        <f t="shared" si="177"/>
        <v>0.66016688404252932</v>
      </c>
      <c r="AL282" s="141">
        <f t="shared" si="178"/>
        <v>0.74190568606740681</v>
      </c>
      <c r="AM282" s="141">
        <f t="shared" si="150"/>
        <v>0.98959360778579009</v>
      </c>
      <c r="AN282" s="141">
        <f t="shared" si="151"/>
        <v>0.99230199181628465</v>
      </c>
      <c r="AO282" s="141">
        <f t="shared" si="152"/>
        <v>0.99230199181628465</v>
      </c>
      <c r="AP282" s="141">
        <f t="shared" si="153"/>
        <v>0.98652299122150633</v>
      </c>
      <c r="AQ282" s="141">
        <f t="shared" si="154"/>
        <v>0.98372969819620781</v>
      </c>
      <c r="AR282" s="141">
        <f t="shared" si="155"/>
        <v>0.98984923244656253</v>
      </c>
    </row>
    <row r="283" spans="1:44" x14ac:dyDescent="0.2">
      <c r="A283" s="568" t="s">
        <v>980</v>
      </c>
      <c r="B283" s="7"/>
      <c r="C283" s="214">
        <f>+X237</f>
        <v>0.83369368244918984</v>
      </c>
      <c r="D283" s="601">
        <f t="shared" si="156"/>
        <v>0.87909387335932276</v>
      </c>
      <c r="E283" s="33">
        <f t="shared" si="157"/>
        <v>0.87909387335932276</v>
      </c>
      <c r="F283" s="214">
        <f>+Y237</f>
        <v>0.83771226140957733</v>
      </c>
      <c r="G283" s="601">
        <f t="shared" si="158"/>
        <v>0.87409588137181282</v>
      </c>
      <c r="H283" s="33">
        <f t="shared" si="159"/>
        <v>0.87409588137181282</v>
      </c>
      <c r="I283" s="214">
        <f>+Z237</f>
        <v>0.84480025372641288</v>
      </c>
      <c r="J283" s="601">
        <f t="shared" si="160"/>
        <v>0.87820248963569991</v>
      </c>
      <c r="K283" s="33">
        <f t="shared" si="161"/>
        <v>0.87820248963569991</v>
      </c>
      <c r="L283" s="214">
        <f>+AA237</f>
        <v>0.81920646238870376</v>
      </c>
      <c r="M283" s="601">
        <f t="shared" si="162"/>
        <v>0.80586142120701187</v>
      </c>
      <c r="N283" s="33">
        <f t="shared" si="163"/>
        <v>0.80586142120701187</v>
      </c>
      <c r="O283" s="568" t="s">
        <v>980</v>
      </c>
      <c r="P283" s="7"/>
      <c r="Q283" s="214">
        <f>+AB237</f>
        <v>0.8355932331260052</v>
      </c>
      <c r="R283" s="601">
        <f t="shared" si="164"/>
        <v>0.87659549430297368</v>
      </c>
      <c r="S283" s="33">
        <f t="shared" si="165"/>
        <v>0.87659549430297368</v>
      </c>
      <c r="T283" s="214">
        <f>+AC237</f>
        <v>0.84046212451125046</v>
      </c>
      <c r="U283" s="601">
        <f t="shared" si="166"/>
        <v>0.88166185284618559</v>
      </c>
      <c r="V283" s="33">
        <f t="shared" si="167"/>
        <v>0.88166185284618559</v>
      </c>
      <c r="W283" s="214">
        <f>+AD237</f>
        <v>0.84173084036996448</v>
      </c>
      <c r="X283" s="601">
        <f t="shared" si="168"/>
        <v>0.86875338352933695</v>
      </c>
      <c r="Y283" s="33">
        <f t="shared" si="169"/>
        <v>0.86875338352933695</v>
      </c>
      <c r="Z283" s="214">
        <f>+AE237</f>
        <v>0.82686949101772311</v>
      </c>
      <c r="AA283" s="601">
        <f t="shared" si="170"/>
        <v>0.86488471486644092</v>
      </c>
      <c r="AB283" s="33">
        <f t="shared" si="171"/>
        <v>0.86488471486644092</v>
      </c>
      <c r="AC283" s="214">
        <f>+AF237</f>
        <v>0.87690700106877317</v>
      </c>
      <c r="AD283" s="601">
        <f t="shared" si="172"/>
        <v>0.89659371220203343</v>
      </c>
      <c r="AE283" s="33">
        <f t="shared" si="173"/>
        <v>0.89659371220203343</v>
      </c>
      <c r="AG283" s="121">
        <f t="shared" si="174"/>
        <v>45292</v>
      </c>
      <c r="AH283" s="132" t="str">
        <f t="shared" si="175"/>
        <v>1</v>
      </c>
      <c r="AI283" s="132" t="str">
        <f t="shared" si="176"/>
        <v>24</v>
      </c>
      <c r="AJ283" s="1" t="s">
        <v>271</v>
      </c>
      <c r="AK283" s="141">
        <f t="shared" si="177"/>
        <v>0.80586142120701187</v>
      </c>
      <c r="AL283" s="141">
        <f t="shared" si="178"/>
        <v>0.87820248963569991</v>
      </c>
      <c r="AM283" s="141">
        <f t="shared" si="150"/>
        <v>0.99092526296484351</v>
      </c>
      <c r="AN283" s="141">
        <f t="shared" si="151"/>
        <v>0.99361516573464881</v>
      </c>
      <c r="AO283" s="141">
        <f t="shared" si="152"/>
        <v>0.99361516573464881</v>
      </c>
      <c r="AP283" s="141">
        <f t="shared" si="153"/>
        <v>0.98794164948719798</v>
      </c>
      <c r="AQ283" s="141">
        <f t="shared" si="154"/>
        <v>0.98559729808326502</v>
      </c>
      <c r="AR283" s="141">
        <f t="shared" si="155"/>
        <v>0.99205865683341543</v>
      </c>
    </row>
    <row r="284" spans="1:44" x14ac:dyDescent="0.2">
      <c r="A284" s="568" t="s">
        <v>981</v>
      </c>
      <c r="B284" s="7"/>
      <c r="C284" s="214">
        <f>+X238</f>
        <v>0.94138329878488303</v>
      </c>
      <c r="D284" s="601">
        <f t="shared" si="156"/>
        <v>0.93383202622570205</v>
      </c>
      <c r="E284" s="33">
        <f t="shared" si="157"/>
        <v>0.93383202622570205</v>
      </c>
      <c r="F284" s="214">
        <f>+Y238</f>
        <v>0.94153203423525689</v>
      </c>
      <c r="G284" s="601">
        <f t="shared" si="158"/>
        <v>0.92837614609871677</v>
      </c>
      <c r="H284" s="33">
        <f t="shared" si="159"/>
        <v>0.92837614609871677</v>
      </c>
      <c r="I284" s="214">
        <f>+Z238</f>
        <v>0.94675793869280378</v>
      </c>
      <c r="J284" s="601">
        <f t="shared" si="160"/>
        <v>0.92758925354060517</v>
      </c>
      <c r="K284" s="33">
        <f t="shared" si="161"/>
        <v>0.92758925354060517</v>
      </c>
      <c r="L284" s="214">
        <f>+AA238</f>
        <v>0.92345069804406932</v>
      </c>
      <c r="M284" s="601">
        <f t="shared" si="162"/>
        <v>0.87266317835254281</v>
      </c>
      <c r="N284" s="33">
        <f t="shared" si="163"/>
        <v>0.87266317835254281</v>
      </c>
      <c r="O284" s="568" t="s">
        <v>981</v>
      </c>
      <c r="P284" s="7"/>
      <c r="Q284" s="214">
        <f>+AB238</f>
        <v>0.94082368217310453</v>
      </c>
      <c r="R284" s="601">
        <f t="shared" si="164"/>
        <v>0.93173196095385558</v>
      </c>
      <c r="S284" s="33">
        <f t="shared" si="165"/>
        <v>0.93173196095385558</v>
      </c>
      <c r="T284" s="214">
        <f>+AC238</f>
        <v>0.9468876834223714</v>
      </c>
      <c r="U284" s="601">
        <f t="shared" si="166"/>
        <v>0.93111555708440763</v>
      </c>
      <c r="V284" s="33">
        <f t="shared" si="167"/>
        <v>0.93111555708440763</v>
      </c>
      <c r="W284" s="214">
        <f>+AD238</f>
        <v>0.94168076968563097</v>
      </c>
      <c r="X284" s="601">
        <f t="shared" si="168"/>
        <v>0.92255614800264008</v>
      </c>
      <c r="Y284" s="33">
        <f t="shared" si="169"/>
        <v>0.92255614800264008</v>
      </c>
      <c r="Z284" s="214">
        <f>+AE238</f>
        <v>0.94608748749681848</v>
      </c>
      <c r="AA284" s="601">
        <f t="shared" si="170"/>
        <v>0.91416991165877703</v>
      </c>
      <c r="AB284" s="33">
        <f t="shared" si="171"/>
        <v>0.91416991165877703</v>
      </c>
      <c r="AC284" s="214">
        <f>+AF238</f>
        <v>0.95788019880388309</v>
      </c>
      <c r="AD284" s="601">
        <f t="shared" si="172"/>
        <v>0.93601863084926606</v>
      </c>
      <c r="AE284" s="33">
        <f t="shared" si="173"/>
        <v>0.93601863084926606</v>
      </c>
      <c r="AG284" s="121">
        <f t="shared" si="174"/>
        <v>45261</v>
      </c>
      <c r="AH284" s="132" t="str">
        <f t="shared" si="175"/>
        <v>12</v>
      </c>
      <c r="AI284" s="132" t="str">
        <f t="shared" si="176"/>
        <v>23</v>
      </c>
      <c r="AJ284" t="str">
        <f>AH284&amp;"/"&amp;AI284</f>
        <v>12/23</v>
      </c>
      <c r="AK284" s="141">
        <f t="shared" si="177"/>
        <v>0.87266317835254281</v>
      </c>
      <c r="AL284" s="141">
        <f t="shared" si="178"/>
        <v>0.92758925354060517</v>
      </c>
      <c r="AM284" s="141">
        <f t="shared" si="150"/>
        <v>0.99246409817179737</v>
      </c>
      <c r="AN284" s="141">
        <f t="shared" si="151"/>
        <v>0.9954812515340502</v>
      </c>
      <c r="AO284" s="141">
        <f t="shared" si="152"/>
        <v>0.9954812515340502</v>
      </c>
      <c r="AP284" s="141">
        <f t="shared" si="153"/>
        <v>0.98915483116595615</v>
      </c>
      <c r="AQ284" s="141">
        <f t="shared" si="154"/>
        <v>0.98737586448429193</v>
      </c>
      <c r="AR284" s="141">
        <f t="shared" si="155"/>
        <v>0.99317413860820725</v>
      </c>
    </row>
    <row r="285" spans="1:44" x14ac:dyDescent="0.2">
      <c r="A285" s="568" t="s">
        <v>982</v>
      </c>
      <c r="B285" s="7"/>
      <c r="C285" s="214">
        <f>+X239</f>
        <v>0.97930257141469246</v>
      </c>
      <c r="D285" s="601">
        <f t="shared" si="156"/>
        <v>0.95356844093311832</v>
      </c>
      <c r="E285" s="33">
        <f t="shared" si="157"/>
        <v>0.95356844093311832</v>
      </c>
      <c r="F285" s="214">
        <f>+Y239</f>
        <v>0.979529108696228</v>
      </c>
      <c r="G285" s="601">
        <f t="shared" si="158"/>
        <v>0.94777800665301637</v>
      </c>
      <c r="H285" s="33">
        <f t="shared" si="159"/>
        <v>0.94777800665301637</v>
      </c>
      <c r="I285" s="214">
        <f>+Z239</f>
        <v>0.9813185004295365</v>
      </c>
      <c r="J285" s="601">
        <f t="shared" si="160"/>
        <v>0.94524790181229301</v>
      </c>
      <c r="K285" s="33">
        <f t="shared" si="161"/>
        <v>0.94524790181229301</v>
      </c>
      <c r="L285" s="214">
        <f>+AA239</f>
        <v>0.96302123715541776</v>
      </c>
      <c r="M285" s="601">
        <f t="shared" si="162"/>
        <v>0.90617230927349479</v>
      </c>
      <c r="N285" s="33">
        <f t="shared" si="163"/>
        <v>0.90617230927349479</v>
      </c>
      <c r="O285" s="568" t="s">
        <v>982</v>
      </c>
      <c r="P285" s="7"/>
      <c r="Q285" s="214">
        <f>+AB239</f>
        <v>0.98040254376341951</v>
      </c>
      <c r="R285" s="601">
        <f t="shared" si="164"/>
        <v>0.9503565314888569</v>
      </c>
      <c r="S285" s="33">
        <f t="shared" si="165"/>
        <v>0.9503565314888569</v>
      </c>
      <c r="T285" s="214">
        <f>+AC239</f>
        <v>0.98160806669050127</v>
      </c>
      <c r="U285" s="601">
        <f t="shared" si="166"/>
        <v>0.94856143575069685</v>
      </c>
      <c r="V285" s="33">
        <f t="shared" si="167"/>
        <v>0.94856143575069685</v>
      </c>
      <c r="W285" s="214">
        <f>+AD239</f>
        <v>0.97975564597776355</v>
      </c>
      <c r="X285" s="601">
        <f t="shared" si="168"/>
        <v>0.9416186084663587</v>
      </c>
      <c r="Y285" s="33">
        <f t="shared" si="169"/>
        <v>0.9416186084663587</v>
      </c>
      <c r="Z285" s="214">
        <f>+AE239</f>
        <v>0.98118299470304449</v>
      </c>
      <c r="AA285" s="601">
        <f t="shared" si="170"/>
        <v>0.93170174839347986</v>
      </c>
      <c r="AB285" s="33">
        <f t="shared" si="171"/>
        <v>0.93170174839347986</v>
      </c>
      <c r="AC285" s="214">
        <f>+AF239</f>
        <v>0.98503278962264529</v>
      </c>
      <c r="AD285" s="601">
        <f t="shared" si="172"/>
        <v>0.95024108913962546</v>
      </c>
      <c r="AE285" s="33">
        <f t="shared" si="173"/>
        <v>0.95024108913962546</v>
      </c>
      <c r="AG285" s="121">
        <f t="shared" si="174"/>
        <v>45231</v>
      </c>
      <c r="AH285" s="132" t="str">
        <f t="shared" si="175"/>
        <v>11</v>
      </c>
      <c r="AI285" s="132" t="str">
        <f t="shared" si="176"/>
        <v>23</v>
      </c>
      <c r="AJ285" s="1" t="s">
        <v>272</v>
      </c>
      <c r="AK285" s="141">
        <f t="shared" si="177"/>
        <v>0.90617230927349479</v>
      </c>
      <c r="AL285" s="141">
        <f t="shared" si="178"/>
        <v>0.94524790181229301</v>
      </c>
      <c r="AM285" s="141">
        <f t="shared" si="150"/>
        <v>0.99302190087320263</v>
      </c>
      <c r="AN285" s="141">
        <f t="shared" si="151"/>
        <v>0.99583180633719082</v>
      </c>
      <c r="AO285" s="141">
        <f t="shared" si="152"/>
        <v>0.99583180633719082</v>
      </c>
      <c r="AP285" s="141">
        <f t="shared" si="153"/>
        <v>0.98991850074957843</v>
      </c>
      <c r="AQ285" s="141">
        <f t="shared" si="154"/>
        <v>0.99054271705795038</v>
      </c>
      <c r="AR285" s="141">
        <f t="shared" si="155"/>
        <v>0.99402536314199952</v>
      </c>
    </row>
    <row r="286" spans="1:44" x14ac:dyDescent="0.2">
      <c r="A286" s="568" t="s">
        <v>983</v>
      </c>
      <c r="B286" s="7"/>
      <c r="C286" s="24">
        <f t="shared" ref="C286:C304" si="179">IF(+X240=0,1,X240)</f>
        <v>0.99079489335746374</v>
      </c>
      <c r="D286" s="601">
        <f t="shared" si="156"/>
        <v>0.96242769045952814</v>
      </c>
      <c r="E286" s="33">
        <f t="shared" si="157"/>
        <v>0.96242769045952814</v>
      </c>
      <c r="F286" s="24">
        <f t="shared" ref="F286:F298" si="180">IF(+Y240=0,1,Y240)</f>
        <v>0.9905138937920871</v>
      </c>
      <c r="G286" s="601">
        <f t="shared" si="158"/>
        <v>0.95685483322655829</v>
      </c>
      <c r="H286" s="33">
        <f t="shared" si="159"/>
        <v>0.95685483322655829</v>
      </c>
      <c r="I286" s="24">
        <f t="shared" ref="I286:I296" si="181">IF(+Z240=0,1,Z240)</f>
        <v>0.99038402675649151</v>
      </c>
      <c r="J286" s="601">
        <f t="shared" si="160"/>
        <v>0.95442563316371398</v>
      </c>
      <c r="K286" s="33">
        <f t="shared" si="161"/>
        <v>0.95442563316371398</v>
      </c>
      <c r="L286" s="24">
        <f t="shared" ref="L286:L297" si="182">IF(+AA240=0,1,AA240)</f>
        <v>0.97654525560149064</v>
      </c>
      <c r="M286" s="601">
        <f t="shared" si="162"/>
        <v>0.92793683044965436</v>
      </c>
      <c r="N286" s="33">
        <f t="shared" si="163"/>
        <v>0.92793683044965436</v>
      </c>
      <c r="O286" s="568" t="s">
        <v>983</v>
      </c>
      <c r="P286" s="7"/>
      <c r="Q286" s="24">
        <f t="shared" ref="Q286:Q296" si="183">IF(+AB240=0,1,AB240)</f>
        <v>0.99029499529858367</v>
      </c>
      <c r="R286" s="601">
        <f t="shared" si="164"/>
        <v>0.95967013465751694</v>
      </c>
      <c r="S286" s="33">
        <f t="shared" si="165"/>
        <v>0.95967013465751694</v>
      </c>
      <c r="T286" s="24">
        <f t="shared" ref="T286:T296" si="184">IF(+AC240=0,1,AC240)</f>
        <v>0.99034523817315434</v>
      </c>
      <c r="U286" s="601">
        <f t="shared" si="166"/>
        <v>0.95780885209330213</v>
      </c>
      <c r="V286" s="33">
        <f t="shared" si="167"/>
        <v>0.95780885209330213</v>
      </c>
      <c r="W286" s="24">
        <f t="shared" ref="W286:W296" si="185">IF(+AD240=0,1,AD240)</f>
        <v>0.99023289422671057</v>
      </c>
      <c r="X286" s="601">
        <f t="shared" si="168"/>
        <v>0.95090620999990549</v>
      </c>
      <c r="Y286" s="33">
        <f t="shared" si="169"/>
        <v>0.95090620999990549</v>
      </c>
      <c r="Z286" s="24">
        <f t="shared" ref="Z286:Z296" si="186">IF(+AE240=0,1,AE240)</f>
        <v>0.98786384874431254</v>
      </c>
      <c r="AA286" s="601">
        <f t="shared" si="170"/>
        <v>0.94314793438162448</v>
      </c>
      <c r="AB286" s="33">
        <f t="shared" si="171"/>
        <v>0.94314793438162448</v>
      </c>
      <c r="AC286" s="24">
        <f t="shared" ref="AC286:AC296" si="187">IF(+AF240=0,1,AF240)</f>
        <v>0.99258654825790849</v>
      </c>
      <c r="AD286" s="601">
        <f t="shared" si="172"/>
        <v>0.95733827020665985</v>
      </c>
      <c r="AE286" s="33">
        <f t="shared" si="173"/>
        <v>0.95733827020665985</v>
      </c>
      <c r="AG286" s="121">
        <f t="shared" si="174"/>
        <v>45200</v>
      </c>
      <c r="AH286" s="132" t="str">
        <f t="shared" si="175"/>
        <v>10</v>
      </c>
      <c r="AI286" s="132" t="str">
        <f t="shared" si="176"/>
        <v>23</v>
      </c>
      <c r="AJ286" s="1" t="s">
        <v>273</v>
      </c>
      <c r="AK286" s="141">
        <f t="shared" si="177"/>
        <v>0.92793683044965436</v>
      </c>
      <c r="AL286" s="141">
        <f t="shared" si="178"/>
        <v>0.95442563316371398</v>
      </c>
      <c r="AM286" s="141">
        <f t="shared" si="150"/>
        <v>0.99398298188557066</v>
      </c>
      <c r="AN286" s="141">
        <f t="shared" si="151"/>
        <v>0.99636767591128361</v>
      </c>
      <c r="AO286" s="141">
        <f t="shared" si="152"/>
        <v>0.99636767591128361</v>
      </c>
      <c r="AP286" s="141">
        <f t="shared" si="153"/>
        <v>0.99137894968531703</v>
      </c>
      <c r="AQ286" s="141">
        <f t="shared" si="154"/>
        <v>0.99149299507491384</v>
      </c>
      <c r="AR286" s="141">
        <f t="shared" si="155"/>
        <v>0.99477763764663796</v>
      </c>
    </row>
    <row r="287" spans="1:44" x14ac:dyDescent="0.2">
      <c r="A287" s="568" t="s">
        <v>984</v>
      </c>
      <c r="B287" s="7"/>
      <c r="C287" s="24">
        <f t="shared" si="179"/>
        <v>0.99291369948895547</v>
      </c>
      <c r="D287" s="601">
        <f t="shared" si="156"/>
        <v>0.96929641614863582</v>
      </c>
      <c r="E287" s="33">
        <f t="shared" si="157"/>
        <v>0.96929641614863582</v>
      </c>
      <c r="F287" s="24">
        <f t="shared" si="180"/>
        <v>0.99260674920377612</v>
      </c>
      <c r="G287" s="601">
        <f t="shared" si="158"/>
        <v>0.96398179238062165</v>
      </c>
      <c r="H287" s="33">
        <f t="shared" si="159"/>
        <v>0.96398179238062165</v>
      </c>
      <c r="I287" s="24">
        <f t="shared" si="181"/>
        <v>0.99143869144858432</v>
      </c>
      <c r="J287" s="601">
        <f t="shared" si="160"/>
        <v>0.96266732516683329</v>
      </c>
      <c r="K287" s="33">
        <f t="shared" si="161"/>
        <v>0.96266732516683329</v>
      </c>
      <c r="L287" s="24">
        <f t="shared" si="182"/>
        <v>0.98405081867823485</v>
      </c>
      <c r="M287" s="601">
        <f t="shared" si="162"/>
        <v>0.94297653417538729</v>
      </c>
      <c r="N287" s="33">
        <f t="shared" si="163"/>
        <v>0.94297653417538729</v>
      </c>
      <c r="O287" s="568" t="s">
        <v>984</v>
      </c>
      <c r="P287" s="7"/>
      <c r="Q287" s="24">
        <f t="shared" si="183"/>
        <v>0.99262920361182072</v>
      </c>
      <c r="R287" s="601">
        <f t="shared" si="164"/>
        <v>0.96679619254160809</v>
      </c>
      <c r="S287" s="33">
        <f t="shared" si="165"/>
        <v>0.96679619254160809</v>
      </c>
      <c r="T287" s="24">
        <f t="shared" si="184"/>
        <v>0.99164947170119144</v>
      </c>
      <c r="U287" s="601">
        <f t="shared" si="166"/>
        <v>0.96587441371815064</v>
      </c>
      <c r="V287" s="33">
        <f t="shared" si="167"/>
        <v>0.96587441371815064</v>
      </c>
      <c r="W287" s="24">
        <f t="shared" si="185"/>
        <v>0.99224747191910523</v>
      </c>
      <c r="X287" s="601">
        <f t="shared" si="168"/>
        <v>0.95833573469404598</v>
      </c>
      <c r="Y287" s="33">
        <f t="shared" si="169"/>
        <v>0.95833573469404598</v>
      </c>
      <c r="Z287" s="24">
        <f t="shared" si="186"/>
        <v>0.98790146212388308</v>
      </c>
      <c r="AA287" s="601">
        <f t="shared" si="170"/>
        <v>0.95469838900122361</v>
      </c>
      <c r="AB287" s="33">
        <f t="shared" si="171"/>
        <v>0.95469838900122361</v>
      </c>
      <c r="AC287" s="24">
        <f t="shared" si="187"/>
        <v>0.99247071351817862</v>
      </c>
      <c r="AD287" s="601">
        <f t="shared" si="172"/>
        <v>0.96460102768475775</v>
      </c>
      <c r="AE287" s="33">
        <f t="shared" si="173"/>
        <v>0.96460102768475775</v>
      </c>
      <c r="AG287" s="121">
        <f t="shared" si="174"/>
        <v>45170</v>
      </c>
      <c r="AH287" s="132" t="str">
        <f t="shared" si="175"/>
        <v>9</v>
      </c>
      <c r="AI287" s="132" t="str">
        <f t="shared" si="176"/>
        <v>23</v>
      </c>
      <c r="AJ287" t="str">
        <f>AH287&amp;"/"&amp;AI287</f>
        <v>9/23</v>
      </c>
      <c r="AK287" s="141">
        <f t="shared" si="177"/>
        <v>0.94297653417538729</v>
      </c>
      <c r="AL287" s="141">
        <f t="shared" si="178"/>
        <v>0.96266732516683329</v>
      </c>
      <c r="AM287" s="141">
        <f t="shared" si="150"/>
        <v>0.99485353616260019</v>
      </c>
      <c r="AN287" s="141">
        <f t="shared" si="151"/>
        <v>0.99651700030546342</v>
      </c>
      <c r="AO287" s="141">
        <f t="shared" si="152"/>
        <v>0.99651700030546342</v>
      </c>
      <c r="AP287" s="141">
        <f t="shared" si="153"/>
        <v>0.99299502922886629</v>
      </c>
      <c r="AQ287" s="141">
        <f t="shared" si="154"/>
        <v>0.99266339090610389</v>
      </c>
      <c r="AR287" s="141">
        <f t="shared" si="155"/>
        <v>0.99559360979946965</v>
      </c>
    </row>
    <row r="288" spans="1:44" x14ac:dyDescent="0.2">
      <c r="A288" s="568" t="s">
        <v>985</v>
      </c>
      <c r="B288" s="7"/>
      <c r="C288" s="24">
        <f t="shared" si="179"/>
        <v>0.99307057550616273</v>
      </c>
      <c r="D288" s="601">
        <f t="shared" si="156"/>
        <v>0.97605994987273759</v>
      </c>
      <c r="E288" s="33">
        <f t="shared" si="157"/>
        <v>0.97605994987273759</v>
      </c>
      <c r="F288" s="24">
        <f t="shared" si="180"/>
        <v>0.99243767906033364</v>
      </c>
      <c r="G288" s="601">
        <f t="shared" si="158"/>
        <v>0.97132728101712662</v>
      </c>
      <c r="H288" s="33">
        <f t="shared" si="159"/>
        <v>0.97132728101712662</v>
      </c>
      <c r="I288" s="24">
        <f t="shared" si="181"/>
        <v>0.99269230840365408</v>
      </c>
      <c r="J288" s="601">
        <f t="shared" si="160"/>
        <v>0.96975398823719716</v>
      </c>
      <c r="K288" s="33">
        <f t="shared" si="161"/>
        <v>0.96975398823719716</v>
      </c>
      <c r="L288" s="24">
        <f t="shared" si="182"/>
        <v>0.98760211194331282</v>
      </c>
      <c r="M288" s="601">
        <f t="shared" si="162"/>
        <v>0.95481421391443222</v>
      </c>
      <c r="N288" s="33">
        <f t="shared" si="163"/>
        <v>0.95481421391443222</v>
      </c>
      <c r="O288" s="568" t="s">
        <v>985</v>
      </c>
      <c r="P288" s="7"/>
      <c r="Q288" s="24">
        <f t="shared" si="183"/>
        <v>0.99294084870165078</v>
      </c>
      <c r="R288" s="601">
        <f t="shared" si="164"/>
        <v>0.97366947266372528</v>
      </c>
      <c r="S288" s="33">
        <f t="shared" si="165"/>
        <v>0.97366947266372528</v>
      </c>
      <c r="T288" s="24">
        <f t="shared" si="184"/>
        <v>0.99294450212884511</v>
      </c>
      <c r="U288" s="601">
        <f t="shared" si="166"/>
        <v>0.97273756151259516</v>
      </c>
      <c r="V288" s="33">
        <f t="shared" si="167"/>
        <v>0.97273756151259516</v>
      </c>
      <c r="W288" s="24">
        <f t="shared" si="185"/>
        <v>0.99180478261450455</v>
      </c>
      <c r="X288" s="601">
        <f t="shared" si="168"/>
        <v>0.96625439954803349</v>
      </c>
      <c r="Y288" s="33">
        <f t="shared" si="169"/>
        <v>0.96625439954803349</v>
      </c>
      <c r="Z288" s="24">
        <f t="shared" si="186"/>
        <v>0.99162244558852664</v>
      </c>
      <c r="AA288" s="601">
        <f t="shared" si="170"/>
        <v>0.96276399676956825</v>
      </c>
      <c r="AB288" s="33">
        <f t="shared" si="171"/>
        <v>0.96276399676956825</v>
      </c>
      <c r="AC288" s="24">
        <f t="shared" si="187"/>
        <v>0.99427142990542272</v>
      </c>
      <c r="AD288" s="601">
        <f t="shared" si="172"/>
        <v>0.9701586495113439</v>
      </c>
      <c r="AE288" s="33">
        <f t="shared" si="173"/>
        <v>0.9701586495113439</v>
      </c>
      <c r="AG288" s="121">
        <f t="shared" si="174"/>
        <v>45139</v>
      </c>
      <c r="AH288" s="132" t="str">
        <f t="shared" si="175"/>
        <v>8</v>
      </c>
      <c r="AI288" s="132" t="str">
        <f t="shared" si="176"/>
        <v>23</v>
      </c>
      <c r="AJ288" s="1" t="s">
        <v>274</v>
      </c>
      <c r="AK288" s="141">
        <f t="shared" si="177"/>
        <v>0.95481421391443222</v>
      </c>
      <c r="AL288" s="141">
        <f t="shared" si="178"/>
        <v>0.96975398823719716</v>
      </c>
      <c r="AM288" s="141">
        <f t="shared" si="150"/>
        <v>0.99525531193654615</v>
      </c>
      <c r="AN288" s="141">
        <f t="shared" si="151"/>
        <v>0.99672446837448281</v>
      </c>
      <c r="AO288" s="141">
        <f t="shared" si="152"/>
        <v>0.99672446837448281</v>
      </c>
      <c r="AP288" s="141">
        <f t="shared" si="153"/>
        <v>0.99359042509405116</v>
      </c>
      <c r="AQ288" s="141">
        <f t="shared" si="154"/>
        <v>0.99386699577085658</v>
      </c>
      <c r="AR288" s="141">
        <f t="shared" si="155"/>
        <v>0.99657036094318763</v>
      </c>
    </row>
    <row r="289" spans="1:44" x14ac:dyDescent="0.2">
      <c r="A289" s="568" t="s">
        <v>986</v>
      </c>
      <c r="B289" s="7"/>
      <c r="C289" s="24">
        <f t="shared" si="179"/>
        <v>0.99589819380043954</v>
      </c>
      <c r="D289" s="601">
        <f t="shared" si="156"/>
        <v>0.98008004829088269</v>
      </c>
      <c r="E289" s="33">
        <f t="shared" si="157"/>
        <v>0.98008004829088269</v>
      </c>
      <c r="F289" s="24">
        <f t="shared" si="180"/>
        <v>0.99601274899806336</v>
      </c>
      <c r="G289" s="601">
        <f t="shared" si="158"/>
        <v>0.97521571083726688</v>
      </c>
      <c r="H289" s="33">
        <f t="shared" si="159"/>
        <v>0.97521571083726688</v>
      </c>
      <c r="I289" s="24">
        <f t="shared" si="181"/>
        <v>0.99505758172923553</v>
      </c>
      <c r="J289" s="601">
        <f t="shared" si="160"/>
        <v>0.97457072439158232</v>
      </c>
      <c r="K289" s="33">
        <f t="shared" si="161"/>
        <v>0.97457072439158232</v>
      </c>
      <c r="L289" s="24">
        <f t="shared" si="182"/>
        <v>0.9927277299050109</v>
      </c>
      <c r="M289" s="601">
        <f t="shared" si="162"/>
        <v>0.96180874690162388</v>
      </c>
      <c r="N289" s="33">
        <f t="shared" si="163"/>
        <v>0.96180874690162388</v>
      </c>
      <c r="O289" s="568" t="s">
        <v>986</v>
      </c>
      <c r="P289" s="7"/>
      <c r="Q289" s="24">
        <f t="shared" si="183"/>
        <v>0.99598557803689047</v>
      </c>
      <c r="R289" s="601">
        <f t="shared" si="164"/>
        <v>0.9775939472766757</v>
      </c>
      <c r="S289" s="33">
        <f t="shared" si="165"/>
        <v>0.9775939472766757</v>
      </c>
      <c r="T289" s="24">
        <f t="shared" si="184"/>
        <v>0.99525183819745366</v>
      </c>
      <c r="U289" s="601">
        <f t="shared" si="166"/>
        <v>0.97737831187969959</v>
      </c>
      <c r="V289" s="33">
        <f t="shared" si="167"/>
        <v>0.97737831187969959</v>
      </c>
      <c r="W289" s="24">
        <f t="shared" si="185"/>
        <v>0.99612730419568696</v>
      </c>
      <c r="X289" s="601">
        <f t="shared" si="168"/>
        <v>0.97001095691100037</v>
      </c>
      <c r="Y289" s="33">
        <f t="shared" si="169"/>
        <v>0.97001095691100037</v>
      </c>
      <c r="Z289" s="24">
        <f t="shared" si="186"/>
        <v>0.99342331711196241</v>
      </c>
      <c r="AA289" s="601">
        <f t="shared" si="170"/>
        <v>0.96913770815091638</v>
      </c>
      <c r="AB289" s="33">
        <f t="shared" si="171"/>
        <v>0.96913770815091638</v>
      </c>
      <c r="AC289" s="24">
        <f t="shared" si="187"/>
        <v>0.99478151180885332</v>
      </c>
      <c r="AD289" s="601">
        <f t="shared" si="172"/>
        <v>0.97524796952374337</v>
      </c>
      <c r="AE289" s="33">
        <f t="shared" si="173"/>
        <v>0.97524796952374337</v>
      </c>
      <c r="AG289" s="121">
        <f t="shared" si="174"/>
        <v>45108</v>
      </c>
      <c r="AH289" s="132" t="str">
        <f t="shared" si="175"/>
        <v>7</v>
      </c>
      <c r="AI289" s="132" t="str">
        <f t="shared" si="176"/>
        <v>23</v>
      </c>
      <c r="AJ289" s="1" t="s">
        <v>275</v>
      </c>
      <c r="AK289" s="141">
        <f t="shared" si="177"/>
        <v>0.96180874690162388</v>
      </c>
      <c r="AL289" s="141">
        <f t="shared" si="178"/>
        <v>0.97457072439158232</v>
      </c>
      <c r="AM289" s="141">
        <f t="shared" si="150"/>
        <v>0.9958210573764058</v>
      </c>
      <c r="AN289" s="141">
        <f t="shared" si="151"/>
        <v>0.99715548508501717</v>
      </c>
      <c r="AO289" s="141">
        <f t="shared" si="152"/>
        <v>0.99715548508501717</v>
      </c>
      <c r="AP289" s="141">
        <f t="shared" si="153"/>
        <v>0.99437756021336288</v>
      </c>
      <c r="AQ289" s="141">
        <f t="shared" si="154"/>
        <v>0.99520487728047358</v>
      </c>
      <c r="AR289" s="141">
        <f t="shared" si="155"/>
        <v>0.99687740173880235</v>
      </c>
    </row>
    <row r="290" spans="1:44" x14ac:dyDescent="0.2">
      <c r="A290" s="568" t="s">
        <v>987</v>
      </c>
      <c r="B290" s="7"/>
      <c r="C290" s="24">
        <f t="shared" si="179"/>
        <v>0.99695002494910767</v>
      </c>
      <c r="D290" s="601">
        <f t="shared" si="156"/>
        <v>0.98307841292336984</v>
      </c>
      <c r="E290" s="33">
        <f t="shared" si="157"/>
        <v>0.98307841292336984</v>
      </c>
      <c r="F290" s="24">
        <f t="shared" si="180"/>
        <v>0.99652146559705312</v>
      </c>
      <c r="G290" s="601">
        <f t="shared" si="158"/>
        <v>0.97861987373546322</v>
      </c>
      <c r="H290" s="33">
        <f t="shared" si="159"/>
        <v>0.97861987373546322</v>
      </c>
      <c r="I290" s="24">
        <f t="shared" si="181"/>
        <v>0.99636907278705078</v>
      </c>
      <c r="J290" s="601">
        <f t="shared" si="160"/>
        <v>0.97812221495946883</v>
      </c>
      <c r="K290" s="33">
        <f t="shared" si="161"/>
        <v>0.97812221495946883</v>
      </c>
      <c r="L290" s="24">
        <f t="shared" si="182"/>
        <v>0.99380728321388301</v>
      </c>
      <c r="M290" s="601">
        <f t="shared" si="162"/>
        <v>0.9678020710325459</v>
      </c>
      <c r="N290" s="33">
        <f t="shared" si="163"/>
        <v>0.9678020710325459</v>
      </c>
      <c r="O290" s="568" t="s">
        <v>987</v>
      </c>
      <c r="P290" s="7"/>
      <c r="Q290" s="24">
        <f t="shared" si="183"/>
        <v>0.99637222685309146</v>
      </c>
      <c r="R290" s="601">
        <f t="shared" si="164"/>
        <v>0.98115334904935636</v>
      </c>
      <c r="S290" s="33">
        <f t="shared" si="165"/>
        <v>0.98115334904935636</v>
      </c>
      <c r="T290" s="24">
        <f t="shared" si="184"/>
        <v>0.99641293771245676</v>
      </c>
      <c r="U290" s="601">
        <f t="shared" si="166"/>
        <v>0.98089684997822646</v>
      </c>
      <c r="V290" s="33">
        <f t="shared" si="167"/>
        <v>0.98089684997822646</v>
      </c>
      <c r="W290" s="24">
        <f t="shared" si="185"/>
        <v>0.99609290624486546</v>
      </c>
      <c r="X290" s="601">
        <f t="shared" si="168"/>
        <v>0.9738157463321464</v>
      </c>
      <c r="Y290" s="33">
        <f t="shared" si="169"/>
        <v>0.9738157463321464</v>
      </c>
      <c r="Z290" s="24">
        <f t="shared" si="186"/>
        <v>0.99605878162946915</v>
      </c>
      <c r="AA290" s="601">
        <f t="shared" si="170"/>
        <v>0.97297240486699776</v>
      </c>
      <c r="AB290" s="33">
        <f t="shared" si="171"/>
        <v>0.97297240486699776</v>
      </c>
      <c r="AC290" s="24">
        <f t="shared" si="187"/>
        <v>0.99609754817690377</v>
      </c>
      <c r="AD290" s="601">
        <f t="shared" si="172"/>
        <v>0.9790687381057005</v>
      </c>
      <c r="AE290" s="33">
        <f t="shared" si="173"/>
        <v>0.9790687381057005</v>
      </c>
      <c r="AG290" s="121">
        <f t="shared" si="174"/>
        <v>45078</v>
      </c>
      <c r="AH290" s="132" t="str">
        <f t="shared" si="175"/>
        <v>6</v>
      </c>
      <c r="AI290" s="132" t="str">
        <f t="shared" si="176"/>
        <v>23</v>
      </c>
      <c r="AJ290" t="str">
        <f>AH290&amp;"/"&amp;AI290</f>
        <v>6/23</v>
      </c>
      <c r="AK290" s="141">
        <f t="shared" si="177"/>
        <v>0.9678020710325459</v>
      </c>
      <c r="AL290" s="141">
        <f t="shared" si="178"/>
        <v>0.97812221495946883</v>
      </c>
      <c r="AM290" s="141">
        <f t="shared" si="150"/>
        <v>0.99681659724170835</v>
      </c>
      <c r="AN290" s="141">
        <f t="shared" si="151"/>
        <v>0.998018533852287</v>
      </c>
      <c r="AO290" s="141">
        <f t="shared" si="152"/>
        <v>0.998018533852287</v>
      </c>
      <c r="AP290" s="141">
        <f t="shared" si="153"/>
        <v>0.99570489182446631</v>
      </c>
      <c r="AQ290" s="141">
        <f t="shared" si="154"/>
        <v>0.99584476274709166</v>
      </c>
      <c r="AR290" s="141">
        <f t="shared" si="155"/>
        <v>0.99730179264021046</v>
      </c>
    </row>
    <row r="291" spans="1:44" x14ac:dyDescent="0.2">
      <c r="A291" s="568" t="s">
        <v>988</v>
      </c>
      <c r="B291" s="7"/>
      <c r="C291" s="24">
        <f t="shared" si="179"/>
        <v>0.99680889262516414</v>
      </c>
      <c r="D291" s="601">
        <f t="shared" si="156"/>
        <v>0.98622556459580313</v>
      </c>
      <c r="E291" s="33">
        <f t="shared" si="157"/>
        <v>0.98622556459580313</v>
      </c>
      <c r="F291" s="24">
        <f t="shared" si="180"/>
        <v>0.99637987926881344</v>
      </c>
      <c r="G291" s="601">
        <f t="shared" si="158"/>
        <v>0.98217546750704832</v>
      </c>
      <c r="H291" s="33">
        <f t="shared" si="159"/>
        <v>0.98217546750704832</v>
      </c>
      <c r="I291" s="24">
        <f t="shared" si="181"/>
        <v>0.99646746275468612</v>
      </c>
      <c r="J291" s="601">
        <f t="shared" si="160"/>
        <v>0.98158971719507759</v>
      </c>
      <c r="K291" s="33">
        <f t="shared" si="161"/>
        <v>0.98158971719507759</v>
      </c>
      <c r="L291" s="24">
        <f t="shared" si="182"/>
        <v>0.99501589939973012</v>
      </c>
      <c r="M291" s="601">
        <f t="shared" si="162"/>
        <v>0.97264985576250418</v>
      </c>
      <c r="N291" s="33">
        <f t="shared" si="163"/>
        <v>0.97264985576250418</v>
      </c>
      <c r="O291" s="568" t="s">
        <v>988</v>
      </c>
      <c r="P291" s="7"/>
      <c r="Q291" s="24">
        <f t="shared" si="183"/>
        <v>0.99654874999152077</v>
      </c>
      <c r="R291" s="601">
        <f t="shared" si="164"/>
        <v>0.98455128166856321</v>
      </c>
      <c r="S291" s="33">
        <f t="shared" si="165"/>
        <v>0.98455128166856321</v>
      </c>
      <c r="T291" s="24">
        <f t="shared" si="184"/>
        <v>0.99651268664879655</v>
      </c>
      <c r="U291" s="601">
        <f t="shared" si="166"/>
        <v>0.98432951543940195</v>
      </c>
      <c r="V291" s="33">
        <f t="shared" si="167"/>
        <v>0.98432951543940195</v>
      </c>
      <c r="W291" s="24">
        <f t="shared" si="185"/>
        <v>0.99595086591246262</v>
      </c>
      <c r="X291" s="601">
        <f t="shared" si="168"/>
        <v>0.97777488796092704</v>
      </c>
      <c r="Y291" s="33">
        <f t="shared" si="169"/>
        <v>0.97777488796092704</v>
      </c>
      <c r="Z291" s="24">
        <f t="shared" si="186"/>
        <v>0.99679848813858085</v>
      </c>
      <c r="AA291" s="601">
        <f t="shared" si="170"/>
        <v>0.9760973922461742</v>
      </c>
      <c r="AB291" s="33">
        <f t="shared" si="171"/>
        <v>0.9760973922461742</v>
      </c>
      <c r="AC291" s="24">
        <f t="shared" si="187"/>
        <v>0.99582674594488207</v>
      </c>
      <c r="AD291" s="601">
        <f t="shared" si="172"/>
        <v>0.98317176365525227</v>
      </c>
      <c r="AE291" s="33">
        <f t="shared" si="173"/>
        <v>0.98317176365525227</v>
      </c>
      <c r="AG291" s="121">
        <f t="shared" si="174"/>
        <v>45047</v>
      </c>
      <c r="AH291" s="132" t="str">
        <f t="shared" si="175"/>
        <v>5</v>
      </c>
      <c r="AI291" s="132" t="str">
        <f t="shared" si="176"/>
        <v>23</v>
      </c>
      <c r="AJ291" s="1" t="s">
        <v>276</v>
      </c>
      <c r="AK291" s="141">
        <f t="shared" si="177"/>
        <v>0.97264985576250418</v>
      </c>
      <c r="AL291" s="141">
        <f t="shared" si="178"/>
        <v>0.98158971719507759</v>
      </c>
      <c r="AM291" s="141">
        <f t="shared" si="150"/>
        <v>0.99841625876203022</v>
      </c>
      <c r="AN291" s="141">
        <f t="shared" si="151"/>
        <v>0.99828309105703206</v>
      </c>
      <c r="AO291" s="141">
        <f t="shared" si="152"/>
        <v>0.99828309105703206</v>
      </c>
      <c r="AP291" s="141">
        <f t="shared" si="153"/>
        <v>0.99864028085665513</v>
      </c>
      <c r="AQ291" s="141">
        <f t="shared" si="154"/>
        <v>0.99631999260159254</v>
      </c>
      <c r="AR291" s="141">
        <f t="shared" si="155"/>
        <v>0.99750020179179166</v>
      </c>
    </row>
    <row r="292" spans="1:44" x14ac:dyDescent="0.2">
      <c r="A292" s="568" t="s">
        <v>989</v>
      </c>
      <c r="B292" s="7"/>
      <c r="C292" s="24">
        <f t="shared" si="179"/>
        <v>0.9980141592874151</v>
      </c>
      <c r="D292" s="601">
        <f t="shared" si="156"/>
        <v>0.98818794845553182</v>
      </c>
      <c r="E292" s="33">
        <f>MIN(SUMPRODUCT(D287:D297,$G$329:$G$339),$E$275)</f>
        <v>0.98818794845553182</v>
      </c>
      <c r="F292" s="24">
        <f t="shared" si="180"/>
        <v>0.99766479895670679</v>
      </c>
      <c r="G292" s="601">
        <f t="shared" si="158"/>
        <v>0.98447441318381057</v>
      </c>
      <c r="H292" s="33">
        <f t="shared" si="159"/>
        <v>0.98447441318381057</v>
      </c>
      <c r="I292" s="24">
        <f t="shared" si="181"/>
        <v>0.99736469226337565</v>
      </c>
      <c r="J292" s="601">
        <f t="shared" si="160"/>
        <v>0.98418334317359979</v>
      </c>
      <c r="K292" s="33">
        <f t="shared" si="161"/>
        <v>0.98418334317359979</v>
      </c>
      <c r="L292" s="24">
        <f t="shared" si="182"/>
        <v>0.9947768525361339</v>
      </c>
      <c r="M292" s="601">
        <f t="shared" si="162"/>
        <v>0.9777568238372073</v>
      </c>
      <c r="N292" s="33">
        <f t="shared" si="163"/>
        <v>0.9777568238372073</v>
      </c>
      <c r="O292" s="568" t="s">
        <v>989</v>
      </c>
      <c r="P292" s="7"/>
      <c r="Q292" s="24">
        <f t="shared" si="183"/>
        <v>0.99761433333454952</v>
      </c>
      <c r="R292" s="601">
        <f t="shared" si="164"/>
        <v>0.98690570972219016</v>
      </c>
      <c r="S292" s="33">
        <f t="shared" si="165"/>
        <v>0.98690570972219016</v>
      </c>
      <c r="T292" s="24">
        <f t="shared" si="184"/>
        <v>0.99752106002928087</v>
      </c>
      <c r="U292" s="601">
        <f t="shared" si="166"/>
        <v>0.98677567309757686</v>
      </c>
      <c r="V292" s="33">
        <f t="shared" si="167"/>
        <v>0.98677567309757686</v>
      </c>
      <c r="W292" s="24">
        <f t="shared" si="185"/>
        <v>0.99731537735296827</v>
      </c>
      <c r="X292" s="601">
        <f t="shared" si="168"/>
        <v>0.9804069105563129</v>
      </c>
      <c r="Y292" s="33">
        <f t="shared" si="169"/>
        <v>0.9804069105563129</v>
      </c>
      <c r="Z292" s="24">
        <f t="shared" si="186"/>
        <v>0.99582947841283787</v>
      </c>
      <c r="AA292" s="601">
        <f t="shared" si="170"/>
        <v>0.98018527609956596</v>
      </c>
      <c r="AB292" s="33">
        <f t="shared" si="171"/>
        <v>0.98018527609956596</v>
      </c>
      <c r="AC292" s="24">
        <f t="shared" si="187"/>
        <v>0.9976363170868523</v>
      </c>
      <c r="AD292" s="601">
        <f t="shared" si="172"/>
        <v>0.98550117594572217</v>
      </c>
      <c r="AE292" s="33">
        <f t="shared" si="173"/>
        <v>0.98550117594572217</v>
      </c>
      <c r="AG292" s="121">
        <f t="shared" si="174"/>
        <v>45017</v>
      </c>
      <c r="AH292" s="132" t="str">
        <f t="shared" si="175"/>
        <v>4</v>
      </c>
      <c r="AI292" s="132" t="str">
        <f t="shared" si="176"/>
        <v>23</v>
      </c>
      <c r="AJ292" s="1" t="s">
        <v>290</v>
      </c>
      <c r="AK292" s="141">
        <f t="shared" si="177"/>
        <v>0.9777568238372073</v>
      </c>
      <c r="AL292" s="141">
        <f t="shared" si="178"/>
        <v>0.98418334317359979</v>
      </c>
    </row>
    <row r="293" spans="1:44" x14ac:dyDescent="0.2">
      <c r="A293" s="568" t="s">
        <v>990</v>
      </c>
      <c r="B293" s="7"/>
      <c r="C293" s="24">
        <f t="shared" si="179"/>
        <v>0.9977003371375357</v>
      </c>
      <c r="D293" s="601">
        <f t="shared" si="156"/>
        <v>0.99046568560927273</v>
      </c>
      <c r="E293" s="33">
        <f t="shared" si="157"/>
        <v>0.99046568560927273</v>
      </c>
      <c r="F293" s="24">
        <f t="shared" si="180"/>
        <v>0.99700175399268876</v>
      </c>
      <c r="G293" s="601">
        <f t="shared" si="158"/>
        <v>0.98743498618863002</v>
      </c>
      <c r="H293" s="33">
        <f t="shared" si="159"/>
        <v>0.98743498618863002</v>
      </c>
      <c r="I293" s="24">
        <f t="shared" si="181"/>
        <v>0.99741603711298421</v>
      </c>
      <c r="J293" s="601">
        <f t="shared" si="160"/>
        <v>0.98673302468878843</v>
      </c>
      <c r="K293" s="33">
        <f t="shared" si="161"/>
        <v>0.98673302468878843</v>
      </c>
      <c r="L293" s="24">
        <f t="shared" si="182"/>
        <v>0.99540845834845149</v>
      </c>
      <c r="M293" s="601">
        <f t="shared" si="162"/>
        <v>0.9822669434208634</v>
      </c>
      <c r="N293" s="33">
        <f t="shared" si="163"/>
        <v>0.9822669434208634</v>
      </c>
      <c r="O293" s="568" t="s">
        <v>990</v>
      </c>
      <c r="P293" s="7"/>
      <c r="Q293" s="24">
        <f t="shared" si="183"/>
        <v>0.99687174008502311</v>
      </c>
      <c r="R293" s="601">
        <f t="shared" si="164"/>
        <v>0.99000269547014852</v>
      </c>
      <c r="S293" s="33">
        <f t="shared" si="165"/>
        <v>0.99000269547014852</v>
      </c>
      <c r="T293" s="24">
        <f t="shared" si="184"/>
        <v>0.9973745527639355</v>
      </c>
      <c r="U293" s="601">
        <f t="shared" si="166"/>
        <v>0.98937322028420827</v>
      </c>
      <c r="V293" s="33">
        <f t="shared" si="167"/>
        <v>0.98937322028420827</v>
      </c>
      <c r="W293" s="24">
        <f t="shared" si="185"/>
        <v>0.99630317084784148</v>
      </c>
      <c r="X293" s="601">
        <f t="shared" si="168"/>
        <v>0.9840447558969414</v>
      </c>
      <c r="Y293" s="33">
        <f t="shared" si="169"/>
        <v>0.9840447558969414</v>
      </c>
      <c r="Z293" s="24">
        <f t="shared" si="186"/>
        <v>0.9978870041262452</v>
      </c>
      <c r="AA293" s="601">
        <f t="shared" si="170"/>
        <v>0.98226078909387249</v>
      </c>
      <c r="AB293" s="33">
        <f t="shared" si="171"/>
        <v>0.98226078909387249</v>
      </c>
      <c r="AC293" s="24">
        <f t="shared" si="187"/>
        <v>0.99777363634031424</v>
      </c>
      <c r="AD293" s="601">
        <f t="shared" si="172"/>
        <v>0.98770015567899183</v>
      </c>
      <c r="AE293" s="33">
        <f t="shared" si="173"/>
        <v>0.98770015567899183</v>
      </c>
      <c r="AG293" s="121">
        <f t="shared" si="174"/>
        <v>44986</v>
      </c>
      <c r="AH293" s="132" t="str">
        <f t="shared" si="175"/>
        <v>3</v>
      </c>
      <c r="AI293" s="132" t="str">
        <f t="shared" si="176"/>
        <v>23</v>
      </c>
      <c r="AK293" s="141">
        <f t="shared" si="177"/>
        <v>0.9822669434208634</v>
      </c>
      <c r="AL293" s="141">
        <f t="shared" si="178"/>
        <v>0.98673302468878843</v>
      </c>
    </row>
    <row r="294" spans="1:44" x14ac:dyDescent="0.2">
      <c r="A294" s="568" t="s">
        <v>991</v>
      </c>
      <c r="B294" s="7"/>
      <c r="C294" s="24">
        <f t="shared" si="179"/>
        <v>0.9981494482303207</v>
      </c>
      <c r="D294" s="601">
        <f t="shared" si="156"/>
        <v>0.99230199181628465</v>
      </c>
      <c r="E294" s="33">
        <f t="shared" si="157"/>
        <v>0.99230199181628465</v>
      </c>
      <c r="F294" s="24">
        <f t="shared" si="180"/>
        <v>0.99781867871803465</v>
      </c>
      <c r="G294" s="601">
        <f t="shared" si="158"/>
        <v>0.98959360778579009</v>
      </c>
      <c r="H294" s="33">
        <f t="shared" si="159"/>
        <v>0.98959360778579009</v>
      </c>
      <c r="I294" s="24">
        <f t="shared" si="181"/>
        <v>0.99805048535484076</v>
      </c>
      <c r="J294" s="601">
        <f t="shared" si="160"/>
        <v>0.98866043268139026</v>
      </c>
      <c r="K294" s="33">
        <f t="shared" si="161"/>
        <v>0.98866043268139026</v>
      </c>
      <c r="L294" s="24">
        <f t="shared" si="182"/>
        <v>0.99687461481747841</v>
      </c>
      <c r="M294" s="601">
        <f t="shared" si="162"/>
        <v>0.98534653086808754</v>
      </c>
      <c r="N294" s="33">
        <f t="shared" si="163"/>
        <v>0.98534653086808754</v>
      </c>
      <c r="O294" s="568" t="s">
        <v>991</v>
      </c>
      <c r="P294" s="7"/>
      <c r="Q294" s="24">
        <f t="shared" si="183"/>
        <v>0.99785956060609204</v>
      </c>
      <c r="R294" s="601">
        <f t="shared" si="164"/>
        <v>0.99212628164711747</v>
      </c>
      <c r="S294" s="33">
        <f t="shared" si="165"/>
        <v>0.99212628164711747</v>
      </c>
      <c r="T294" s="24">
        <f t="shared" si="184"/>
        <v>0.99806694947324048</v>
      </c>
      <c r="U294" s="601">
        <f t="shared" si="166"/>
        <v>0.99128943284453952</v>
      </c>
      <c r="V294" s="33">
        <f t="shared" si="167"/>
        <v>0.99128943284453952</v>
      </c>
      <c r="W294" s="24">
        <f t="shared" si="185"/>
        <v>0.99748790920574859</v>
      </c>
      <c r="X294" s="601">
        <f t="shared" si="168"/>
        <v>0.98652299122150633</v>
      </c>
      <c r="Y294" s="33">
        <f t="shared" si="169"/>
        <v>0.98652299122150633</v>
      </c>
      <c r="Z294" s="24">
        <f t="shared" si="186"/>
        <v>0.99850679601822656</v>
      </c>
      <c r="AA294" s="601">
        <f t="shared" si="170"/>
        <v>0.98372969819620781</v>
      </c>
      <c r="AB294" s="33">
        <f t="shared" si="171"/>
        <v>0.98372969819620781</v>
      </c>
      <c r="AC294" s="24">
        <f t="shared" si="187"/>
        <v>0.99782888474615583</v>
      </c>
      <c r="AD294" s="601">
        <f t="shared" si="172"/>
        <v>0.98984923244656253</v>
      </c>
      <c r="AE294" s="33">
        <f t="shared" si="173"/>
        <v>0.98984923244656253</v>
      </c>
      <c r="AG294" s="121">
        <f t="shared" si="174"/>
        <v>44958</v>
      </c>
      <c r="AH294" s="132" t="str">
        <f t="shared" si="175"/>
        <v>2</v>
      </c>
      <c r="AI294" s="132" t="str">
        <f t="shared" si="176"/>
        <v>23</v>
      </c>
      <c r="AK294" s="141">
        <f t="shared" si="177"/>
        <v>0.98534653086808754</v>
      </c>
      <c r="AL294" s="141">
        <f t="shared" si="178"/>
        <v>0.98866043268139026</v>
      </c>
    </row>
    <row r="295" spans="1:44" x14ac:dyDescent="0.2">
      <c r="A295" s="568" t="s">
        <v>992</v>
      </c>
      <c r="B295" s="7"/>
      <c r="C295" s="24">
        <f t="shared" si="179"/>
        <v>0.99867838780681928</v>
      </c>
      <c r="D295" s="601">
        <f t="shared" si="156"/>
        <v>0.99361516573464881</v>
      </c>
      <c r="E295" s="33">
        <f t="shared" si="157"/>
        <v>0.99361516573464881</v>
      </c>
      <c r="F295" s="24">
        <f t="shared" si="180"/>
        <v>0.99865614973316041</v>
      </c>
      <c r="G295" s="601">
        <f t="shared" si="158"/>
        <v>0.99092526296484351</v>
      </c>
      <c r="H295" s="33">
        <f t="shared" si="159"/>
        <v>0.99092526296484351</v>
      </c>
      <c r="I295" s="24">
        <f t="shared" si="181"/>
        <v>0.99834924974342432</v>
      </c>
      <c r="J295" s="601">
        <f t="shared" si="160"/>
        <v>0.99029516267526208</v>
      </c>
      <c r="K295" s="33">
        <f t="shared" si="161"/>
        <v>0.99029516267526208</v>
      </c>
      <c r="L295" s="24">
        <f t="shared" si="182"/>
        <v>0.99783522700615535</v>
      </c>
      <c r="M295" s="601">
        <f t="shared" si="162"/>
        <v>0.98748421001778208</v>
      </c>
      <c r="N295" s="33">
        <f t="shared" si="163"/>
        <v>0.98748421001778208</v>
      </c>
      <c r="O295" s="568" t="s">
        <v>992</v>
      </c>
      <c r="P295" s="7"/>
      <c r="Q295" s="24">
        <f t="shared" si="183"/>
        <v>0.99865782490076349</v>
      </c>
      <c r="R295" s="601">
        <f t="shared" si="164"/>
        <v>0.99345967848968186</v>
      </c>
      <c r="S295" s="33">
        <f t="shared" si="165"/>
        <v>0.99345967848968186</v>
      </c>
      <c r="T295" s="24">
        <f t="shared" si="184"/>
        <v>0.99837884965991497</v>
      </c>
      <c r="U295" s="601">
        <f t="shared" si="166"/>
        <v>0.9928990715119913</v>
      </c>
      <c r="V295" s="33">
        <f t="shared" si="167"/>
        <v>0.9928990715119913</v>
      </c>
      <c r="W295" s="24">
        <f t="shared" si="185"/>
        <v>0.99856402625961971</v>
      </c>
      <c r="X295" s="601">
        <f t="shared" si="168"/>
        <v>0.98794164948719798</v>
      </c>
      <c r="Y295" s="33">
        <f t="shared" si="169"/>
        <v>0.98794164948719798</v>
      </c>
      <c r="Z295" s="24">
        <f t="shared" si="186"/>
        <v>0.99810510855631485</v>
      </c>
      <c r="AA295" s="601">
        <f t="shared" si="170"/>
        <v>0.98559729808326502</v>
      </c>
      <c r="AB295" s="33">
        <f t="shared" si="171"/>
        <v>0.98559729808326502</v>
      </c>
      <c r="AC295" s="24">
        <f t="shared" si="187"/>
        <v>0.99777288936331121</v>
      </c>
      <c r="AD295" s="601">
        <f t="shared" si="172"/>
        <v>0.99205865683341543</v>
      </c>
      <c r="AE295" s="33">
        <f t="shared" si="173"/>
        <v>0.99205865683341543</v>
      </c>
      <c r="AG295" s="121">
        <f t="shared" si="174"/>
        <v>44927</v>
      </c>
      <c r="AH295" s="132" t="str">
        <f t="shared" si="175"/>
        <v>1</v>
      </c>
      <c r="AI295" s="132" t="str">
        <f t="shared" si="176"/>
        <v>23</v>
      </c>
      <c r="AK295" s="141">
        <f t="shared" si="177"/>
        <v>0.98748421001778208</v>
      </c>
      <c r="AL295" s="141">
        <f t="shared" si="178"/>
        <v>0.99029516267526208</v>
      </c>
    </row>
    <row r="296" spans="1:44" x14ac:dyDescent="0.2">
      <c r="A296" s="568" t="s">
        <v>993</v>
      </c>
      <c r="B296" s="7"/>
      <c r="C296" s="24">
        <f t="shared" si="179"/>
        <v>0.99812544355152266</v>
      </c>
      <c r="D296" s="601">
        <f t="shared" si="156"/>
        <v>0.9954812515340502</v>
      </c>
      <c r="E296" s="33">
        <f t="shared" si="157"/>
        <v>0.9954812515340502</v>
      </c>
      <c r="F296" s="24">
        <f t="shared" si="180"/>
        <v>0.99844948022826363</v>
      </c>
      <c r="G296" s="601">
        <f t="shared" si="158"/>
        <v>0.99246409817179737</v>
      </c>
      <c r="H296" s="33">
        <f t="shared" si="159"/>
        <v>0.99246409817179737</v>
      </c>
      <c r="I296" s="24">
        <f t="shared" si="181"/>
        <v>0.99866828241112682</v>
      </c>
      <c r="J296" s="601">
        <f t="shared" si="160"/>
        <v>0.99161571476401633</v>
      </c>
      <c r="K296" s="33">
        <f t="shared" si="161"/>
        <v>0.99161571476401633</v>
      </c>
      <c r="L296" s="24">
        <f t="shared" si="182"/>
        <v>0.99804977402570771</v>
      </c>
      <c r="M296" s="601">
        <f t="shared" si="162"/>
        <v>0.98941379049132128</v>
      </c>
      <c r="N296" s="33">
        <f t="shared" si="163"/>
        <v>0.98941379049132128</v>
      </c>
      <c r="O296" s="568" t="s">
        <v>993</v>
      </c>
      <c r="P296" s="7"/>
      <c r="Q296" s="24">
        <f t="shared" si="183"/>
        <v>0.998394433214008</v>
      </c>
      <c r="R296" s="601">
        <f t="shared" si="164"/>
        <v>0.99505730945590287</v>
      </c>
      <c r="S296" s="33">
        <f t="shared" si="165"/>
        <v>0.99505730945590287</v>
      </c>
      <c r="T296" s="24">
        <f t="shared" si="184"/>
        <v>0.99865994791370194</v>
      </c>
      <c r="U296" s="601">
        <f t="shared" si="166"/>
        <v>0.99423139336493305</v>
      </c>
      <c r="V296" s="33">
        <f t="shared" si="167"/>
        <v>0.99423139336493305</v>
      </c>
      <c r="W296" s="24">
        <f t="shared" si="185"/>
        <v>0.99877351690500449</v>
      </c>
      <c r="X296" s="601">
        <f t="shared" si="168"/>
        <v>0.98915483116595615</v>
      </c>
      <c r="Y296" s="33">
        <f t="shared" si="169"/>
        <v>0.98915483116595615</v>
      </c>
      <c r="Z296" s="24">
        <f t="shared" si="186"/>
        <v>0.99819869366367808</v>
      </c>
      <c r="AA296" s="601">
        <f t="shared" si="170"/>
        <v>0.98737586448429193</v>
      </c>
      <c r="AB296" s="33">
        <f t="shared" si="171"/>
        <v>0.98737586448429193</v>
      </c>
      <c r="AC296" s="24">
        <f t="shared" si="187"/>
        <v>0.9988768517710751</v>
      </c>
      <c r="AD296" s="601">
        <f t="shared" si="172"/>
        <v>0.99317413860820725</v>
      </c>
      <c r="AE296" s="33">
        <f t="shared" si="173"/>
        <v>0.99317413860820725</v>
      </c>
      <c r="AG296" s="121">
        <f t="shared" si="174"/>
        <v>44896</v>
      </c>
      <c r="AH296" s="132" t="str">
        <f t="shared" si="175"/>
        <v>12</v>
      </c>
      <c r="AI296" s="132" t="str">
        <f t="shared" si="176"/>
        <v>22</v>
      </c>
      <c r="AK296" s="141">
        <f t="shared" si="177"/>
        <v>0.98941379049132128</v>
      </c>
      <c r="AL296" s="141">
        <f t="shared" si="178"/>
        <v>0.99161571476401633</v>
      </c>
    </row>
    <row r="297" spans="1:44" x14ac:dyDescent="0.2">
      <c r="A297" s="568" t="s">
        <v>994</v>
      </c>
      <c r="B297" s="7"/>
      <c r="C297" s="24">
        <f t="shared" si="179"/>
        <v>0.99964797790057536</v>
      </c>
      <c r="D297" s="601">
        <f t="shared" si="156"/>
        <v>0.99583180633719082</v>
      </c>
      <c r="E297" s="33">
        <f t="shared" si="157"/>
        <v>0.99583180633719082</v>
      </c>
      <c r="F297" s="24">
        <f t="shared" si="180"/>
        <v>0.99943827754361236</v>
      </c>
      <c r="G297" s="601">
        <f t="shared" si="158"/>
        <v>0.99302190087320263</v>
      </c>
      <c r="H297" s="33">
        <f t="shared" si="159"/>
        <v>0.99302190087320263</v>
      </c>
      <c r="I297" s="24">
        <f t="shared" ref="I297:I316" si="188">IF(+Z251=0,1,Z251)</f>
        <v>0.99880710638144399</v>
      </c>
      <c r="J297" s="601">
        <f t="shared" si="160"/>
        <v>0.99280001957186592</v>
      </c>
      <c r="K297" s="33">
        <f t="shared" si="161"/>
        <v>0.99280001957186592</v>
      </c>
      <c r="L297" s="24">
        <f t="shared" si="182"/>
        <v>0.99823897914665005</v>
      </c>
      <c r="M297" s="601">
        <f t="shared" si="162"/>
        <v>0.99115924258650667</v>
      </c>
      <c r="N297" s="33">
        <f t="shared" si="163"/>
        <v>0.99115924258650667</v>
      </c>
      <c r="O297" s="568" t="s">
        <v>994</v>
      </c>
      <c r="P297" s="7"/>
      <c r="Q297" s="24">
        <f t="shared" ref="Q297:Q316" si="189">IF(+AB251=0,1,AB251)</f>
        <v>0.99947960614805198</v>
      </c>
      <c r="R297" s="601">
        <f t="shared" si="164"/>
        <v>0.99557540077361617</v>
      </c>
      <c r="S297" s="33">
        <f t="shared" si="165"/>
        <v>0.99557540077361617</v>
      </c>
      <c r="T297" s="24">
        <f t="shared" ref="T297:T316" si="190">IF(+AC251=0,1,AC251)</f>
        <v>0.9992209216941994</v>
      </c>
      <c r="U297" s="601">
        <f t="shared" si="166"/>
        <v>0.99500658140663578</v>
      </c>
      <c r="V297" s="33">
        <f t="shared" si="167"/>
        <v>0.99500658140663578</v>
      </c>
      <c r="W297" s="24">
        <f t="shared" ref="W297:W316" si="191">IF(+AD251=0,1,AD251)</f>
        <v>0.99922855307477931</v>
      </c>
      <c r="X297" s="601">
        <f t="shared" si="168"/>
        <v>0.98991850074957843</v>
      </c>
      <c r="Y297" s="33">
        <f t="shared" si="169"/>
        <v>0.98991850074957843</v>
      </c>
      <c r="Z297" s="24">
        <f t="shared" ref="Z297:Z316" si="192">IF(+AE251=0,1,AE251)</f>
        <v>0.99680291165729384</v>
      </c>
      <c r="AA297" s="601">
        <f t="shared" si="170"/>
        <v>0.99054271705795038</v>
      </c>
      <c r="AB297" s="33">
        <f t="shared" si="171"/>
        <v>0.99054271705795038</v>
      </c>
      <c r="AC297" s="24">
        <f t="shared" ref="AC297:AC316" si="193">IF(+AF251=0,1,AF251)</f>
        <v>0.99914365914054581</v>
      </c>
      <c r="AD297" s="601">
        <f t="shared" si="172"/>
        <v>0.99402536314199952</v>
      </c>
      <c r="AE297" s="33">
        <f t="shared" si="173"/>
        <v>0.99402536314199952</v>
      </c>
      <c r="AG297" s="121">
        <f t="shared" si="174"/>
        <v>44866</v>
      </c>
      <c r="AH297" s="132" t="str">
        <f t="shared" si="175"/>
        <v>11</v>
      </c>
      <c r="AI297" s="132" t="str">
        <f t="shared" si="176"/>
        <v>22</v>
      </c>
      <c r="AK297" s="141">
        <f t="shared" si="177"/>
        <v>0.99115924258650667</v>
      </c>
      <c r="AL297" s="141">
        <f t="shared" si="178"/>
        <v>0.99280001957186592</v>
      </c>
    </row>
    <row r="298" spans="1:44" x14ac:dyDescent="0.2">
      <c r="A298" s="568" t="s">
        <v>995</v>
      </c>
      <c r="B298" s="7"/>
      <c r="C298" s="24">
        <f t="shared" si="179"/>
        <v>0.99946217687802574</v>
      </c>
      <c r="D298" s="601">
        <f t="shared" si="156"/>
        <v>0.99636767591128361</v>
      </c>
      <c r="E298" s="33">
        <f t="shared" si="157"/>
        <v>0.99636767591128361</v>
      </c>
      <c r="F298" s="24">
        <f t="shared" si="180"/>
        <v>0.99903310113967458</v>
      </c>
      <c r="G298" s="601">
        <f t="shared" si="158"/>
        <v>0.99398298188557066</v>
      </c>
      <c r="H298" s="33">
        <f t="shared" si="159"/>
        <v>0.99398298188557066</v>
      </c>
      <c r="I298" s="24">
        <f t="shared" si="188"/>
        <v>0.99910460609162133</v>
      </c>
      <c r="J298" s="601">
        <f t="shared" si="160"/>
        <v>0.99368976333277237</v>
      </c>
      <c r="K298" s="33">
        <f t="shared" si="161"/>
        <v>0.99368976333277237</v>
      </c>
      <c r="L298" s="24">
        <f t="shared" ref="L298:L316" si="194">IF(+AA252=0,1,AA252)</f>
        <v>0.99858649492434448</v>
      </c>
      <c r="M298" s="601">
        <f t="shared" si="162"/>
        <v>0.992562234342654</v>
      </c>
      <c r="N298" s="33">
        <f t="shared" si="163"/>
        <v>0.992562234342654</v>
      </c>
      <c r="O298" s="568" t="s">
        <v>995</v>
      </c>
      <c r="P298" s="7"/>
      <c r="Q298" s="24">
        <f t="shared" si="189"/>
        <v>0.9991102308844565</v>
      </c>
      <c r="R298" s="601">
        <f t="shared" si="164"/>
        <v>0.99646202190551969</v>
      </c>
      <c r="S298" s="33">
        <f t="shared" si="165"/>
        <v>0.99646202190551969</v>
      </c>
      <c r="T298" s="24">
        <f t="shared" si="190"/>
        <v>0.99914732320170419</v>
      </c>
      <c r="U298" s="601">
        <f t="shared" si="166"/>
        <v>0.99585572447734771</v>
      </c>
      <c r="V298" s="33">
        <f t="shared" si="167"/>
        <v>0.99585572447734771</v>
      </c>
      <c r="W298" s="24">
        <f t="shared" si="191"/>
        <v>0.99852685097237315</v>
      </c>
      <c r="X298" s="601">
        <f t="shared" si="168"/>
        <v>0.99137894968531703</v>
      </c>
      <c r="Y298" s="33">
        <f t="shared" si="169"/>
        <v>0.99137894968531703</v>
      </c>
      <c r="Z298" s="24">
        <f t="shared" si="192"/>
        <v>0.999041568602417</v>
      </c>
      <c r="AA298" s="601">
        <f t="shared" si="170"/>
        <v>0.99149299507491384</v>
      </c>
      <c r="AB298" s="33">
        <f t="shared" si="171"/>
        <v>0.99149299507491384</v>
      </c>
      <c r="AC298" s="24">
        <f t="shared" si="193"/>
        <v>0.99924377622076621</v>
      </c>
      <c r="AD298" s="601">
        <f t="shared" si="172"/>
        <v>0.99477763764663796</v>
      </c>
      <c r="AE298" s="33">
        <f t="shared" si="173"/>
        <v>0.99477763764663796</v>
      </c>
      <c r="AG298" s="121">
        <f t="shared" si="174"/>
        <v>44835</v>
      </c>
      <c r="AH298" s="132" t="str">
        <f t="shared" si="175"/>
        <v>10</v>
      </c>
      <c r="AI298" s="132" t="str">
        <f t="shared" si="176"/>
        <v>22</v>
      </c>
      <c r="AK298" s="141">
        <f t="shared" si="177"/>
        <v>0.992562234342654</v>
      </c>
      <c r="AL298" s="141">
        <f t="shared" si="178"/>
        <v>0.99368976333277237</v>
      </c>
    </row>
    <row r="299" spans="1:44" x14ac:dyDescent="0.2">
      <c r="A299" s="568" t="s">
        <v>996</v>
      </c>
      <c r="B299" s="7"/>
      <c r="C299" s="24">
        <f t="shared" si="179"/>
        <v>0.99985015369117236</v>
      </c>
      <c r="D299" s="601">
        <f t="shared" si="156"/>
        <v>0.99651700030546342</v>
      </c>
      <c r="E299" s="33">
        <f t="shared" si="157"/>
        <v>0.99651700030546342</v>
      </c>
      <c r="F299" s="24">
        <f t="shared" ref="F299:F316" si="195">IF(+Y253=0,1,Y253)</f>
        <v>0.99912494227000748</v>
      </c>
      <c r="G299" s="601">
        <f t="shared" si="158"/>
        <v>0.99485353616260019</v>
      </c>
      <c r="H299" s="33">
        <f t="shared" si="159"/>
        <v>0.99485353616260019</v>
      </c>
      <c r="I299" s="24">
        <f t="shared" si="188"/>
        <v>0.99908288228329012</v>
      </c>
      <c r="J299" s="601">
        <f t="shared" si="160"/>
        <v>0.99460193038420153</v>
      </c>
      <c r="K299" s="33">
        <f t="shared" si="161"/>
        <v>0.99460193038420153</v>
      </c>
      <c r="L299" s="24">
        <f t="shared" si="194"/>
        <v>0.99817051205629048</v>
      </c>
      <c r="M299" s="601">
        <f t="shared" si="162"/>
        <v>0.99438144320444499</v>
      </c>
      <c r="N299" s="33">
        <f t="shared" si="163"/>
        <v>0.99438144320444499</v>
      </c>
      <c r="O299" s="568" t="s">
        <v>996</v>
      </c>
      <c r="P299" s="7"/>
      <c r="Q299" s="24">
        <f t="shared" si="189"/>
        <v>0.99922972497697737</v>
      </c>
      <c r="R299" s="601">
        <f t="shared" si="164"/>
        <v>0.99723016339258574</v>
      </c>
      <c r="S299" s="33">
        <f t="shared" si="165"/>
        <v>0.99723016339258574</v>
      </c>
      <c r="T299" s="24">
        <f t="shared" si="190"/>
        <v>0.99911638336873465</v>
      </c>
      <c r="U299" s="601">
        <f t="shared" si="166"/>
        <v>0.99673645738808436</v>
      </c>
      <c r="V299" s="33">
        <f t="shared" si="167"/>
        <v>0.99673645738808436</v>
      </c>
      <c r="W299" s="24">
        <f t="shared" si="191"/>
        <v>0.99837252000666687</v>
      </c>
      <c r="X299" s="601">
        <f t="shared" si="168"/>
        <v>0.99299502922886629</v>
      </c>
      <c r="Y299" s="33">
        <f t="shared" si="169"/>
        <v>0.99299502922886629</v>
      </c>
      <c r="Z299" s="24">
        <f t="shared" si="192"/>
        <v>0.99882095396897663</v>
      </c>
      <c r="AA299" s="601">
        <f t="shared" si="170"/>
        <v>0.99266339090610389</v>
      </c>
      <c r="AB299" s="33">
        <f t="shared" si="171"/>
        <v>0.99266339090610389</v>
      </c>
      <c r="AC299" s="24">
        <f t="shared" si="193"/>
        <v>0.99918041644221078</v>
      </c>
      <c r="AD299" s="601">
        <f t="shared" si="172"/>
        <v>0.99559360979946965</v>
      </c>
      <c r="AE299" s="33">
        <f t="shared" si="173"/>
        <v>0.99559360979946965</v>
      </c>
      <c r="AG299" s="121">
        <f t="shared" si="174"/>
        <v>44805</v>
      </c>
      <c r="AH299" s="132" t="str">
        <f t="shared" si="175"/>
        <v>9</v>
      </c>
      <c r="AI299" s="132" t="str">
        <f t="shared" si="176"/>
        <v>22</v>
      </c>
      <c r="AK299" s="141">
        <f t="shared" si="177"/>
        <v>0.99438144320444499</v>
      </c>
      <c r="AL299" s="141">
        <f t="shared" si="178"/>
        <v>0.99460193038420153</v>
      </c>
    </row>
    <row r="300" spans="1:44" x14ac:dyDescent="0.2">
      <c r="A300" s="568" t="s">
        <v>997</v>
      </c>
      <c r="B300" s="7"/>
      <c r="C300" s="24">
        <f t="shared" si="179"/>
        <v>0.9997918501294969</v>
      </c>
      <c r="D300" s="601">
        <f t="shared" si="156"/>
        <v>0.99672446837448281</v>
      </c>
      <c r="E300" s="33">
        <f t="shared" si="157"/>
        <v>0.99672446837448281</v>
      </c>
      <c r="F300" s="24">
        <f t="shared" si="195"/>
        <v>0.99959630883741357</v>
      </c>
      <c r="G300" s="601">
        <f t="shared" si="158"/>
        <v>0.99525531193654615</v>
      </c>
      <c r="H300" s="33">
        <f t="shared" si="159"/>
        <v>0.99525531193654615</v>
      </c>
      <c r="I300" s="24">
        <f t="shared" si="188"/>
        <v>0.99929204892038725</v>
      </c>
      <c r="J300" s="601">
        <f t="shared" si="160"/>
        <v>0.99530655873700502</v>
      </c>
      <c r="K300" s="33">
        <f t="shared" si="161"/>
        <v>0.99530655873700502</v>
      </c>
      <c r="L300" s="24">
        <f t="shared" si="194"/>
        <v>0.99916806596936969</v>
      </c>
      <c r="M300" s="601">
        <f t="shared" si="162"/>
        <v>0.99520939176505718</v>
      </c>
      <c r="N300" s="33">
        <f t="shared" si="163"/>
        <v>0.99520939176505718</v>
      </c>
      <c r="O300" s="568" t="s">
        <v>997</v>
      </c>
      <c r="P300" s="7"/>
      <c r="Q300" s="24">
        <f t="shared" si="189"/>
        <v>0.99969484410472043</v>
      </c>
      <c r="R300" s="601">
        <f t="shared" si="164"/>
        <v>0.99753456694643461</v>
      </c>
      <c r="S300" s="33">
        <f t="shared" si="165"/>
        <v>0.99753456694643461</v>
      </c>
      <c r="T300" s="24">
        <f t="shared" si="190"/>
        <v>0.9994058468578173</v>
      </c>
      <c r="U300" s="601">
        <f t="shared" si="166"/>
        <v>0.99732902356122322</v>
      </c>
      <c r="V300" s="33">
        <f t="shared" si="167"/>
        <v>0.99732902356122322</v>
      </c>
      <c r="W300" s="24">
        <f t="shared" si="191"/>
        <v>0.99940076328218586</v>
      </c>
      <c r="X300" s="601">
        <f t="shared" si="168"/>
        <v>0.99359042509405116</v>
      </c>
      <c r="Y300" s="33">
        <f t="shared" si="169"/>
        <v>0.99359042509405116</v>
      </c>
      <c r="Z300" s="24">
        <f t="shared" si="192"/>
        <v>0.99878896787007287</v>
      </c>
      <c r="AA300" s="601">
        <f t="shared" si="170"/>
        <v>0.99386699577085658</v>
      </c>
      <c r="AB300" s="33">
        <f t="shared" si="171"/>
        <v>0.99386699577085658</v>
      </c>
      <c r="AC300" s="24">
        <f t="shared" si="193"/>
        <v>0.99901988742391101</v>
      </c>
      <c r="AD300" s="601">
        <f t="shared" si="172"/>
        <v>0.99657036094318763</v>
      </c>
      <c r="AE300" s="33">
        <f t="shared" si="173"/>
        <v>0.99657036094318763</v>
      </c>
      <c r="AG300" s="121">
        <f t="shared" si="174"/>
        <v>44774</v>
      </c>
      <c r="AH300" s="132" t="str">
        <f t="shared" si="175"/>
        <v>8</v>
      </c>
      <c r="AI300" s="132" t="str">
        <f t="shared" si="176"/>
        <v>22</v>
      </c>
      <c r="AK300" s="141">
        <f t="shared" si="177"/>
        <v>0.99520939176505718</v>
      </c>
      <c r="AL300" s="141">
        <f t="shared" si="178"/>
        <v>0.99530655873700502</v>
      </c>
    </row>
    <row r="301" spans="1:44" x14ac:dyDescent="0.2">
      <c r="A301" s="568" t="s">
        <v>998</v>
      </c>
      <c r="B301" s="7"/>
      <c r="C301" s="24">
        <f t="shared" si="179"/>
        <v>0.99956775375858498</v>
      </c>
      <c r="D301" s="601">
        <f t="shared" si="156"/>
        <v>0.99715548508501717</v>
      </c>
      <c r="E301" s="33">
        <f t="shared" si="157"/>
        <v>0.99715548508501717</v>
      </c>
      <c r="F301" s="24">
        <f t="shared" si="195"/>
        <v>0.99943188042101638</v>
      </c>
      <c r="G301" s="601">
        <f t="shared" si="158"/>
        <v>0.9958210573764058</v>
      </c>
      <c r="H301" s="33">
        <f t="shared" si="159"/>
        <v>0.9958210573764058</v>
      </c>
      <c r="I301" s="24">
        <f t="shared" si="188"/>
        <v>0.99934973484307432</v>
      </c>
      <c r="J301" s="601">
        <f t="shared" si="160"/>
        <v>0.99595419304663724</v>
      </c>
      <c r="K301" s="33">
        <f t="shared" si="161"/>
        <v>0.99595419304663724</v>
      </c>
      <c r="L301" s="24">
        <f t="shared" si="194"/>
        <v>0.99926830958652757</v>
      </c>
      <c r="M301" s="601">
        <f t="shared" si="162"/>
        <v>0.9959381101326531</v>
      </c>
      <c r="N301" s="33">
        <f t="shared" si="163"/>
        <v>0.9959381101326531</v>
      </c>
      <c r="O301" s="568" t="s">
        <v>998</v>
      </c>
      <c r="P301" s="7"/>
      <c r="Q301" s="24">
        <f t="shared" si="189"/>
        <v>0.99964690381289811</v>
      </c>
      <c r="R301" s="601">
        <f t="shared" si="164"/>
        <v>0.99788691701199039</v>
      </c>
      <c r="S301" s="33">
        <f t="shared" si="165"/>
        <v>0.99788691701199039</v>
      </c>
      <c r="T301" s="24">
        <f t="shared" si="190"/>
        <v>0.99955562257727637</v>
      </c>
      <c r="U301" s="601">
        <f t="shared" si="166"/>
        <v>0.99777241109372983</v>
      </c>
      <c r="V301" s="33">
        <f t="shared" si="167"/>
        <v>0.99777241109372983</v>
      </c>
      <c r="W301" s="24">
        <f t="shared" si="191"/>
        <v>0.99920841423740214</v>
      </c>
      <c r="X301" s="601">
        <f t="shared" si="168"/>
        <v>0.99437756021336288</v>
      </c>
      <c r="Y301" s="33">
        <f t="shared" si="169"/>
        <v>0.99437756021336288</v>
      </c>
      <c r="Z301" s="24">
        <f t="shared" si="192"/>
        <v>0.99865567227396135</v>
      </c>
      <c r="AA301" s="601">
        <f t="shared" si="170"/>
        <v>0.99520487728047358</v>
      </c>
      <c r="AB301" s="33">
        <f t="shared" si="171"/>
        <v>0.99520487728047358</v>
      </c>
      <c r="AC301" s="24">
        <f t="shared" si="193"/>
        <v>0.99969199743611481</v>
      </c>
      <c r="AD301" s="601">
        <f t="shared" si="172"/>
        <v>0.99687740173880235</v>
      </c>
      <c r="AE301" s="33">
        <f t="shared" si="173"/>
        <v>0.99687740173880235</v>
      </c>
      <c r="AG301" s="121">
        <f t="shared" si="174"/>
        <v>44743</v>
      </c>
      <c r="AH301" s="132" t="str">
        <f t="shared" si="175"/>
        <v>7</v>
      </c>
      <c r="AI301" s="132" t="str">
        <f t="shared" si="176"/>
        <v>22</v>
      </c>
      <c r="AK301" s="141">
        <f t="shared" si="177"/>
        <v>0.9959381101326531</v>
      </c>
      <c r="AL301" s="141">
        <f t="shared" si="178"/>
        <v>0.99595419304663724</v>
      </c>
    </row>
    <row r="302" spans="1:44" x14ac:dyDescent="0.2">
      <c r="A302" s="568" t="s">
        <v>999</v>
      </c>
      <c r="B302" s="7"/>
      <c r="C302" s="24">
        <f t="shared" si="179"/>
        <v>0.99913523773557744</v>
      </c>
      <c r="D302" s="601">
        <f t="shared" si="156"/>
        <v>0.998018533852287</v>
      </c>
      <c r="E302" s="33">
        <f t="shared" si="157"/>
        <v>0.998018533852287</v>
      </c>
      <c r="F302" s="24">
        <f t="shared" si="195"/>
        <v>0.99900128080927098</v>
      </c>
      <c r="G302" s="601">
        <f t="shared" si="158"/>
        <v>0.99681659724170835</v>
      </c>
      <c r="H302" s="33">
        <f t="shared" si="159"/>
        <v>0.99681659724170835</v>
      </c>
      <c r="I302" s="24">
        <f t="shared" si="188"/>
        <v>0.99926769604614574</v>
      </c>
      <c r="J302" s="601">
        <f t="shared" si="160"/>
        <v>0.99668406873091242</v>
      </c>
      <c r="K302" s="33">
        <f t="shared" si="161"/>
        <v>0.99668406873091242</v>
      </c>
      <c r="L302" s="24">
        <f t="shared" si="194"/>
        <v>0.99926461020954871</v>
      </c>
      <c r="M302" s="601">
        <f t="shared" si="162"/>
        <v>0.99667105184862093</v>
      </c>
      <c r="N302" s="33">
        <f t="shared" si="163"/>
        <v>0.99667105184862093</v>
      </c>
      <c r="O302" s="568" t="s">
        <v>999</v>
      </c>
      <c r="P302" s="7"/>
      <c r="Q302" s="24">
        <f t="shared" si="189"/>
        <v>0.99957266224787422</v>
      </c>
      <c r="R302" s="601">
        <f t="shared" si="164"/>
        <v>0.99831353407355816</v>
      </c>
      <c r="S302" s="33">
        <f t="shared" si="165"/>
        <v>0.99831353407355816</v>
      </c>
      <c r="T302" s="24">
        <f t="shared" si="190"/>
        <v>0.99951322386617125</v>
      </c>
      <c r="U302" s="601">
        <f t="shared" si="166"/>
        <v>0.9982583394287593</v>
      </c>
      <c r="V302" s="33">
        <f t="shared" si="167"/>
        <v>0.9982583394287593</v>
      </c>
      <c r="W302" s="24">
        <f t="shared" si="191"/>
        <v>0.99866694276386314</v>
      </c>
      <c r="X302" s="601">
        <f t="shared" si="168"/>
        <v>0.99570489182446631</v>
      </c>
      <c r="Y302" s="33">
        <f t="shared" si="169"/>
        <v>0.99570489182446631</v>
      </c>
      <c r="Z302" s="24">
        <f t="shared" si="192"/>
        <v>0.99935744456309339</v>
      </c>
      <c r="AA302" s="601">
        <f t="shared" si="170"/>
        <v>0.99584476274709166</v>
      </c>
      <c r="AB302" s="33">
        <f t="shared" si="171"/>
        <v>0.99584476274709166</v>
      </c>
      <c r="AC302" s="24">
        <f t="shared" si="193"/>
        <v>0.99957446090587621</v>
      </c>
      <c r="AD302" s="601">
        <f t="shared" si="172"/>
        <v>0.99730179264021046</v>
      </c>
      <c r="AE302" s="33">
        <f t="shared" si="173"/>
        <v>0.99730179264021046</v>
      </c>
      <c r="AG302" s="121">
        <f t="shared" si="174"/>
        <v>44713</v>
      </c>
      <c r="AH302" s="132" t="str">
        <f t="shared" si="175"/>
        <v>6</v>
      </c>
      <c r="AI302" s="132" t="str">
        <f t="shared" si="176"/>
        <v>22</v>
      </c>
      <c r="AK302" s="141">
        <f t="shared" si="177"/>
        <v>0.99667105184862093</v>
      </c>
      <c r="AL302" s="141">
        <f t="shared" si="178"/>
        <v>0.99668406873091242</v>
      </c>
    </row>
    <row r="303" spans="1:44" x14ac:dyDescent="0.2">
      <c r="A303" s="568" t="s">
        <v>1000</v>
      </c>
      <c r="B303" s="7"/>
      <c r="C303" s="24">
        <f t="shared" si="179"/>
        <v>0.99973498779342751</v>
      </c>
      <c r="D303" s="601">
        <f t="shared" si="156"/>
        <v>0.99828309105703206</v>
      </c>
      <c r="E303" s="33">
        <f t="shared" si="157"/>
        <v>0.99828309105703206</v>
      </c>
      <c r="F303" s="24">
        <f t="shared" si="195"/>
        <v>0.9983978010110679</v>
      </c>
      <c r="G303" s="601">
        <f t="shared" si="158"/>
        <v>0.99841625876203022</v>
      </c>
      <c r="H303" s="33">
        <f t="shared" si="159"/>
        <v>0.99841625876203022</v>
      </c>
      <c r="I303" s="24">
        <f t="shared" si="188"/>
        <v>0.99903401891149635</v>
      </c>
      <c r="J303" s="601">
        <f t="shared" si="160"/>
        <v>0.99764777761707824</v>
      </c>
      <c r="K303" s="33">
        <f t="shared" si="161"/>
        <v>0.99764777761707824</v>
      </c>
      <c r="L303" s="24">
        <f t="shared" si="194"/>
        <v>0.99904847247251427</v>
      </c>
      <c r="M303" s="601">
        <f t="shared" si="162"/>
        <v>0.99762031504036086</v>
      </c>
      <c r="N303" s="33">
        <f t="shared" si="163"/>
        <v>0.99762031504036086</v>
      </c>
      <c r="O303" s="568" t="s">
        <v>1000</v>
      </c>
      <c r="P303" s="7"/>
      <c r="Q303" s="24">
        <f t="shared" si="189"/>
        <v>0.9995480144635791</v>
      </c>
      <c r="R303" s="601">
        <f t="shared" si="164"/>
        <v>0.99876496139039062</v>
      </c>
      <c r="S303" s="33">
        <f t="shared" si="165"/>
        <v>0.99876496139039062</v>
      </c>
      <c r="T303" s="24">
        <f t="shared" si="190"/>
        <v>0.99962134787258639</v>
      </c>
      <c r="U303" s="601">
        <f t="shared" si="166"/>
        <v>0.99863647525462729</v>
      </c>
      <c r="V303" s="33">
        <f t="shared" si="167"/>
        <v>0.99863647525462729</v>
      </c>
      <c r="W303" s="24">
        <f t="shared" si="191"/>
        <v>0.99706061422870829</v>
      </c>
      <c r="X303" s="601">
        <f t="shared" si="168"/>
        <v>0.99864028085665513</v>
      </c>
      <c r="Y303" s="33">
        <f t="shared" si="169"/>
        <v>0.99864028085665513</v>
      </c>
      <c r="Z303" s="24">
        <f t="shared" si="192"/>
        <v>0.9995230148365688</v>
      </c>
      <c r="AA303" s="601">
        <f t="shared" si="170"/>
        <v>0.99631999260159254</v>
      </c>
      <c r="AB303" s="33">
        <f t="shared" si="171"/>
        <v>0.99631999260159254</v>
      </c>
      <c r="AC303" s="24">
        <f t="shared" si="193"/>
        <v>0.99980109362261305</v>
      </c>
      <c r="AD303" s="601">
        <f t="shared" si="172"/>
        <v>0.99750020179179166</v>
      </c>
      <c r="AE303" s="33">
        <f t="shared" si="173"/>
        <v>0.99750020179179166</v>
      </c>
      <c r="AK303" s="141">
        <f t="shared" si="177"/>
        <v>0.99762031504036086</v>
      </c>
      <c r="AL303" s="141">
        <f t="shared" si="178"/>
        <v>0.99764777761707824</v>
      </c>
    </row>
    <row r="304" spans="1:44" x14ac:dyDescent="0.2">
      <c r="A304" s="568" t="s">
        <v>1001</v>
      </c>
      <c r="B304" s="7"/>
      <c r="C304" s="24">
        <f t="shared" si="179"/>
        <v>0.99988381255229108</v>
      </c>
      <c r="D304" s="601">
        <f t="shared" si="156"/>
        <v>0.99839909249938441</v>
      </c>
      <c r="E304" s="33">
        <f t="shared" si="157"/>
        <v>0.99839909249938441</v>
      </c>
      <c r="F304" s="24">
        <f t="shared" si="195"/>
        <v>0.99985644281383379</v>
      </c>
      <c r="G304" s="601">
        <f t="shared" si="158"/>
        <v>0.99855960916974185</v>
      </c>
      <c r="H304" s="33">
        <f t="shared" si="159"/>
        <v>0.99855960916974185</v>
      </c>
      <c r="I304" s="24">
        <f t="shared" si="188"/>
        <v>0.99982783197160863</v>
      </c>
      <c r="J304" s="601">
        <f t="shared" si="160"/>
        <v>0.99781957024517764</v>
      </c>
      <c r="K304" s="33">
        <f t="shared" si="161"/>
        <v>0.99781957024517764</v>
      </c>
      <c r="L304" s="24">
        <f t="shared" si="194"/>
        <v>0.99980030938382192</v>
      </c>
      <c r="M304" s="601">
        <f t="shared" si="162"/>
        <v>0.99781957024517764</v>
      </c>
      <c r="N304" s="33">
        <f t="shared" si="163"/>
        <v>0.99781957024517764</v>
      </c>
      <c r="O304" s="568" t="s">
        <v>1001</v>
      </c>
      <c r="P304" s="7"/>
      <c r="Q304" s="24">
        <f t="shared" si="189"/>
        <v>0.99987491450623922</v>
      </c>
      <c r="R304" s="601">
        <f t="shared" si="164"/>
        <v>0.99888990802774891</v>
      </c>
      <c r="S304" s="33">
        <f t="shared" si="165"/>
        <v>0.99888990802774891</v>
      </c>
      <c r="T304" s="24">
        <f t="shared" si="190"/>
        <v>0.99984186719089563</v>
      </c>
      <c r="U304" s="601">
        <f t="shared" si="166"/>
        <v>0.99879441742157193</v>
      </c>
      <c r="V304" s="33">
        <f t="shared" si="167"/>
        <v>0.99879441742157193</v>
      </c>
      <c r="W304" s="24">
        <f t="shared" si="191"/>
        <v>0.99981768589919418</v>
      </c>
      <c r="X304" s="601">
        <f t="shared" si="168"/>
        <v>0.99882238026077708</v>
      </c>
      <c r="Y304" s="33">
        <f t="shared" si="169"/>
        <v>0.99882238026077708</v>
      </c>
      <c r="Z304" s="24">
        <f t="shared" si="192"/>
        <v>0.99977977832980258</v>
      </c>
      <c r="AA304" s="601">
        <f t="shared" si="170"/>
        <v>0.99653945218417017</v>
      </c>
      <c r="AB304" s="33">
        <f t="shared" si="171"/>
        <v>0.99653945218417017</v>
      </c>
      <c r="AC304" s="24">
        <f t="shared" si="193"/>
        <v>0.99976836409687653</v>
      </c>
      <c r="AD304" s="601">
        <f t="shared" si="172"/>
        <v>0.99773131218536426</v>
      </c>
      <c r="AE304" s="33">
        <f t="shared" si="173"/>
        <v>0.99773131218536426</v>
      </c>
    </row>
    <row r="305" spans="1:31" x14ac:dyDescent="0.2">
      <c r="A305" s="568" t="s">
        <v>1043</v>
      </c>
      <c r="B305" s="595"/>
      <c r="C305" s="24">
        <f t="shared" ref="C305:C316" si="196">IF(+X259=0,1,X259)</f>
        <v>0.99976044995199842</v>
      </c>
      <c r="D305" s="601">
        <f t="shared" si="156"/>
        <v>0.99863831635600375</v>
      </c>
      <c r="E305" s="33">
        <f t="shared" si="157"/>
        <v>0.99863831635600375</v>
      </c>
      <c r="F305" s="24">
        <f t="shared" si="195"/>
        <v>0.99980614487950892</v>
      </c>
      <c r="G305" s="601">
        <f t="shared" si="158"/>
        <v>0.99875322259604904</v>
      </c>
      <c r="H305" s="33">
        <f t="shared" si="159"/>
        <v>0.99875322259604904</v>
      </c>
      <c r="I305" s="24">
        <f t="shared" si="188"/>
        <v>0.99981141276732144</v>
      </c>
      <c r="J305" s="601">
        <f t="shared" si="160"/>
        <v>0.99800778177093352</v>
      </c>
      <c r="K305" s="33">
        <f t="shared" si="161"/>
        <v>0.99800778177093352</v>
      </c>
      <c r="L305" s="24">
        <f t="shared" si="194"/>
        <v>0.99981141276732144</v>
      </c>
      <c r="M305" s="601">
        <f t="shared" si="162"/>
        <v>0.99800778177093352</v>
      </c>
      <c r="N305" s="33">
        <f t="shared" si="163"/>
        <v>0.99800778177093352</v>
      </c>
      <c r="O305" s="568" t="s">
        <v>1043</v>
      </c>
      <c r="P305" s="595"/>
      <c r="Q305" s="24">
        <f t="shared" si="189"/>
        <v>0.99981440174110037</v>
      </c>
      <c r="R305" s="601">
        <f t="shared" si="164"/>
        <v>0.99907533467037335</v>
      </c>
      <c r="S305" s="33">
        <f t="shared" si="165"/>
        <v>0.99907533467037335</v>
      </c>
      <c r="T305" s="24">
        <f t="shared" si="190"/>
        <v>0.99985556734706083</v>
      </c>
      <c r="U305" s="601">
        <f t="shared" si="166"/>
        <v>0.99893869678767255</v>
      </c>
      <c r="V305" s="33">
        <f t="shared" si="167"/>
        <v>0.99893869678767255</v>
      </c>
      <c r="W305" s="24">
        <f t="shared" si="191"/>
        <v>0.99985183980701964</v>
      </c>
      <c r="X305" s="601">
        <f t="shared" si="168"/>
        <v>0.99897038790623094</v>
      </c>
      <c r="Y305" s="33">
        <f t="shared" si="169"/>
        <v>0.99897038790623094</v>
      </c>
      <c r="Z305" s="24">
        <f t="shared" si="192"/>
        <v>0.99984430431681981</v>
      </c>
      <c r="AA305" s="601">
        <f t="shared" si="170"/>
        <v>0.99669463323601393</v>
      </c>
      <c r="AB305" s="33">
        <f t="shared" si="171"/>
        <v>0.99669463323601393</v>
      </c>
      <c r="AC305" s="24">
        <f t="shared" si="193"/>
        <v>0.99961397917793504</v>
      </c>
      <c r="AD305" s="601">
        <f t="shared" si="172"/>
        <v>0.99811660597812057</v>
      </c>
      <c r="AE305" s="33">
        <f t="shared" si="173"/>
        <v>0.99811660597812057</v>
      </c>
    </row>
    <row r="306" spans="1:31" x14ac:dyDescent="0.2">
      <c r="A306" s="568" t="s">
        <v>1044</v>
      </c>
      <c r="B306" s="595"/>
      <c r="C306" s="24">
        <f t="shared" si="196"/>
        <v>0.99995593300735575</v>
      </c>
      <c r="D306" s="601">
        <f t="shared" si="156"/>
        <v>0.99868232528268597</v>
      </c>
      <c r="E306" s="33">
        <f t="shared" si="157"/>
        <v>0.99868232528268597</v>
      </c>
      <c r="F306" s="24">
        <f t="shared" si="195"/>
        <v>0.99992643757302846</v>
      </c>
      <c r="G306" s="601">
        <f t="shared" si="158"/>
        <v>0.99882669871213026</v>
      </c>
      <c r="H306" s="33">
        <f t="shared" si="159"/>
        <v>0.99882669871213026</v>
      </c>
      <c r="I306" s="24">
        <f t="shared" si="188"/>
        <v>0.99974857845839515</v>
      </c>
      <c r="J306" s="601">
        <f t="shared" si="160"/>
        <v>0.99825876552868331</v>
      </c>
      <c r="K306" s="33">
        <f t="shared" si="161"/>
        <v>0.99825876552868331</v>
      </c>
      <c r="L306" s="24">
        <f t="shared" si="194"/>
        <v>0.99974857845839515</v>
      </c>
      <c r="M306" s="601">
        <f t="shared" si="162"/>
        <v>0.99825876552868331</v>
      </c>
      <c r="N306" s="33">
        <f t="shared" si="163"/>
        <v>0.99825876552868331</v>
      </c>
      <c r="O306" s="568" t="s">
        <v>1044</v>
      </c>
      <c r="P306" s="595"/>
      <c r="Q306" s="24">
        <f t="shared" si="189"/>
        <v>0.99993048248992589</v>
      </c>
      <c r="R306" s="601">
        <f t="shared" si="164"/>
        <v>0.99914479272856738</v>
      </c>
      <c r="S306" s="33">
        <f t="shared" si="165"/>
        <v>0.99914479272856738</v>
      </c>
      <c r="T306" s="24">
        <f t="shared" si="190"/>
        <v>0.99990413891278984</v>
      </c>
      <c r="U306" s="601">
        <f t="shared" si="166"/>
        <v>0.99903446531767837</v>
      </c>
      <c r="V306" s="33">
        <f t="shared" si="167"/>
        <v>0.99903446531767837</v>
      </c>
      <c r="W306" s="24">
        <f t="shared" si="191"/>
        <v>0.99987293034971114</v>
      </c>
      <c r="X306" s="601">
        <f t="shared" si="168"/>
        <v>0.99909734285619223</v>
      </c>
      <c r="Y306" s="33">
        <f t="shared" si="169"/>
        <v>0.99909734285619223</v>
      </c>
      <c r="Z306" s="24">
        <f t="shared" si="192"/>
        <v>0.9997876020952684</v>
      </c>
      <c r="AA306" s="601">
        <f t="shared" si="170"/>
        <v>0.99690637406107807</v>
      </c>
      <c r="AB306" s="33">
        <f t="shared" si="171"/>
        <v>0.99690637406107807</v>
      </c>
      <c r="AC306" s="24">
        <f t="shared" si="193"/>
        <v>0.99901274581577293</v>
      </c>
      <c r="AD306" s="601">
        <f t="shared" si="172"/>
        <v>0.99910297457023878</v>
      </c>
      <c r="AE306" s="33">
        <f t="shared" si="173"/>
        <v>0.99910297457023878</v>
      </c>
    </row>
    <row r="307" spans="1:31" x14ac:dyDescent="0.2">
      <c r="A307" s="568" t="s">
        <v>1045</v>
      </c>
      <c r="B307" s="595"/>
      <c r="C307" s="24">
        <f t="shared" si="196"/>
        <v>1</v>
      </c>
      <c r="D307" s="601">
        <f t="shared" si="156"/>
        <v>0.99868232528268597</v>
      </c>
      <c r="E307" s="33">
        <f t="shared" si="157"/>
        <v>0.99868232528268597</v>
      </c>
      <c r="F307" s="24">
        <f t="shared" si="195"/>
        <v>0.9999323877717643</v>
      </c>
      <c r="G307" s="601">
        <f t="shared" si="158"/>
        <v>0.99889423617720996</v>
      </c>
      <c r="H307" s="33">
        <f t="shared" si="159"/>
        <v>0.99889423617720996</v>
      </c>
      <c r="I307" s="24">
        <f t="shared" si="188"/>
        <v>0.99983823361713087</v>
      </c>
      <c r="J307" s="601">
        <f t="shared" si="160"/>
        <v>0.99842027636537412</v>
      </c>
      <c r="K307" s="33">
        <f t="shared" si="161"/>
        <v>0.99842027636537412</v>
      </c>
      <c r="L307" s="24">
        <f t="shared" si="194"/>
        <v>0.99983823361713087</v>
      </c>
      <c r="M307" s="601">
        <f t="shared" si="162"/>
        <v>0.99842027636537412</v>
      </c>
      <c r="N307" s="33">
        <f t="shared" si="163"/>
        <v>0.99842027636537412</v>
      </c>
      <c r="O307" s="568" t="s">
        <v>1045</v>
      </c>
      <c r="P307" s="595"/>
      <c r="Q307" s="24">
        <f t="shared" si="189"/>
        <v>0.99992110788568345</v>
      </c>
      <c r="R307" s="601">
        <f t="shared" si="164"/>
        <v>0.99922362359290762</v>
      </c>
      <c r="S307" s="33">
        <f t="shared" si="165"/>
        <v>0.99922362359290762</v>
      </c>
      <c r="T307" s="24">
        <f t="shared" si="190"/>
        <v>0.99988822328152627</v>
      </c>
      <c r="U307" s="601">
        <f t="shared" si="166"/>
        <v>0.9991461465952205</v>
      </c>
      <c r="V307" s="33">
        <f t="shared" si="167"/>
        <v>0.9991461465952205</v>
      </c>
      <c r="W307" s="24">
        <f t="shared" si="191"/>
        <v>0.999824908501593</v>
      </c>
      <c r="X307" s="601">
        <f t="shared" si="168"/>
        <v>0.9992723069417313</v>
      </c>
      <c r="Y307" s="33">
        <f t="shared" si="169"/>
        <v>0.9992723069417313</v>
      </c>
      <c r="Z307" s="24">
        <f t="shared" si="192"/>
        <v>0.99959600318024133</v>
      </c>
      <c r="AA307" s="601">
        <f t="shared" si="170"/>
        <v>0.99730928384006523</v>
      </c>
      <c r="AB307" s="33">
        <f t="shared" si="171"/>
        <v>0.99730928384006523</v>
      </c>
      <c r="AC307" s="24">
        <f t="shared" si="193"/>
        <v>1</v>
      </c>
      <c r="AD307" s="601">
        <f t="shared" si="172"/>
        <v>0.99910297457023878</v>
      </c>
      <c r="AE307" s="33">
        <f t="shared" si="173"/>
        <v>0.99910297457023878</v>
      </c>
    </row>
    <row r="308" spans="1:31" x14ac:dyDescent="0.2">
      <c r="A308" s="568" t="s">
        <v>1046</v>
      </c>
      <c r="B308" s="595"/>
      <c r="C308" s="24">
        <f t="shared" si="196"/>
        <v>0.99998648167190474</v>
      </c>
      <c r="D308" s="601">
        <f t="shared" si="156"/>
        <v>0.99869582598052897</v>
      </c>
      <c r="E308" s="33">
        <f t="shared" si="157"/>
        <v>0.99869582598052897</v>
      </c>
      <c r="F308" s="24">
        <f t="shared" si="195"/>
        <v>0.99994413433966955</v>
      </c>
      <c r="G308" s="601">
        <f t="shared" si="158"/>
        <v>0.99895004318100944</v>
      </c>
      <c r="H308" s="33">
        <f t="shared" si="159"/>
        <v>0.99895004318100944</v>
      </c>
      <c r="I308" s="24">
        <f t="shared" si="188"/>
        <v>0.99982377661792798</v>
      </c>
      <c r="J308" s="601">
        <f t="shared" si="160"/>
        <v>0.99859625237429195</v>
      </c>
      <c r="K308" s="33">
        <f t="shared" si="161"/>
        <v>0.99859625237429195</v>
      </c>
      <c r="L308" s="24">
        <f t="shared" si="194"/>
        <v>0.99982377661792798</v>
      </c>
      <c r="M308" s="601">
        <f t="shared" si="162"/>
        <v>0.99859625237429195</v>
      </c>
      <c r="N308" s="33">
        <f t="shared" si="163"/>
        <v>0.99859625237429195</v>
      </c>
      <c r="O308" s="568" t="s">
        <v>1046</v>
      </c>
      <c r="P308" s="595"/>
      <c r="Q308" s="24">
        <f t="shared" si="189"/>
        <v>0.99991841970797224</v>
      </c>
      <c r="R308" s="601">
        <f t="shared" si="164"/>
        <v>0.99930514719864094</v>
      </c>
      <c r="S308" s="33">
        <f t="shared" si="165"/>
        <v>0.99930514719864094</v>
      </c>
      <c r="T308" s="24">
        <f t="shared" si="190"/>
        <v>0.99991702043768071</v>
      </c>
      <c r="U308" s="601">
        <f t="shared" si="166"/>
        <v>0.99922906218545737</v>
      </c>
      <c r="V308" s="33">
        <f t="shared" si="167"/>
        <v>0.99922906218545737</v>
      </c>
      <c r="W308" s="24">
        <f t="shared" si="191"/>
        <v>0.99989122627729632</v>
      </c>
      <c r="X308" s="601">
        <f t="shared" si="168"/>
        <v>0.99938101333495111</v>
      </c>
      <c r="Y308" s="33">
        <f t="shared" si="169"/>
        <v>0.99938101333495111</v>
      </c>
      <c r="Z308" s="24">
        <f t="shared" si="192"/>
        <v>0.9994658211797357</v>
      </c>
      <c r="AA308" s="601">
        <f t="shared" si="170"/>
        <v>0.99784231006806723</v>
      </c>
      <c r="AB308" s="33">
        <f t="shared" si="171"/>
        <v>0.99784231006806723</v>
      </c>
      <c r="AC308" s="24">
        <f t="shared" si="193"/>
        <v>0.99995844444489757</v>
      </c>
      <c r="AD308" s="601">
        <f t="shared" si="172"/>
        <v>0.9991444945743384</v>
      </c>
      <c r="AE308" s="33">
        <f t="shared" si="173"/>
        <v>0.9991444945743384</v>
      </c>
    </row>
    <row r="309" spans="1:31" x14ac:dyDescent="0.2">
      <c r="A309" s="568" t="s">
        <v>1047</v>
      </c>
      <c r="B309" s="595"/>
      <c r="C309" s="24">
        <f t="shared" si="196"/>
        <v>0.99989117922853876</v>
      </c>
      <c r="D309" s="601">
        <f t="shared" si="156"/>
        <v>0.99880451665857073</v>
      </c>
      <c r="E309" s="33">
        <f t="shared" si="157"/>
        <v>0.99880451665857073</v>
      </c>
      <c r="F309" s="24">
        <f t="shared" si="195"/>
        <v>0.99989054440452052</v>
      </c>
      <c r="G309" s="601">
        <f t="shared" si="158"/>
        <v>0.99905939582209846</v>
      </c>
      <c r="H309" s="33">
        <f t="shared" si="159"/>
        <v>0.99905939582209846</v>
      </c>
      <c r="I309" s="24">
        <f t="shared" si="188"/>
        <v>0.99956052713624399</v>
      </c>
      <c r="J309" s="601">
        <f t="shared" si="160"/>
        <v>0.99903530127913842</v>
      </c>
      <c r="K309" s="33">
        <f t="shared" si="161"/>
        <v>0.99903530127913842</v>
      </c>
      <c r="L309" s="24">
        <f t="shared" si="194"/>
        <v>0.99956052713624399</v>
      </c>
      <c r="M309" s="601">
        <f t="shared" si="162"/>
        <v>0.99903530127913842</v>
      </c>
      <c r="N309" s="33">
        <f t="shared" si="163"/>
        <v>0.99903530127913842</v>
      </c>
      <c r="O309" s="568" t="s">
        <v>1047</v>
      </c>
      <c r="P309" s="595"/>
      <c r="Q309" s="24">
        <f t="shared" si="189"/>
        <v>0.99990884451642059</v>
      </c>
      <c r="R309" s="601">
        <f t="shared" si="164"/>
        <v>0.99939624764688262</v>
      </c>
      <c r="S309" s="33">
        <f t="shared" si="165"/>
        <v>0.99939624764688262</v>
      </c>
      <c r="T309" s="24">
        <f t="shared" si="190"/>
        <v>0.99986957063031812</v>
      </c>
      <c r="U309" s="601">
        <f t="shared" si="166"/>
        <v>0.99935940800312884</v>
      </c>
      <c r="V309" s="33">
        <f t="shared" si="167"/>
        <v>0.99935940800312884</v>
      </c>
      <c r="W309" s="24">
        <f t="shared" si="191"/>
        <v>0.99988990930066102</v>
      </c>
      <c r="X309" s="601">
        <f t="shared" si="168"/>
        <v>0.99949104800340882</v>
      </c>
      <c r="Y309" s="33">
        <f t="shared" si="169"/>
        <v>0.99949104800340882</v>
      </c>
      <c r="Z309" s="24">
        <f t="shared" si="192"/>
        <v>0.99850697533160404</v>
      </c>
      <c r="AA309" s="601">
        <f t="shared" si="170"/>
        <v>0.99933434089099271</v>
      </c>
      <c r="AB309" s="33">
        <f t="shared" si="171"/>
        <v>0.99933434089099271</v>
      </c>
      <c r="AC309" s="24">
        <f t="shared" si="193"/>
        <v>0.99981002722623835</v>
      </c>
      <c r="AD309" s="601">
        <f t="shared" si="172"/>
        <v>0.99933434089099271</v>
      </c>
      <c r="AE309" s="33">
        <f t="shared" si="173"/>
        <v>0.99933434089099271</v>
      </c>
    </row>
    <row r="310" spans="1:31" x14ac:dyDescent="0.2">
      <c r="A310" s="568" t="s">
        <v>1048</v>
      </c>
      <c r="B310" s="595"/>
      <c r="C310" s="24">
        <f t="shared" si="196"/>
        <v>0.99985742662361254</v>
      </c>
      <c r="D310" s="601">
        <f t="shared" si="156"/>
        <v>0.99894693989662375</v>
      </c>
      <c r="E310" s="33">
        <f t="shared" si="157"/>
        <v>0.99894693989662375</v>
      </c>
      <c r="F310" s="24">
        <f t="shared" si="195"/>
        <v>0.99984821241550581</v>
      </c>
      <c r="G310" s="601">
        <f t="shared" si="158"/>
        <v>0.99921106365585066</v>
      </c>
      <c r="H310" s="33">
        <f t="shared" si="159"/>
        <v>0.99921106365585066</v>
      </c>
      <c r="I310" s="24">
        <f t="shared" si="188"/>
        <v>0.99982409884847634</v>
      </c>
      <c r="J310" s="601">
        <f t="shared" si="160"/>
        <v>0.99921106365585066</v>
      </c>
      <c r="K310" s="33">
        <f t="shared" si="161"/>
        <v>0.99921106365585066</v>
      </c>
      <c r="L310" s="24">
        <f t="shared" si="194"/>
        <v>0.99982409884847634</v>
      </c>
      <c r="M310" s="601">
        <f t="shared" si="162"/>
        <v>0.99921106365585066</v>
      </c>
      <c r="N310" s="33">
        <f t="shared" si="163"/>
        <v>0.99921106365585066</v>
      </c>
      <c r="O310" s="568" t="s">
        <v>1048</v>
      </c>
      <c r="P310" s="595"/>
      <c r="Q310" s="24">
        <f t="shared" si="189"/>
        <v>0.99986370182131168</v>
      </c>
      <c r="R310" s="601">
        <f t="shared" si="164"/>
        <v>0.99953248210373313</v>
      </c>
      <c r="S310" s="33">
        <f t="shared" si="165"/>
        <v>0.99953248210373313</v>
      </c>
      <c r="T310" s="24">
        <f t="shared" si="190"/>
        <v>0.99982684494630925</v>
      </c>
      <c r="U310" s="601">
        <f t="shared" si="166"/>
        <v>0.99953248210373313</v>
      </c>
      <c r="V310" s="33">
        <f t="shared" si="167"/>
        <v>0.99953248210373313</v>
      </c>
      <c r="W310" s="24">
        <f t="shared" si="191"/>
        <v>0.9998239221644285</v>
      </c>
      <c r="X310" s="601">
        <f t="shared" si="168"/>
        <v>0.99966706721689647</v>
      </c>
      <c r="Y310" s="33">
        <f t="shared" si="169"/>
        <v>0.99966706721689647</v>
      </c>
      <c r="Z310" s="24">
        <f t="shared" si="192"/>
        <v>0.99967941744629885</v>
      </c>
      <c r="AA310" s="601">
        <f t="shared" si="170"/>
        <v>0.99965481278369461</v>
      </c>
      <c r="AB310" s="33">
        <f t="shared" si="171"/>
        <v>0.99965481278369461</v>
      </c>
      <c r="AC310" s="24">
        <f t="shared" si="193"/>
        <v>0.99967941744629885</v>
      </c>
      <c r="AD310" s="601">
        <f t="shared" si="172"/>
        <v>0.99965481278369461</v>
      </c>
      <c r="AE310" s="33">
        <f t="shared" si="173"/>
        <v>0.99965481278369461</v>
      </c>
    </row>
    <row r="311" spans="1:31" x14ac:dyDescent="0.2">
      <c r="A311" s="568" t="s">
        <v>1049</v>
      </c>
      <c r="B311" s="595"/>
      <c r="C311" s="24">
        <f t="shared" si="196"/>
        <v>0.99978429834459615</v>
      </c>
      <c r="D311" s="601">
        <f t="shared" si="156"/>
        <v>0.99916246089345584</v>
      </c>
      <c r="E311" s="33">
        <f t="shared" si="157"/>
        <v>0.99916246089345584</v>
      </c>
      <c r="F311" s="24">
        <f t="shared" si="195"/>
        <v>0.99984260122970792</v>
      </c>
      <c r="G311" s="601">
        <f t="shared" si="158"/>
        <v>0.99936836300725684</v>
      </c>
      <c r="H311" s="33">
        <f t="shared" si="159"/>
        <v>0.99936836300725684</v>
      </c>
      <c r="I311" s="24">
        <f t="shared" si="188"/>
        <v>0.99984260122970792</v>
      </c>
      <c r="J311" s="601">
        <f t="shared" si="160"/>
        <v>0.99936836300725684</v>
      </c>
      <c r="K311" s="33">
        <f t="shared" si="161"/>
        <v>0.99936836300725684</v>
      </c>
      <c r="L311" s="24">
        <f t="shared" si="194"/>
        <v>0.99984260122970792</v>
      </c>
      <c r="M311" s="601">
        <f t="shared" si="162"/>
        <v>0.99936836300725684</v>
      </c>
      <c r="N311" s="33">
        <f t="shared" si="163"/>
        <v>0.99936836300725684</v>
      </c>
      <c r="O311" s="568" t="s">
        <v>1049</v>
      </c>
      <c r="P311" s="595"/>
      <c r="Q311" s="24">
        <f t="shared" si="189"/>
        <v>0.99988665846561209</v>
      </c>
      <c r="R311" s="601">
        <f t="shared" si="164"/>
        <v>0.99964578349067834</v>
      </c>
      <c r="S311" s="33">
        <f t="shared" si="165"/>
        <v>0.99964578349067834</v>
      </c>
      <c r="T311" s="24">
        <f t="shared" si="190"/>
        <v>0.99988665846561209</v>
      </c>
      <c r="U311" s="601">
        <f t="shared" si="166"/>
        <v>0.99964578349067834</v>
      </c>
      <c r="V311" s="33">
        <f t="shared" si="167"/>
        <v>0.99964578349067834</v>
      </c>
      <c r="W311" s="24">
        <f t="shared" si="191"/>
        <v>0.99987781893688421</v>
      </c>
      <c r="X311" s="601">
        <f t="shared" si="168"/>
        <v>0.99978922252699653</v>
      </c>
      <c r="Y311" s="33">
        <f t="shared" si="169"/>
        <v>0.99978922252699653</v>
      </c>
      <c r="Z311" s="24">
        <f t="shared" si="192"/>
        <v>0.99986556192017939</v>
      </c>
      <c r="AA311" s="601">
        <f t="shared" si="170"/>
        <v>0.99978922252699653</v>
      </c>
      <c r="AB311" s="33">
        <f t="shared" si="171"/>
        <v>0.99978922252699653</v>
      </c>
      <c r="AC311" s="24">
        <f t="shared" si="193"/>
        <v>0.99986556192017939</v>
      </c>
      <c r="AD311" s="601">
        <f t="shared" si="172"/>
        <v>0.99978922252699653</v>
      </c>
      <c r="AE311" s="33">
        <f t="shared" si="173"/>
        <v>0.99978922252699653</v>
      </c>
    </row>
    <row r="312" spans="1:31" x14ac:dyDescent="0.2">
      <c r="A312" s="568" t="s">
        <v>1050</v>
      </c>
      <c r="B312" s="595"/>
      <c r="C312" s="24">
        <f t="shared" si="196"/>
        <v>0.99967581220737389</v>
      </c>
      <c r="D312" s="601">
        <f t="shared" si="156"/>
        <v>0.99948648220988312</v>
      </c>
      <c r="E312" s="33">
        <f t="shared" ref="E312:E315" si="197">MIN(SUMPRODUCT(D307:D317,$G$329:$G$339),$E$275)</f>
        <v>0.99948648220988312</v>
      </c>
      <c r="F312" s="24">
        <f t="shared" si="195"/>
        <v>0.99978948991758088</v>
      </c>
      <c r="G312" s="601">
        <f t="shared" si="158"/>
        <v>0.99957878441954939</v>
      </c>
      <c r="H312" s="33">
        <f t="shared" ref="H312:H315" si="198">MIN(SUMPRODUCT(G307:G317,$G$329:$G$339),$E$275)</f>
        <v>0.99957878441954939</v>
      </c>
      <c r="I312" s="24">
        <f t="shared" si="188"/>
        <v>0.99978948991758088</v>
      </c>
      <c r="J312" s="601">
        <f t="shared" si="160"/>
        <v>0.99957878441954939</v>
      </c>
      <c r="K312" s="33">
        <f t="shared" ref="K312:K315" si="199">MIN(SUMPRODUCT(J307:J317,$G$329:$G$339),$E$275)</f>
        <v>0.99957878441954939</v>
      </c>
      <c r="L312" s="24">
        <f t="shared" si="194"/>
        <v>0.99978948991758088</v>
      </c>
      <c r="M312" s="601">
        <f t="shared" si="162"/>
        <v>0.99957878441954939</v>
      </c>
      <c r="N312" s="33">
        <f t="shared" ref="N312:N315" si="200">MIN(SUMPRODUCT(M307:M317,$G$329:$G$339),$E$275)</f>
        <v>0.99957878441954939</v>
      </c>
      <c r="O312" s="568" t="s">
        <v>1050</v>
      </c>
      <c r="P312" s="595"/>
      <c r="Q312" s="24">
        <f t="shared" si="189"/>
        <v>0.9999134928664325</v>
      </c>
      <c r="R312" s="601">
        <f t="shared" si="164"/>
        <v>0.99973226746347155</v>
      </c>
      <c r="S312" s="33">
        <f t="shared" ref="S312:S315" si="201">MIN(SUMPRODUCT(R307:R317,$G$329:$G$339),$E$275)</f>
        <v>0.99973226746347155</v>
      </c>
      <c r="T312" s="24">
        <f t="shared" si="190"/>
        <v>0.9999134928664325</v>
      </c>
      <c r="U312" s="601">
        <f t="shared" si="166"/>
        <v>0.99973226746347155</v>
      </c>
      <c r="V312" s="33">
        <f t="shared" ref="V312:V315" si="202">MIN(SUMPRODUCT(U307:U317,$G$329:$G$339),$E$275)</f>
        <v>0.99973226746347155</v>
      </c>
      <c r="W312" s="24">
        <f t="shared" si="191"/>
        <v>1</v>
      </c>
      <c r="X312" s="601">
        <f t="shared" si="168"/>
        <v>0.99978922252699653</v>
      </c>
      <c r="Y312" s="33">
        <f t="shared" ref="Y312:Y315" si="203">MIN(SUMPRODUCT(X307:X317,$G$329:$G$339),$E$275)</f>
        <v>0.99978922252699653</v>
      </c>
      <c r="Z312" s="24">
        <f t="shared" si="192"/>
        <v>1</v>
      </c>
      <c r="AA312" s="601">
        <f t="shared" si="170"/>
        <v>0.99978922252699653</v>
      </c>
      <c r="AB312" s="33">
        <f t="shared" ref="AB312:AB315" si="204">MIN(SUMPRODUCT(AA307:AA317,$G$329:$G$339),$E$275)</f>
        <v>0.99978922252699653</v>
      </c>
      <c r="AC312" s="24">
        <f t="shared" si="193"/>
        <v>1</v>
      </c>
      <c r="AD312" s="601">
        <f t="shared" si="172"/>
        <v>0.99978922252699653</v>
      </c>
      <c r="AE312" s="33">
        <f t="shared" ref="AE312:AE315" si="205">MIN(SUMPRODUCT(AD307:AD317,$G$329:$G$339),$E$275)</f>
        <v>0.99978922252699653</v>
      </c>
    </row>
    <row r="313" spans="1:31" x14ac:dyDescent="0.2">
      <c r="A313" s="568" t="s">
        <v>1051</v>
      </c>
      <c r="B313" s="595"/>
      <c r="C313" s="24">
        <f t="shared" si="196"/>
        <v>0.99963073787350465</v>
      </c>
      <c r="D313" s="601">
        <f t="shared" si="156"/>
        <v>0.99985569104854821</v>
      </c>
      <c r="E313" s="33">
        <f t="shared" si="197"/>
        <v>0.99985569104854821</v>
      </c>
      <c r="F313" s="24">
        <f t="shared" si="195"/>
        <v>0.99972305340512846</v>
      </c>
      <c r="G313" s="601">
        <f t="shared" si="158"/>
        <v>0.99985569104854821</v>
      </c>
      <c r="H313" s="33">
        <f t="shared" si="198"/>
        <v>0.99985569104854821</v>
      </c>
      <c r="I313" s="24">
        <f t="shared" si="188"/>
        <v>0.99972305340512846</v>
      </c>
      <c r="J313" s="601">
        <f t="shared" si="160"/>
        <v>0.99985569104854821</v>
      </c>
      <c r="K313" s="33">
        <f t="shared" si="199"/>
        <v>0.99985569104854821</v>
      </c>
      <c r="L313" s="24">
        <f t="shared" si="194"/>
        <v>0.99972305340512846</v>
      </c>
      <c r="M313" s="601">
        <f t="shared" si="162"/>
        <v>0.99985569104854821</v>
      </c>
      <c r="N313" s="33">
        <f t="shared" si="200"/>
        <v>0.99985569104854821</v>
      </c>
      <c r="O313" s="568" t="s">
        <v>1051</v>
      </c>
      <c r="P313" s="595"/>
      <c r="Q313" s="24">
        <f t="shared" si="189"/>
        <v>0.99988598601805556</v>
      </c>
      <c r="R313" s="601">
        <f t="shared" si="164"/>
        <v>0.99984626391735298</v>
      </c>
      <c r="S313" s="33">
        <f t="shared" si="201"/>
        <v>0.99984626391735298</v>
      </c>
      <c r="T313" s="24">
        <f t="shared" si="190"/>
        <v>0.99988598601805556</v>
      </c>
      <c r="U313" s="601">
        <f t="shared" si="166"/>
        <v>0.99984626391735298</v>
      </c>
      <c r="V313" s="33">
        <f t="shared" si="202"/>
        <v>0.99984626391735298</v>
      </c>
      <c r="W313" s="24">
        <f t="shared" si="191"/>
        <v>0.99996528945167262</v>
      </c>
      <c r="X313" s="601">
        <f t="shared" si="168"/>
        <v>0.99982392696373223</v>
      </c>
      <c r="Y313" s="33">
        <f t="shared" si="203"/>
        <v>0.99982392696373223</v>
      </c>
      <c r="Z313" s="24">
        <f t="shared" si="192"/>
        <v>0.99996528945167262</v>
      </c>
      <c r="AA313" s="601">
        <f t="shared" si="170"/>
        <v>0.99982392696373223</v>
      </c>
      <c r="AB313" s="33">
        <f t="shared" si="204"/>
        <v>0.99982392696373223</v>
      </c>
      <c r="AC313" s="24">
        <f t="shared" si="193"/>
        <v>0.99996528945167262</v>
      </c>
      <c r="AD313" s="601">
        <f t="shared" si="172"/>
        <v>0.99982392696373223</v>
      </c>
      <c r="AE313" s="33">
        <f t="shared" si="205"/>
        <v>0.99982392696373223</v>
      </c>
    </row>
    <row r="314" spans="1:31" x14ac:dyDescent="0.2">
      <c r="A314" s="568" t="s">
        <v>1052</v>
      </c>
      <c r="B314" s="595"/>
      <c r="C314" s="24">
        <f t="shared" si="196"/>
        <v>0.99990529956837115</v>
      </c>
      <c r="D314" s="601">
        <f t="shared" si="156"/>
        <v>0.99995038678178383</v>
      </c>
      <c r="E314" s="33">
        <f t="shared" si="197"/>
        <v>0.99995038678178383</v>
      </c>
      <c r="F314" s="24">
        <f t="shared" si="195"/>
        <v>0.99990529956837115</v>
      </c>
      <c r="G314" s="601">
        <f t="shared" si="158"/>
        <v>0.99995038678178383</v>
      </c>
      <c r="H314" s="33">
        <f t="shared" si="198"/>
        <v>0.99995038678178383</v>
      </c>
      <c r="I314" s="24">
        <f t="shared" si="188"/>
        <v>0.99990529956837115</v>
      </c>
      <c r="J314" s="601">
        <f t="shared" si="160"/>
        <v>0.99995038678178383</v>
      </c>
      <c r="K314" s="33">
        <f t="shared" si="199"/>
        <v>0.99995038678178383</v>
      </c>
      <c r="L314" s="24">
        <f t="shared" si="194"/>
        <v>0.99990529956837115</v>
      </c>
      <c r="M314" s="601">
        <f t="shared" si="162"/>
        <v>0.99995038678178383</v>
      </c>
      <c r="N314" s="33">
        <f t="shared" si="200"/>
        <v>0.99995038678178383</v>
      </c>
      <c r="O314" s="568" t="s">
        <v>1052</v>
      </c>
      <c r="P314" s="595"/>
      <c r="Q314" s="24">
        <f t="shared" si="189"/>
        <v>0.99989587196944241</v>
      </c>
      <c r="R314" s="601">
        <f t="shared" si="164"/>
        <v>0.99995038678178383</v>
      </c>
      <c r="S314" s="33">
        <f t="shared" si="201"/>
        <v>0.99995038678178383</v>
      </c>
      <c r="T314" s="24">
        <f t="shared" si="190"/>
        <v>0.99989587196944241</v>
      </c>
      <c r="U314" s="601">
        <f t="shared" si="166"/>
        <v>0.99995038678178383</v>
      </c>
      <c r="V314" s="33">
        <f t="shared" si="202"/>
        <v>0.99995038678178383</v>
      </c>
      <c r="W314" s="24">
        <f t="shared" si="191"/>
        <v>0.99989587196944252</v>
      </c>
      <c r="X314" s="601">
        <f t="shared" si="168"/>
        <v>0.9999280475020178</v>
      </c>
      <c r="Y314" s="33">
        <f t="shared" si="203"/>
        <v>0.9999280475020178</v>
      </c>
      <c r="Z314" s="24">
        <f t="shared" si="192"/>
        <v>0.99989587196944252</v>
      </c>
      <c r="AA314" s="601">
        <f t="shared" si="170"/>
        <v>0.9999280475020178</v>
      </c>
      <c r="AB314" s="33">
        <f t="shared" si="204"/>
        <v>0.9999280475020178</v>
      </c>
      <c r="AC314" s="24">
        <f t="shared" si="193"/>
        <v>0.99989587196944252</v>
      </c>
      <c r="AD314" s="601">
        <f t="shared" si="172"/>
        <v>0.9999280475020178</v>
      </c>
      <c r="AE314" s="33">
        <f t="shared" si="205"/>
        <v>0.9999280475020178</v>
      </c>
    </row>
    <row r="315" spans="1:31" x14ac:dyDescent="0.2">
      <c r="A315" s="568" t="s">
        <v>1053</v>
      </c>
      <c r="B315" s="595"/>
      <c r="C315" s="24">
        <f t="shared" si="196"/>
        <v>0.99997601543757597</v>
      </c>
      <c r="D315" s="601">
        <f>C316*D316</f>
        <v>0.99997437072950102</v>
      </c>
      <c r="E315" s="33">
        <f t="shared" si="197"/>
        <v>0.99997437072950102</v>
      </c>
      <c r="F315" s="24">
        <f t="shared" si="195"/>
        <v>0.99997601543757597</v>
      </c>
      <c r="G315" s="601">
        <f>F316*G316</f>
        <v>0.99997437072950102</v>
      </c>
      <c r="H315" s="33">
        <f t="shared" si="198"/>
        <v>0.99997437072950102</v>
      </c>
      <c r="I315" s="24">
        <f t="shared" si="188"/>
        <v>0.99997601543757597</v>
      </c>
      <c r="J315" s="601">
        <f>I316*J316</f>
        <v>0.99997437072950102</v>
      </c>
      <c r="K315" s="33">
        <f t="shared" si="199"/>
        <v>0.99997437072950102</v>
      </c>
      <c r="L315" s="24">
        <f t="shared" si="194"/>
        <v>0.99997601543757597</v>
      </c>
      <c r="M315" s="601">
        <f>L316*M316</f>
        <v>0.99997437072950102</v>
      </c>
      <c r="N315" s="33">
        <f t="shared" si="200"/>
        <v>0.99997437072950102</v>
      </c>
      <c r="O315" s="568" t="s">
        <v>1053</v>
      </c>
      <c r="P315" s="595"/>
      <c r="Q315" s="24">
        <f t="shared" si="189"/>
        <v>0.99997601543757597</v>
      </c>
      <c r="R315" s="601">
        <f>Q316*R316</f>
        <v>0.99997437072950102</v>
      </c>
      <c r="S315" s="33">
        <f t="shared" si="201"/>
        <v>0.99997437072950102</v>
      </c>
      <c r="T315" s="24">
        <f t="shared" si="190"/>
        <v>0.99997601543757597</v>
      </c>
      <c r="U315" s="601">
        <f>T316*U316</f>
        <v>0.99997437072950102</v>
      </c>
      <c r="V315" s="33">
        <f t="shared" si="202"/>
        <v>0.99997437072950102</v>
      </c>
      <c r="W315" s="24">
        <f t="shared" si="191"/>
        <v>0.99995367558525583</v>
      </c>
      <c r="X315" s="601">
        <f>W316*X316</f>
        <v>0.99997437072950102</v>
      </c>
      <c r="Y315" s="33">
        <f t="shared" si="203"/>
        <v>0.99997437072950102</v>
      </c>
      <c r="Z315" s="24">
        <f t="shared" si="192"/>
        <v>0.99995367558525583</v>
      </c>
      <c r="AA315" s="601">
        <f>Z316*AA316</f>
        <v>0.99997437072950102</v>
      </c>
      <c r="AB315" s="33">
        <f t="shared" si="204"/>
        <v>0.99997437072950102</v>
      </c>
      <c r="AC315" s="24">
        <f t="shared" si="193"/>
        <v>0.99995367558525583</v>
      </c>
      <c r="AD315" s="601">
        <f>AC316*AD316</f>
        <v>0.99997437072950102</v>
      </c>
      <c r="AE315" s="33">
        <f t="shared" si="205"/>
        <v>0.99997437072950102</v>
      </c>
    </row>
    <row r="316" spans="1:31" ht="12" thickBot="1" x14ac:dyDescent="0.25">
      <c r="A316" s="568" t="s">
        <v>1054</v>
      </c>
      <c r="B316" s="595"/>
      <c r="C316" s="24">
        <f t="shared" si="196"/>
        <v>0.99997437072950102</v>
      </c>
      <c r="D316" s="614">
        <f>+$E$275</f>
        <v>1</v>
      </c>
      <c r="E316" s="33">
        <f>+D316</f>
        <v>1</v>
      </c>
      <c r="F316" s="24">
        <f t="shared" si="195"/>
        <v>0.99997437072950102</v>
      </c>
      <c r="G316" s="614">
        <f>+$E$275</f>
        <v>1</v>
      </c>
      <c r="H316" s="33">
        <f>+G316</f>
        <v>1</v>
      </c>
      <c r="I316" s="24">
        <f t="shared" si="188"/>
        <v>0.99997437072950102</v>
      </c>
      <c r="J316" s="614">
        <f>+$E$275</f>
        <v>1</v>
      </c>
      <c r="K316" s="33">
        <f>+J316</f>
        <v>1</v>
      </c>
      <c r="L316" s="24">
        <f t="shared" si="194"/>
        <v>0.99997437072950102</v>
      </c>
      <c r="M316" s="614">
        <f>+$E$275</f>
        <v>1</v>
      </c>
      <c r="N316" s="33">
        <f>+M316</f>
        <v>1</v>
      </c>
      <c r="O316" s="568" t="s">
        <v>1054</v>
      </c>
      <c r="P316" s="595"/>
      <c r="Q316" s="24">
        <f t="shared" si="189"/>
        <v>0.99997437072950102</v>
      </c>
      <c r="R316" s="614">
        <f>+$E$275</f>
        <v>1</v>
      </c>
      <c r="S316" s="33">
        <f>+R316</f>
        <v>1</v>
      </c>
      <c r="T316" s="24">
        <f t="shared" si="190"/>
        <v>0.99997437072950102</v>
      </c>
      <c r="U316" s="614">
        <f>+$E$275</f>
        <v>1</v>
      </c>
      <c r="V316" s="33">
        <f>+U316</f>
        <v>1</v>
      </c>
      <c r="W316" s="24">
        <f t="shared" si="191"/>
        <v>0.99997437072950102</v>
      </c>
      <c r="X316" s="614">
        <f>+$E$275</f>
        <v>1</v>
      </c>
      <c r="Y316" s="33">
        <f>+X316</f>
        <v>1</v>
      </c>
      <c r="Z316" s="24">
        <f t="shared" si="192"/>
        <v>0.99997437072950102</v>
      </c>
      <c r="AA316" s="614">
        <f>+$E$275</f>
        <v>1</v>
      </c>
      <c r="AB316" s="33">
        <f>+AA316</f>
        <v>1</v>
      </c>
      <c r="AC316" s="24">
        <f t="shared" si="193"/>
        <v>0.99997437072950102</v>
      </c>
      <c r="AD316" s="614">
        <f>+$E$275</f>
        <v>1</v>
      </c>
      <c r="AE316" s="33">
        <f>+AD316</f>
        <v>1</v>
      </c>
    </row>
    <row r="317" spans="1:31" ht="12.75" thickTop="1" thickBot="1" x14ac:dyDescent="0.25">
      <c r="A317" s="615" t="s">
        <v>64</v>
      </c>
      <c r="B317" s="7"/>
      <c r="C317" s="25"/>
      <c r="D317" s="616">
        <f>+D316</f>
        <v>1</v>
      </c>
      <c r="E317" s="27"/>
      <c r="F317" s="25"/>
      <c r="G317" s="616">
        <f>+G316</f>
        <v>1</v>
      </c>
      <c r="H317" s="27"/>
      <c r="I317" s="25"/>
      <c r="J317" s="616">
        <f>+J316</f>
        <v>1</v>
      </c>
      <c r="K317" s="27"/>
      <c r="L317" s="25"/>
      <c r="M317" s="616">
        <f>+M316</f>
        <v>1</v>
      </c>
      <c r="N317" s="27"/>
      <c r="O317" s="7" t="s">
        <v>64</v>
      </c>
      <c r="P317" s="7"/>
      <c r="Q317" s="25"/>
      <c r="R317" s="616">
        <f>+R316</f>
        <v>1</v>
      </c>
      <c r="S317" s="27"/>
      <c r="T317" s="25"/>
      <c r="U317" s="616">
        <f>+U316</f>
        <v>1</v>
      </c>
      <c r="V317" s="27"/>
      <c r="W317" s="25"/>
      <c r="X317" s="616">
        <f>+X316</f>
        <v>1</v>
      </c>
      <c r="Y317" s="27"/>
      <c r="Z317" s="25"/>
      <c r="AA317" s="616">
        <f>+AA316</f>
        <v>1</v>
      </c>
      <c r="AB317" s="27"/>
      <c r="AC317" s="25"/>
      <c r="AD317" s="616">
        <f>+AD316</f>
        <v>1</v>
      </c>
      <c r="AE317" s="27"/>
    </row>
    <row r="318" spans="1:31" ht="12" thickTop="1" x14ac:dyDescent="0.2">
      <c r="D318" s="617">
        <f>+D317</f>
        <v>1</v>
      </c>
      <c r="G318" s="617">
        <f>+G317</f>
        <v>1</v>
      </c>
      <c r="J318" s="617">
        <f>+J317</f>
        <v>1</v>
      </c>
      <c r="M318" s="617">
        <f>+M317</f>
        <v>1</v>
      </c>
      <c r="R318" s="617">
        <f>+R317</f>
        <v>1</v>
      </c>
      <c r="U318" s="617">
        <f>+U317</f>
        <v>1</v>
      </c>
      <c r="X318" s="617">
        <f>+X317</f>
        <v>1</v>
      </c>
      <c r="AA318" s="617">
        <f>+AA317</f>
        <v>1</v>
      </c>
      <c r="AD318" s="617">
        <f>+AD317</f>
        <v>1</v>
      </c>
    </row>
    <row r="319" spans="1:31" x14ac:dyDescent="0.2">
      <c r="D319" s="617">
        <f>+D318</f>
        <v>1</v>
      </c>
      <c r="G319" s="617">
        <f>+G318</f>
        <v>1</v>
      </c>
      <c r="J319" s="617">
        <f>+J318</f>
        <v>1</v>
      </c>
      <c r="M319" s="617">
        <f>+M318</f>
        <v>1</v>
      </c>
      <c r="R319" s="617">
        <f>+R318</f>
        <v>1</v>
      </c>
      <c r="U319" s="617">
        <f>+U318</f>
        <v>1</v>
      </c>
      <c r="X319" s="617">
        <f>+X318</f>
        <v>1</v>
      </c>
      <c r="AA319" s="617">
        <f>+AA318</f>
        <v>1</v>
      </c>
      <c r="AD319" s="617">
        <f>+AD318</f>
        <v>1</v>
      </c>
    </row>
    <row r="320" spans="1:31" x14ac:dyDescent="0.2">
      <c r="D320" s="617">
        <f>+D319</f>
        <v>1</v>
      </c>
      <c r="G320" s="617">
        <f>+G319</f>
        <v>1</v>
      </c>
      <c r="J320" s="617">
        <f>+J319</f>
        <v>1</v>
      </c>
      <c r="M320" s="617">
        <f>+M319</f>
        <v>1</v>
      </c>
      <c r="R320" s="617">
        <f>+R319</f>
        <v>1</v>
      </c>
      <c r="U320" s="617">
        <f>+U319</f>
        <v>1</v>
      </c>
      <c r="X320" s="617">
        <f>+X319</f>
        <v>1</v>
      </c>
      <c r="AA320" s="617">
        <f>+AA319</f>
        <v>1</v>
      </c>
      <c r="AD320" s="617">
        <f>+AD319</f>
        <v>1</v>
      </c>
    </row>
    <row r="321" spans="3:30" x14ac:dyDescent="0.2">
      <c r="D321" s="141"/>
      <c r="G321" s="141"/>
      <c r="J321" s="141"/>
      <c r="M321" s="141"/>
      <c r="R321" s="141"/>
      <c r="U321" s="141"/>
      <c r="X321" s="141"/>
      <c r="AA321" s="141"/>
      <c r="AD321" s="141"/>
    </row>
    <row r="322" spans="3:30" x14ac:dyDescent="0.2">
      <c r="D322" s="141"/>
      <c r="G322" s="141"/>
      <c r="J322" s="141"/>
      <c r="M322" s="141"/>
      <c r="R322" s="141"/>
      <c r="U322" s="141"/>
      <c r="X322" s="141"/>
      <c r="AA322" s="141"/>
      <c r="AD322" s="141"/>
    </row>
    <row r="323" spans="3:30" x14ac:dyDescent="0.2">
      <c r="D323" s="141"/>
      <c r="G323" s="141"/>
      <c r="J323" s="141"/>
      <c r="M323" s="141"/>
      <c r="R323" s="141"/>
      <c r="U323" s="141"/>
      <c r="X323" s="141"/>
      <c r="AA323" s="141"/>
      <c r="AD323" s="141"/>
    </row>
    <row r="324" spans="3:30" x14ac:dyDescent="0.2">
      <c r="D324" s="141"/>
      <c r="G324" s="141"/>
      <c r="J324" s="141"/>
      <c r="M324" s="141"/>
      <c r="R324" s="141"/>
      <c r="U324" s="141"/>
      <c r="X324" s="141"/>
      <c r="AA324" s="141"/>
      <c r="AD324" s="141"/>
    </row>
    <row r="325" spans="3:30" x14ac:dyDescent="0.2">
      <c r="D325" s="141"/>
      <c r="G325" s="141"/>
      <c r="J325" s="141"/>
      <c r="M325" s="141"/>
      <c r="R325" s="141"/>
      <c r="U325" s="141"/>
      <c r="X325" s="141"/>
      <c r="AA325" s="141"/>
      <c r="AD325" s="141"/>
    </row>
    <row r="328" spans="3:30" x14ac:dyDescent="0.2">
      <c r="C328" s="1" t="s">
        <v>76</v>
      </c>
      <c r="G328" s="29" t="s">
        <v>69</v>
      </c>
      <c r="I328" t="s">
        <v>485</v>
      </c>
      <c r="Q328" t="s">
        <v>485</v>
      </c>
    </row>
    <row r="329" spans="3:30" x14ac:dyDescent="0.2">
      <c r="D329" s="30" t="s">
        <v>70</v>
      </c>
      <c r="E329" s="30"/>
      <c r="F329" s="30">
        <v>-5</v>
      </c>
      <c r="G329" s="31">
        <f t="shared" ref="G329:G339" si="206">+CP5</f>
        <v>0</v>
      </c>
    </row>
    <row r="330" spans="3:30" x14ac:dyDescent="0.2">
      <c r="D330" s="30" t="s">
        <v>71</v>
      </c>
      <c r="E330" s="30"/>
      <c r="F330" s="30">
        <f t="shared" ref="F330:F339" si="207">1+F329</f>
        <v>-4</v>
      </c>
      <c r="G330" s="31">
        <f t="shared" si="206"/>
        <v>0</v>
      </c>
    </row>
    <row r="331" spans="3:30" x14ac:dyDescent="0.2">
      <c r="D331" s="30" t="s">
        <v>72</v>
      </c>
      <c r="E331" s="30"/>
      <c r="F331" s="30">
        <f t="shared" si="207"/>
        <v>-3</v>
      </c>
      <c r="G331" s="31">
        <f t="shared" si="206"/>
        <v>0</v>
      </c>
    </row>
    <row r="332" spans="3:30" x14ac:dyDescent="0.2">
      <c r="D332" s="30" t="s">
        <v>73</v>
      </c>
      <c r="E332" s="30"/>
      <c r="F332" s="30">
        <f t="shared" si="207"/>
        <v>-2</v>
      </c>
      <c r="G332" s="31">
        <f t="shared" si="206"/>
        <v>0</v>
      </c>
    </row>
    <row r="333" spans="3:30" x14ac:dyDescent="0.2">
      <c r="D333" s="30" t="s">
        <v>74</v>
      </c>
      <c r="E333" s="30"/>
      <c r="F333" s="30">
        <f t="shared" si="207"/>
        <v>-1</v>
      </c>
      <c r="G333" s="31">
        <f t="shared" si="206"/>
        <v>0</v>
      </c>
    </row>
    <row r="334" spans="3:30" x14ac:dyDescent="0.2">
      <c r="D334" s="170" t="s">
        <v>418</v>
      </c>
      <c r="E334" s="30"/>
      <c r="F334" s="30">
        <f t="shared" si="207"/>
        <v>0</v>
      </c>
      <c r="G334" s="31">
        <f t="shared" si="206"/>
        <v>1</v>
      </c>
    </row>
    <row r="335" spans="3:30" x14ac:dyDescent="0.2">
      <c r="D335" s="32" t="s">
        <v>75</v>
      </c>
      <c r="E335" s="30"/>
      <c r="F335" s="30">
        <f t="shared" si="207"/>
        <v>1</v>
      </c>
      <c r="G335" s="31">
        <f t="shared" si="206"/>
        <v>0</v>
      </c>
    </row>
    <row r="336" spans="3:30" x14ac:dyDescent="0.2">
      <c r="D336" s="170" t="s">
        <v>419</v>
      </c>
      <c r="E336" s="30"/>
      <c r="F336" s="30">
        <f t="shared" si="207"/>
        <v>2</v>
      </c>
      <c r="G336" s="31">
        <f t="shared" si="206"/>
        <v>0</v>
      </c>
    </row>
    <row r="337" spans="1:31" x14ac:dyDescent="0.2">
      <c r="D337" s="170" t="s">
        <v>420</v>
      </c>
      <c r="E337" s="30"/>
      <c r="F337" s="30">
        <f t="shared" si="207"/>
        <v>3</v>
      </c>
      <c r="G337" s="31">
        <f t="shared" si="206"/>
        <v>0</v>
      </c>
    </row>
    <row r="338" spans="1:31" x14ac:dyDescent="0.2">
      <c r="D338" s="170" t="s">
        <v>421</v>
      </c>
      <c r="E338" s="30"/>
      <c r="F338" s="30">
        <f t="shared" si="207"/>
        <v>4</v>
      </c>
      <c r="G338" s="31">
        <f t="shared" si="206"/>
        <v>0</v>
      </c>
    </row>
    <row r="339" spans="1:31" x14ac:dyDescent="0.2">
      <c r="D339" s="170" t="s">
        <v>422</v>
      </c>
      <c r="E339" s="30"/>
      <c r="F339" s="30">
        <f t="shared" si="207"/>
        <v>5</v>
      </c>
      <c r="G339" s="31">
        <f t="shared" si="206"/>
        <v>0</v>
      </c>
    </row>
    <row r="340" spans="1:31" x14ac:dyDescent="0.2">
      <c r="A340" s="3" t="str">
        <f>+$C$1</f>
        <v>Allied Pacific (APC Commerical)</v>
      </c>
      <c r="G340" s="354"/>
      <c r="N340" s="208" t="s">
        <v>1056</v>
      </c>
      <c r="O340" s="3" t="str">
        <f>+$C$1</f>
        <v>Allied Pacific (APC Commerical)</v>
      </c>
      <c r="AB340" s="208" t="s">
        <v>1057</v>
      </c>
    </row>
    <row r="341" spans="1:31" x14ac:dyDescent="0.2">
      <c r="A341" s="1" t="s">
        <v>739</v>
      </c>
      <c r="O341" s="1" t="s">
        <v>739</v>
      </c>
    </row>
    <row r="342" spans="1:31" x14ac:dyDescent="0.2">
      <c r="A342" s="1"/>
      <c r="O342" s="1"/>
    </row>
    <row r="343" spans="1:31" x14ac:dyDescent="0.2">
      <c r="C343" s="16" t="s">
        <v>64</v>
      </c>
      <c r="D343" s="16"/>
      <c r="E343" s="14">
        <f>Final!$M$4</f>
        <v>1</v>
      </c>
      <c r="Q343" s="16" t="s">
        <v>64</v>
      </c>
      <c r="R343" s="16"/>
      <c r="S343" s="14">
        <f>Final!$M$4</f>
        <v>1</v>
      </c>
    </row>
    <row r="344" spans="1:31" x14ac:dyDescent="0.2">
      <c r="C344" s="16" t="s">
        <v>67</v>
      </c>
      <c r="D344" s="16"/>
      <c r="E344" s="14">
        <f>Final!$M$5</f>
        <v>0</v>
      </c>
      <c r="Q344" s="16" t="s">
        <v>67</v>
      </c>
      <c r="R344" s="16"/>
      <c r="S344" s="14">
        <f>Final!$M$5</f>
        <v>0</v>
      </c>
    </row>
    <row r="345" spans="1:31" x14ac:dyDescent="0.2">
      <c r="C345" s="28" t="s">
        <v>68</v>
      </c>
      <c r="Q345" s="28" t="s">
        <v>68</v>
      </c>
    </row>
    <row r="346" spans="1:31" ht="12" thickBot="1" x14ac:dyDescent="0.25"/>
    <row r="347" spans="1:31" ht="12" thickTop="1" x14ac:dyDescent="0.2">
      <c r="C347" s="19"/>
      <c r="D347" s="20" t="s">
        <v>53</v>
      </c>
      <c r="E347" s="21"/>
      <c r="F347" s="19"/>
      <c r="G347" s="20" t="s">
        <v>52</v>
      </c>
      <c r="H347" s="21"/>
      <c r="I347" s="19"/>
      <c r="J347" s="20" t="s">
        <v>51</v>
      </c>
      <c r="K347" s="21"/>
      <c r="L347" s="19"/>
      <c r="M347" s="20" t="s">
        <v>50</v>
      </c>
      <c r="N347" s="21"/>
      <c r="Q347" s="19"/>
      <c r="R347" s="360" t="s">
        <v>736</v>
      </c>
      <c r="S347" s="21"/>
      <c r="T347" s="19"/>
      <c r="U347" s="20" t="s">
        <v>66</v>
      </c>
      <c r="V347" s="21"/>
      <c r="W347" s="19"/>
      <c r="X347" s="20" t="s">
        <v>54</v>
      </c>
      <c r="Y347" s="21"/>
      <c r="Z347" s="19"/>
      <c r="AA347" s="20" t="s">
        <v>55</v>
      </c>
      <c r="AB347" s="21"/>
      <c r="AC347" s="19"/>
      <c r="AD347" s="20" t="s">
        <v>56</v>
      </c>
      <c r="AE347" s="21"/>
    </row>
    <row r="348" spans="1:31" x14ac:dyDescent="0.2">
      <c r="C348" s="22" t="s">
        <v>62</v>
      </c>
      <c r="D348" s="8" t="s">
        <v>63</v>
      </c>
      <c r="E348" s="23" t="s">
        <v>65</v>
      </c>
      <c r="F348" s="22" t="s">
        <v>62</v>
      </c>
      <c r="G348" s="8" t="s">
        <v>63</v>
      </c>
      <c r="H348" s="23" t="s">
        <v>65</v>
      </c>
      <c r="I348" s="22" t="s">
        <v>62</v>
      </c>
      <c r="J348" s="8" t="s">
        <v>63</v>
      </c>
      <c r="K348" s="23" t="s">
        <v>65</v>
      </c>
      <c r="L348" s="22" t="s">
        <v>62</v>
      </c>
      <c r="M348" s="8" t="s">
        <v>63</v>
      </c>
      <c r="N348" s="23" t="s">
        <v>65</v>
      </c>
      <c r="Q348" s="22" t="s">
        <v>62</v>
      </c>
      <c r="R348" s="8" t="s">
        <v>63</v>
      </c>
      <c r="S348" s="23" t="s">
        <v>65</v>
      </c>
      <c r="T348" s="22" t="s">
        <v>62</v>
      </c>
      <c r="U348" s="8" t="s">
        <v>63</v>
      </c>
      <c r="V348" s="23" t="s">
        <v>65</v>
      </c>
      <c r="W348" s="22" t="s">
        <v>62</v>
      </c>
      <c r="X348" s="8" t="s">
        <v>63</v>
      </c>
      <c r="Y348" s="23" t="s">
        <v>65</v>
      </c>
      <c r="Z348" s="22" t="s">
        <v>62</v>
      </c>
      <c r="AA348" s="8" t="s">
        <v>63</v>
      </c>
      <c r="AB348" s="23" t="s">
        <v>65</v>
      </c>
      <c r="AC348" s="22" t="s">
        <v>62</v>
      </c>
      <c r="AD348" s="8" t="s">
        <v>63</v>
      </c>
      <c r="AE348" s="23" t="s">
        <v>65</v>
      </c>
    </row>
    <row r="349" spans="1:31" x14ac:dyDescent="0.2">
      <c r="A349" s="252" t="s">
        <v>978</v>
      </c>
      <c r="B349" s="7"/>
      <c r="C349" s="24"/>
      <c r="D349" s="601">
        <f t="shared" ref="D349:D382" si="208">C350*D350</f>
        <v>0.22267961147516943</v>
      </c>
      <c r="E349" s="33">
        <f t="shared" ref="E349:E379" si="209">MIN(SUMPRODUCT(D344:D354,$G$329:$G$339),$E$275)</f>
        <v>0.22267961147516943</v>
      </c>
      <c r="F349" s="24"/>
      <c r="G349" s="601">
        <f t="shared" ref="G349:G382" si="210">F350*G350</f>
        <v>0.21553914296864221</v>
      </c>
      <c r="H349" s="33">
        <f t="shared" ref="H349:H379" si="211">MIN(SUMPRODUCT(G344:G354,$G$329:$G$339),$E$275)</f>
        <v>0.21553914296864221</v>
      </c>
      <c r="I349" s="24"/>
      <c r="J349" s="601">
        <f t="shared" ref="J349:J382" si="212">I350*J350</f>
        <v>0.23261241776060959</v>
      </c>
      <c r="K349" s="33">
        <f t="shared" ref="K349:K379" si="213">MIN(SUMPRODUCT(J344:J354,$G$329:$G$339),$E$275)</f>
        <v>0.23261241776060959</v>
      </c>
      <c r="L349" s="24"/>
      <c r="M349" s="601">
        <f t="shared" ref="M349:M382" si="214">L350*M350</f>
        <v>0.21250753586641688</v>
      </c>
      <c r="N349" s="33">
        <f t="shared" ref="N349:N379" si="215">MIN(SUMPRODUCT(M344:M354,$G$329:$G$339),$E$275)</f>
        <v>0.21250753586641688</v>
      </c>
      <c r="O349" s="252" t="s">
        <v>978</v>
      </c>
      <c r="P349" s="7"/>
      <c r="Q349" s="24"/>
      <c r="R349" s="601">
        <f t="shared" ref="R349:R382" si="216">Q350*R350</f>
        <v>0.21996961268782739</v>
      </c>
      <c r="S349" s="33">
        <f t="shared" ref="S349:S379" si="217">MIN(SUMPRODUCT(R344:R354,$G$329:$G$339),$E$275)</f>
        <v>0.21996961268782739</v>
      </c>
      <c r="T349" s="24"/>
      <c r="U349" s="601">
        <f t="shared" ref="U349:U382" si="218">T350*U350</f>
        <v>0.22629229444231427</v>
      </c>
      <c r="V349" s="33">
        <f t="shared" ref="V349:V379" si="219">MIN(SUMPRODUCT(U344:U354,$G$329:$G$339),$E$275)</f>
        <v>0.22629229444231427</v>
      </c>
      <c r="W349" s="24"/>
      <c r="X349" s="601">
        <f t="shared" ref="X349:X382" si="220">W350*X350</f>
        <v>0.20831702578916034</v>
      </c>
      <c r="Y349" s="33">
        <f t="shared" ref="Y349:Y379" si="221">MIN(SUMPRODUCT(X344:X354,$G$329:$G$339),$E$275)</f>
        <v>0.20831702578916034</v>
      </c>
      <c r="Z349" s="24"/>
      <c r="AA349" s="601">
        <f t="shared" ref="AA349:AA382" si="222">Z350*AA350</f>
        <v>0.21564737845886731</v>
      </c>
      <c r="AB349" s="33">
        <f t="shared" ref="AB349:AB379" si="223">MIN(SUMPRODUCT(AA344:AA354,$G$329:$G$339),$E$275)</f>
        <v>0.21564737845886731</v>
      </c>
      <c r="AC349" s="24"/>
      <c r="AD349" s="601">
        <f t="shared" ref="AD349:AD382" si="224">AC350*AD350</f>
        <v>0.28609376262931352</v>
      </c>
      <c r="AE349" s="33">
        <f t="shared" ref="AE349:AE379" si="225">MIN(SUMPRODUCT(AD344:AD354,$G$329:$G$339),$E$275)</f>
        <v>0.28609376262931352</v>
      </c>
    </row>
    <row r="350" spans="1:31" x14ac:dyDescent="0.2">
      <c r="A350" s="252" t="s">
        <v>979</v>
      </c>
      <c r="B350" s="7"/>
      <c r="C350" s="214">
        <v>0.30383562296472494</v>
      </c>
      <c r="D350" s="601">
        <f t="shared" si="208"/>
        <v>0.73289500849945544</v>
      </c>
      <c r="E350" s="33">
        <f t="shared" si="209"/>
        <v>0.73289500849945544</v>
      </c>
      <c r="F350" s="214">
        <v>0.29435553432466804</v>
      </c>
      <c r="G350" s="601">
        <f t="shared" si="210"/>
        <v>0.73224083747277879</v>
      </c>
      <c r="H350" s="33">
        <f t="shared" si="211"/>
        <v>0.73224083747277879</v>
      </c>
      <c r="I350" s="214">
        <v>0.31353367702788476</v>
      </c>
      <c r="J350" s="601">
        <f t="shared" si="212"/>
        <v>0.74190568606740681</v>
      </c>
      <c r="K350" s="33">
        <f t="shared" si="213"/>
        <v>0.74190568606740681</v>
      </c>
      <c r="L350" s="214">
        <v>0.32189972112070786</v>
      </c>
      <c r="M350" s="601">
        <f t="shared" si="214"/>
        <v>0.66016688404252932</v>
      </c>
      <c r="N350" s="33">
        <f t="shared" si="215"/>
        <v>0.66016688404252932</v>
      </c>
      <c r="O350" s="252" t="s">
        <v>979</v>
      </c>
      <c r="P350" s="7"/>
      <c r="Q350" s="214">
        <v>0.30030913412702576</v>
      </c>
      <c r="R350" s="601">
        <f t="shared" si="216"/>
        <v>0.7324772632283103</v>
      </c>
      <c r="S350" s="33">
        <f t="shared" si="217"/>
        <v>0.7324772632283103</v>
      </c>
      <c r="T350" s="214">
        <v>0.30538631306124442</v>
      </c>
      <c r="U350" s="601">
        <f t="shared" si="218"/>
        <v>0.74100339394363079</v>
      </c>
      <c r="V350" s="33">
        <f t="shared" si="219"/>
        <v>0.74100339394363079</v>
      </c>
      <c r="W350" s="214">
        <v>0.28487544568461115</v>
      </c>
      <c r="X350" s="601">
        <f t="shared" si="220"/>
        <v>0.73125651559239857</v>
      </c>
      <c r="Y350" s="33">
        <f t="shared" si="221"/>
        <v>0.73125651559239857</v>
      </c>
      <c r="Z350" s="214">
        <v>0.30154282070815525</v>
      </c>
      <c r="AA350" s="601">
        <f t="shared" si="222"/>
        <v>0.7151467839706227</v>
      </c>
      <c r="AB350" s="33">
        <f t="shared" si="223"/>
        <v>0.7151467839706227</v>
      </c>
      <c r="AC350" s="214">
        <v>0.36388081875404771</v>
      </c>
      <c r="AD350" s="601">
        <f t="shared" si="224"/>
        <v>0.78622930334420404</v>
      </c>
      <c r="AE350" s="33">
        <f t="shared" si="225"/>
        <v>0.78622930334420404</v>
      </c>
    </row>
    <row r="351" spans="1:31" x14ac:dyDescent="0.2">
      <c r="A351" s="568" t="s">
        <v>980</v>
      </c>
      <c r="B351" s="7"/>
      <c r="C351" s="214">
        <v>0.83369368244918984</v>
      </c>
      <c r="D351" s="601">
        <f t="shared" si="208"/>
        <v>0.87909387335932265</v>
      </c>
      <c r="E351" s="33">
        <f t="shared" si="209"/>
        <v>0.87909387335932265</v>
      </c>
      <c r="F351" s="214">
        <v>0.83771226140957733</v>
      </c>
      <c r="G351" s="601">
        <f t="shared" si="210"/>
        <v>0.8740958813718126</v>
      </c>
      <c r="H351" s="33">
        <f t="shared" si="211"/>
        <v>0.8740958813718126</v>
      </c>
      <c r="I351" s="214">
        <v>0.84480025372641288</v>
      </c>
      <c r="J351" s="601">
        <f t="shared" si="212"/>
        <v>0.87820248963569991</v>
      </c>
      <c r="K351" s="33">
        <f t="shared" si="213"/>
        <v>0.87820248963569991</v>
      </c>
      <c r="L351" s="214">
        <v>0.81920646238870376</v>
      </c>
      <c r="M351" s="601">
        <f t="shared" si="214"/>
        <v>0.80586142120701187</v>
      </c>
      <c r="N351" s="33">
        <f t="shared" si="215"/>
        <v>0.80586142120701187</v>
      </c>
      <c r="O351" s="568" t="s">
        <v>980</v>
      </c>
      <c r="P351" s="7"/>
      <c r="Q351" s="214">
        <v>0.8355932331260052</v>
      </c>
      <c r="R351" s="601">
        <f t="shared" si="216"/>
        <v>0.87659549430297357</v>
      </c>
      <c r="S351" s="33">
        <f t="shared" si="217"/>
        <v>0.87659549430297357</v>
      </c>
      <c r="T351" s="214">
        <v>0.84046212451125046</v>
      </c>
      <c r="U351" s="601">
        <f t="shared" si="218"/>
        <v>0.88166185284618581</v>
      </c>
      <c r="V351" s="33">
        <f t="shared" si="219"/>
        <v>0.88166185284618581</v>
      </c>
      <c r="W351" s="214">
        <v>0.84173084036996448</v>
      </c>
      <c r="X351" s="601">
        <f t="shared" si="220"/>
        <v>0.86875338352933662</v>
      </c>
      <c r="Y351" s="33">
        <f t="shared" si="221"/>
        <v>0.86875338352933662</v>
      </c>
      <c r="Z351" s="214">
        <v>0.82686949101772311</v>
      </c>
      <c r="AA351" s="601">
        <f t="shared" si="222"/>
        <v>0.86488471486644103</v>
      </c>
      <c r="AB351" s="33">
        <f t="shared" si="223"/>
        <v>0.86488471486644103</v>
      </c>
      <c r="AC351" s="214">
        <v>0.87690700106877317</v>
      </c>
      <c r="AD351" s="601">
        <f t="shared" si="224"/>
        <v>0.89659371220203365</v>
      </c>
      <c r="AE351" s="33">
        <f t="shared" si="225"/>
        <v>0.89659371220203365</v>
      </c>
    </row>
    <row r="352" spans="1:31" x14ac:dyDescent="0.2">
      <c r="A352" s="568" t="s">
        <v>981</v>
      </c>
      <c r="B352" s="7"/>
      <c r="C352" s="214">
        <v>0.94138329878488303</v>
      </c>
      <c r="D352" s="601">
        <f t="shared" si="208"/>
        <v>0.93383202622570194</v>
      </c>
      <c r="E352" s="33">
        <f t="shared" si="209"/>
        <v>0.93383202622570194</v>
      </c>
      <c r="F352" s="214">
        <v>0.94153203423525689</v>
      </c>
      <c r="G352" s="601">
        <f t="shared" si="210"/>
        <v>0.92837614609871655</v>
      </c>
      <c r="H352" s="33">
        <f t="shared" si="211"/>
        <v>0.92837614609871655</v>
      </c>
      <c r="I352" s="214">
        <v>0.94675793869280378</v>
      </c>
      <c r="J352" s="601">
        <f t="shared" si="212"/>
        <v>0.92758925354060517</v>
      </c>
      <c r="K352" s="33">
        <f t="shared" si="213"/>
        <v>0.92758925354060517</v>
      </c>
      <c r="L352" s="214">
        <v>0.92345069804406932</v>
      </c>
      <c r="M352" s="601">
        <f t="shared" si="214"/>
        <v>0.87266317835254292</v>
      </c>
      <c r="N352" s="33">
        <f t="shared" si="215"/>
        <v>0.87266317835254292</v>
      </c>
      <c r="O352" s="568" t="s">
        <v>981</v>
      </c>
      <c r="P352" s="7"/>
      <c r="Q352" s="214">
        <v>0.94082368217310453</v>
      </c>
      <c r="R352" s="601">
        <f t="shared" si="216"/>
        <v>0.93173196095385546</v>
      </c>
      <c r="S352" s="33">
        <f t="shared" si="217"/>
        <v>0.93173196095385546</v>
      </c>
      <c r="T352" s="214">
        <v>0.9468876834223714</v>
      </c>
      <c r="U352" s="601">
        <f t="shared" si="218"/>
        <v>0.93111555708440785</v>
      </c>
      <c r="V352" s="33">
        <f t="shared" si="219"/>
        <v>0.93111555708440785</v>
      </c>
      <c r="W352" s="214">
        <v>0.94168076968563097</v>
      </c>
      <c r="X352" s="601">
        <f t="shared" si="220"/>
        <v>0.92255614800263974</v>
      </c>
      <c r="Y352" s="33">
        <f t="shared" si="221"/>
        <v>0.92255614800263974</v>
      </c>
      <c r="Z352" s="214">
        <v>0.94608748749681848</v>
      </c>
      <c r="AA352" s="601">
        <f t="shared" si="222"/>
        <v>0.91416991165877726</v>
      </c>
      <c r="AB352" s="33">
        <f t="shared" si="223"/>
        <v>0.91416991165877726</v>
      </c>
      <c r="AC352" s="214">
        <v>0.95788019880388309</v>
      </c>
      <c r="AD352" s="601">
        <f t="shared" si="224"/>
        <v>0.93601863084926629</v>
      </c>
      <c r="AE352" s="33">
        <f t="shared" si="225"/>
        <v>0.93601863084926629</v>
      </c>
    </row>
    <row r="353" spans="1:31" x14ac:dyDescent="0.2">
      <c r="A353" s="568" t="s">
        <v>982</v>
      </c>
      <c r="B353" s="7"/>
      <c r="C353" s="214">
        <v>0.97930257141469246</v>
      </c>
      <c r="D353" s="601">
        <f t="shared" si="208"/>
        <v>0.95356844093311821</v>
      </c>
      <c r="E353" s="33">
        <f t="shared" si="209"/>
        <v>0.95356844093311821</v>
      </c>
      <c r="F353" s="214">
        <v>0.979529108696228</v>
      </c>
      <c r="G353" s="601">
        <f t="shared" si="210"/>
        <v>0.94777800665301615</v>
      </c>
      <c r="H353" s="33">
        <f t="shared" si="211"/>
        <v>0.94777800665301615</v>
      </c>
      <c r="I353" s="214">
        <v>0.9813185004295365</v>
      </c>
      <c r="J353" s="601">
        <f t="shared" si="212"/>
        <v>0.94524790181229301</v>
      </c>
      <c r="K353" s="33">
        <f t="shared" si="213"/>
        <v>0.94524790181229301</v>
      </c>
      <c r="L353" s="214">
        <v>0.96302123715541776</v>
      </c>
      <c r="M353" s="601">
        <f t="shared" si="214"/>
        <v>0.9061723092734949</v>
      </c>
      <c r="N353" s="33">
        <f t="shared" si="215"/>
        <v>0.9061723092734949</v>
      </c>
      <c r="O353" s="568" t="s">
        <v>982</v>
      </c>
      <c r="P353" s="7"/>
      <c r="Q353" s="214">
        <v>0.98040254376341951</v>
      </c>
      <c r="R353" s="601">
        <f t="shared" si="216"/>
        <v>0.95035653148885679</v>
      </c>
      <c r="S353" s="33">
        <f t="shared" si="217"/>
        <v>0.95035653148885679</v>
      </c>
      <c r="T353" s="214">
        <v>0.98160806669050127</v>
      </c>
      <c r="U353" s="601">
        <f t="shared" si="218"/>
        <v>0.94856143575069707</v>
      </c>
      <c r="V353" s="33">
        <f t="shared" si="219"/>
        <v>0.94856143575069707</v>
      </c>
      <c r="W353" s="214">
        <v>0.97975564597776355</v>
      </c>
      <c r="X353" s="601">
        <f t="shared" si="220"/>
        <v>0.94161860846635836</v>
      </c>
      <c r="Y353" s="33">
        <f t="shared" si="221"/>
        <v>0.94161860846635836</v>
      </c>
      <c r="Z353" s="214">
        <v>0.98118299470304449</v>
      </c>
      <c r="AA353" s="601">
        <f t="shared" si="222"/>
        <v>0.93170174839348008</v>
      </c>
      <c r="AB353" s="33">
        <f t="shared" si="223"/>
        <v>0.93170174839348008</v>
      </c>
      <c r="AC353" s="24">
        <v>0.98503278962264529</v>
      </c>
      <c r="AD353" s="601">
        <f t="shared" si="224"/>
        <v>0.95024108913962568</v>
      </c>
      <c r="AE353" s="33">
        <f t="shared" si="225"/>
        <v>0.95024108913962568</v>
      </c>
    </row>
    <row r="354" spans="1:31" x14ac:dyDescent="0.2">
      <c r="A354" s="568" t="s">
        <v>983</v>
      </c>
      <c r="B354" s="7"/>
      <c r="C354" s="24">
        <v>0.99079489335746374</v>
      </c>
      <c r="D354" s="601">
        <f t="shared" si="208"/>
        <v>0.96242769045952803</v>
      </c>
      <c r="E354" s="33">
        <f t="shared" si="209"/>
        <v>0.96242769045952803</v>
      </c>
      <c r="F354" s="24">
        <v>0.9905138937920871</v>
      </c>
      <c r="G354" s="601">
        <f t="shared" si="210"/>
        <v>0.95685483322655807</v>
      </c>
      <c r="H354" s="33">
        <f t="shared" si="211"/>
        <v>0.95685483322655807</v>
      </c>
      <c r="I354" s="24">
        <v>0.99038402675649151</v>
      </c>
      <c r="J354" s="601">
        <f t="shared" si="212"/>
        <v>0.95442563316371398</v>
      </c>
      <c r="K354" s="33">
        <f t="shared" si="213"/>
        <v>0.95442563316371398</v>
      </c>
      <c r="L354" s="24">
        <v>0.97654525560149064</v>
      </c>
      <c r="M354" s="601">
        <f t="shared" si="214"/>
        <v>0.92793683044965447</v>
      </c>
      <c r="N354" s="33">
        <f t="shared" si="215"/>
        <v>0.92793683044965447</v>
      </c>
      <c r="O354" s="568" t="s">
        <v>983</v>
      </c>
      <c r="P354" s="7"/>
      <c r="Q354" s="24">
        <v>0.99029499529858367</v>
      </c>
      <c r="R354" s="601">
        <f t="shared" si="216"/>
        <v>0.95967013465751683</v>
      </c>
      <c r="S354" s="33">
        <f t="shared" si="217"/>
        <v>0.95967013465751683</v>
      </c>
      <c r="T354" s="24">
        <v>0.99034523817315434</v>
      </c>
      <c r="U354" s="601">
        <f t="shared" si="218"/>
        <v>0.95780885209330235</v>
      </c>
      <c r="V354" s="33">
        <f t="shared" si="219"/>
        <v>0.95780885209330235</v>
      </c>
      <c r="W354" s="24">
        <v>0.99023289422671057</v>
      </c>
      <c r="X354" s="601">
        <f t="shared" si="220"/>
        <v>0.95090620999990516</v>
      </c>
      <c r="Y354" s="33">
        <f t="shared" si="221"/>
        <v>0.95090620999990516</v>
      </c>
      <c r="Z354" s="24">
        <v>0.98786384874431254</v>
      </c>
      <c r="AA354" s="601">
        <f t="shared" si="222"/>
        <v>0.9431479343816247</v>
      </c>
      <c r="AB354" s="33">
        <f t="shared" si="223"/>
        <v>0.9431479343816247</v>
      </c>
      <c r="AC354" s="24">
        <v>0.99247071351817862</v>
      </c>
      <c r="AD354" s="601">
        <f t="shared" si="224"/>
        <v>0.9574500045156451</v>
      </c>
      <c r="AE354" s="33">
        <f t="shared" si="225"/>
        <v>0.9574500045156451</v>
      </c>
    </row>
    <row r="355" spans="1:31" x14ac:dyDescent="0.2">
      <c r="A355" s="568" t="s">
        <v>984</v>
      </c>
      <c r="B355" s="7"/>
      <c r="C355" s="24">
        <v>0.99291369948895547</v>
      </c>
      <c r="D355" s="601">
        <f t="shared" si="208"/>
        <v>0.96929641614863571</v>
      </c>
      <c r="E355" s="33">
        <f t="shared" si="209"/>
        <v>0.96929641614863571</v>
      </c>
      <c r="F355" s="24">
        <v>0.99243767906033364</v>
      </c>
      <c r="G355" s="601">
        <f t="shared" si="210"/>
        <v>0.9641460148233526</v>
      </c>
      <c r="H355" s="33">
        <f t="shared" si="211"/>
        <v>0.9641460148233526</v>
      </c>
      <c r="I355" s="24">
        <v>0.99143869144858432</v>
      </c>
      <c r="J355" s="601">
        <f t="shared" si="212"/>
        <v>0.96266732516683329</v>
      </c>
      <c r="K355" s="33">
        <f t="shared" si="213"/>
        <v>0.96266732516683329</v>
      </c>
      <c r="L355" s="24">
        <v>0.98405081867823485</v>
      </c>
      <c r="M355" s="601">
        <f t="shared" si="214"/>
        <v>0.9429765341753874</v>
      </c>
      <c r="N355" s="33">
        <f t="shared" si="215"/>
        <v>0.9429765341753874</v>
      </c>
      <c r="O355" s="568" t="s">
        <v>984</v>
      </c>
      <c r="P355" s="7"/>
      <c r="Q355" s="24">
        <v>0.99262920361182072</v>
      </c>
      <c r="R355" s="601">
        <f t="shared" si="216"/>
        <v>0.96679619254160798</v>
      </c>
      <c r="S355" s="33">
        <f t="shared" si="217"/>
        <v>0.96679619254160798</v>
      </c>
      <c r="T355" s="24">
        <v>0.99164947170119144</v>
      </c>
      <c r="U355" s="601">
        <f t="shared" si="218"/>
        <v>0.96587441371815086</v>
      </c>
      <c r="V355" s="33">
        <f t="shared" si="219"/>
        <v>0.96587441371815086</v>
      </c>
      <c r="W355" s="24">
        <v>0.99180478261450455</v>
      </c>
      <c r="X355" s="601">
        <f t="shared" si="220"/>
        <v>0.95876348518224896</v>
      </c>
      <c r="Y355" s="33">
        <f t="shared" si="221"/>
        <v>0.95876348518224896</v>
      </c>
      <c r="Z355" s="24">
        <v>0.98790146212388308</v>
      </c>
      <c r="AA355" s="601">
        <f t="shared" si="222"/>
        <v>0.95469838900122383</v>
      </c>
      <c r="AB355" s="33">
        <f t="shared" si="223"/>
        <v>0.95469838900122383</v>
      </c>
      <c r="AC355" s="24">
        <v>0.99258654825790849</v>
      </c>
      <c r="AD355" s="601">
        <f t="shared" si="224"/>
        <v>0.96460102768475797</v>
      </c>
      <c r="AE355" s="33">
        <f t="shared" si="225"/>
        <v>0.96460102768475797</v>
      </c>
    </row>
    <row r="356" spans="1:31" x14ac:dyDescent="0.2">
      <c r="A356" s="568" t="s">
        <v>985</v>
      </c>
      <c r="B356" s="7"/>
      <c r="C356" s="24">
        <v>0.99307057550616273</v>
      </c>
      <c r="D356" s="601">
        <f t="shared" si="208"/>
        <v>0.97605994987273748</v>
      </c>
      <c r="E356" s="33">
        <f t="shared" si="209"/>
        <v>0.97605994987273748</v>
      </c>
      <c r="F356" s="24">
        <v>0.99260674920377612</v>
      </c>
      <c r="G356" s="601">
        <f t="shared" si="210"/>
        <v>0.9713272810171264</v>
      </c>
      <c r="H356" s="33">
        <f t="shared" si="211"/>
        <v>0.9713272810171264</v>
      </c>
      <c r="I356" s="24">
        <v>0.99269230840365408</v>
      </c>
      <c r="J356" s="601">
        <f t="shared" si="212"/>
        <v>0.96975398823719716</v>
      </c>
      <c r="K356" s="33">
        <f t="shared" si="213"/>
        <v>0.96975398823719716</v>
      </c>
      <c r="L356" s="24">
        <v>0.98760211194331282</v>
      </c>
      <c r="M356" s="601">
        <f t="shared" si="214"/>
        <v>0.95481421391443233</v>
      </c>
      <c r="N356" s="33">
        <f t="shared" si="215"/>
        <v>0.95481421391443233</v>
      </c>
      <c r="O356" s="568" t="s">
        <v>985</v>
      </c>
      <c r="P356" s="7"/>
      <c r="Q356" s="24">
        <v>0.99294084870165078</v>
      </c>
      <c r="R356" s="601">
        <f t="shared" si="216"/>
        <v>0.97366947266372517</v>
      </c>
      <c r="S356" s="33">
        <f t="shared" si="217"/>
        <v>0.97366947266372517</v>
      </c>
      <c r="T356" s="24">
        <v>0.99294450212884511</v>
      </c>
      <c r="U356" s="601">
        <f t="shared" si="218"/>
        <v>0.97273756151259538</v>
      </c>
      <c r="V356" s="33">
        <f t="shared" si="219"/>
        <v>0.97273756151259538</v>
      </c>
      <c r="W356" s="24">
        <v>0.99224747191910523</v>
      </c>
      <c r="X356" s="601">
        <f t="shared" si="220"/>
        <v>0.96625439954803316</v>
      </c>
      <c r="Y356" s="33">
        <f t="shared" si="221"/>
        <v>0.96625439954803316</v>
      </c>
      <c r="Z356" s="24">
        <v>0.99162244558852664</v>
      </c>
      <c r="AA356" s="601">
        <f t="shared" si="222"/>
        <v>0.96276399676956848</v>
      </c>
      <c r="AB356" s="33">
        <f t="shared" si="223"/>
        <v>0.96276399676956848</v>
      </c>
      <c r="AC356" s="24">
        <v>0.99427142990542272</v>
      </c>
      <c r="AD356" s="601">
        <f t="shared" si="224"/>
        <v>0.97015864951134412</v>
      </c>
      <c r="AE356" s="33">
        <f t="shared" si="225"/>
        <v>0.97015864951134412</v>
      </c>
    </row>
    <row r="357" spans="1:31" x14ac:dyDescent="0.2">
      <c r="A357" s="568" t="s">
        <v>986</v>
      </c>
      <c r="B357" s="7"/>
      <c r="C357" s="24">
        <v>0.99589819380043954</v>
      </c>
      <c r="D357" s="601">
        <f t="shared" si="208"/>
        <v>0.98008004829088258</v>
      </c>
      <c r="E357" s="33">
        <f t="shared" si="209"/>
        <v>0.98008004829088258</v>
      </c>
      <c r="F357" s="24">
        <v>0.99601274899806336</v>
      </c>
      <c r="G357" s="601">
        <f t="shared" si="210"/>
        <v>0.97521571083726666</v>
      </c>
      <c r="H357" s="33">
        <f t="shared" si="211"/>
        <v>0.97521571083726666</v>
      </c>
      <c r="I357" s="24">
        <v>0.99505758172923553</v>
      </c>
      <c r="J357" s="601">
        <f t="shared" si="212"/>
        <v>0.97457072439158232</v>
      </c>
      <c r="K357" s="33">
        <f t="shared" si="213"/>
        <v>0.97457072439158232</v>
      </c>
      <c r="L357" s="24">
        <v>0.9927277299050109</v>
      </c>
      <c r="M357" s="601">
        <f t="shared" si="214"/>
        <v>0.96180874690162399</v>
      </c>
      <c r="N357" s="33">
        <f t="shared" si="215"/>
        <v>0.96180874690162399</v>
      </c>
      <c r="O357" s="568" t="s">
        <v>986</v>
      </c>
      <c r="P357" s="7"/>
      <c r="Q357" s="24">
        <v>0.99598557803689047</v>
      </c>
      <c r="R357" s="601">
        <f t="shared" si="216"/>
        <v>0.97759394727667559</v>
      </c>
      <c r="S357" s="33">
        <f t="shared" si="217"/>
        <v>0.97759394727667559</v>
      </c>
      <c r="T357" s="24">
        <v>0.99525183819745366</v>
      </c>
      <c r="U357" s="601">
        <f t="shared" si="218"/>
        <v>0.97737831187969981</v>
      </c>
      <c r="V357" s="33">
        <f t="shared" si="219"/>
        <v>0.97737831187969981</v>
      </c>
      <c r="W357" s="24">
        <v>0.99595086591246262</v>
      </c>
      <c r="X357" s="601">
        <f t="shared" si="220"/>
        <v>0.97018279979382072</v>
      </c>
      <c r="Y357" s="33">
        <f t="shared" si="221"/>
        <v>0.97018279979382072</v>
      </c>
      <c r="Z357" s="24">
        <v>0.99342331711196241</v>
      </c>
      <c r="AA357" s="601">
        <f t="shared" si="222"/>
        <v>0.9691377081509166</v>
      </c>
      <c r="AB357" s="33">
        <f t="shared" si="223"/>
        <v>0.9691377081509166</v>
      </c>
      <c r="AC357" s="24">
        <v>0.99478151180885332</v>
      </c>
      <c r="AD357" s="601">
        <f t="shared" si="224"/>
        <v>0.9752479695237436</v>
      </c>
      <c r="AE357" s="33">
        <f t="shared" si="225"/>
        <v>0.9752479695237436</v>
      </c>
    </row>
    <row r="358" spans="1:31" x14ac:dyDescent="0.2">
      <c r="A358" s="568" t="s">
        <v>987</v>
      </c>
      <c r="B358" s="7"/>
      <c r="C358" s="24">
        <v>0.99680889262516414</v>
      </c>
      <c r="D358" s="601">
        <f t="shared" si="208"/>
        <v>0.98321760122923363</v>
      </c>
      <c r="E358" s="33">
        <f t="shared" si="209"/>
        <v>0.98321760122923363</v>
      </c>
      <c r="F358" s="24">
        <v>0.99637987926881344</v>
      </c>
      <c r="G358" s="601">
        <f t="shared" si="210"/>
        <v>0.97875893635359446</v>
      </c>
      <c r="H358" s="33">
        <f t="shared" si="211"/>
        <v>0.97875893635359446</v>
      </c>
      <c r="I358" s="24">
        <v>0.99636907278705078</v>
      </c>
      <c r="J358" s="601">
        <f t="shared" si="212"/>
        <v>0.97812221495946883</v>
      </c>
      <c r="K358" s="33">
        <f t="shared" si="213"/>
        <v>0.97812221495946883</v>
      </c>
      <c r="L358" s="24">
        <v>0.99380728321388301</v>
      </c>
      <c r="M358" s="601">
        <f t="shared" si="214"/>
        <v>0.96780207103254601</v>
      </c>
      <c r="N358" s="33">
        <f t="shared" si="215"/>
        <v>0.96780207103254601</v>
      </c>
      <c r="O358" s="568" t="s">
        <v>987</v>
      </c>
      <c r="P358" s="7"/>
      <c r="Q358" s="24">
        <v>0.99637222685309146</v>
      </c>
      <c r="R358" s="601">
        <f t="shared" si="216"/>
        <v>0.98115334904935625</v>
      </c>
      <c r="S358" s="33">
        <f t="shared" si="217"/>
        <v>0.98115334904935625</v>
      </c>
      <c r="T358" s="24">
        <v>0.99641293771245676</v>
      </c>
      <c r="U358" s="601">
        <f t="shared" si="218"/>
        <v>0.98089684997822668</v>
      </c>
      <c r="V358" s="33">
        <f t="shared" si="219"/>
        <v>0.98089684997822668</v>
      </c>
      <c r="W358" s="24">
        <v>0.99609290624486546</v>
      </c>
      <c r="X358" s="601">
        <f t="shared" si="220"/>
        <v>0.97398826325475774</v>
      </c>
      <c r="Y358" s="33">
        <f t="shared" si="221"/>
        <v>0.97398826325475774</v>
      </c>
      <c r="Z358" s="24">
        <v>0.99582947841283787</v>
      </c>
      <c r="AA358" s="601">
        <f t="shared" si="222"/>
        <v>0.97319644493305935</v>
      </c>
      <c r="AB358" s="33">
        <f t="shared" si="223"/>
        <v>0.97319644493305935</v>
      </c>
      <c r="AC358" s="24">
        <v>0.99582674594488207</v>
      </c>
      <c r="AD358" s="601">
        <f t="shared" si="224"/>
        <v>0.97933498321375922</v>
      </c>
      <c r="AE358" s="33">
        <f t="shared" si="225"/>
        <v>0.97933498321375922</v>
      </c>
    </row>
    <row r="359" spans="1:31" x14ac:dyDescent="0.2">
      <c r="A359" s="568" t="s">
        <v>988</v>
      </c>
      <c r="B359" s="7"/>
      <c r="C359" s="24">
        <v>0.99695002494910767</v>
      </c>
      <c r="D359" s="601">
        <f t="shared" si="208"/>
        <v>0.98622556459580302</v>
      </c>
      <c r="E359" s="33">
        <f t="shared" si="209"/>
        <v>0.98622556459580302</v>
      </c>
      <c r="F359" s="24">
        <v>0.99652146559705312</v>
      </c>
      <c r="G359" s="601">
        <f t="shared" si="210"/>
        <v>0.98217546750704821</v>
      </c>
      <c r="H359" s="33">
        <f t="shared" si="211"/>
        <v>0.98217546750704821</v>
      </c>
      <c r="I359" s="24">
        <v>0.99646746275468612</v>
      </c>
      <c r="J359" s="601">
        <f t="shared" si="212"/>
        <v>0.98158971719507759</v>
      </c>
      <c r="K359" s="33">
        <f t="shared" si="213"/>
        <v>0.98158971719507759</v>
      </c>
      <c r="L359" s="24">
        <v>0.9947768525361339</v>
      </c>
      <c r="M359" s="601">
        <f t="shared" si="214"/>
        <v>0.97288358546460241</v>
      </c>
      <c r="N359" s="33">
        <f t="shared" si="215"/>
        <v>0.97288358546460241</v>
      </c>
      <c r="O359" s="568" t="s">
        <v>988</v>
      </c>
      <c r="P359" s="7"/>
      <c r="Q359" s="24">
        <v>0.99654874999152077</v>
      </c>
      <c r="R359" s="601">
        <f t="shared" si="216"/>
        <v>0.98455128166856309</v>
      </c>
      <c r="S359" s="33">
        <f t="shared" si="217"/>
        <v>0.98455128166856309</v>
      </c>
      <c r="T359" s="24">
        <v>0.99651268664879655</v>
      </c>
      <c r="U359" s="601">
        <f t="shared" si="218"/>
        <v>0.98432951543940217</v>
      </c>
      <c r="V359" s="33">
        <f t="shared" si="219"/>
        <v>0.98432951543940217</v>
      </c>
      <c r="W359" s="24">
        <v>0.99612730419568696</v>
      </c>
      <c r="X359" s="601">
        <f t="shared" si="220"/>
        <v>0.97777488796092671</v>
      </c>
      <c r="Y359" s="33">
        <f t="shared" si="221"/>
        <v>0.97777488796092671</v>
      </c>
      <c r="Z359" s="24">
        <v>0.99605878162946915</v>
      </c>
      <c r="AA359" s="601">
        <f t="shared" si="222"/>
        <v>0.97704720131174494</v>
      </c>
      <c r="AB359" s="33">
        <f t="shared" si="223"/>
        <v>0.97704720131174494</v>
      </c>
      <c r="AC359" s="214">
        <v>0.99609754817690377</v>
      </c>
      <c r="AD359" s="601">
        <f t="shared" si="224"/>
        <v>0.98317176365525238</v>
      </c>
      <c r="AE359" s="33">
        <f t="shared" si="225"/>
        <v>0.98317176365525238</v>
      </c>
    </row>
    <row r="360" spans="1:31" x14ac:dyDescent="0.2">
      <c r="A360" s="568" t="s">
        <v>989</v>
      </c>
      <c r="B360" s="7"/>
      <c r="C360" s="24">
        <v>0.9977003371375357</v>
      </c>
      <c r="D360" s="601">
        <f t="shared" si="208"/>
        <v>0.98849877852637147</v>
      </c>
      <c r="E360" s="33">
        <f t="shared" si="209"/>
        <v>0.98849877852637147</v>
      </c>
      <c r="F360" s="24">
        <v>0.99700175399268876</v>
      </c>
      <c r="G360" s="601">
        <f t="shared" si="210"/>
        <v>0.98512912697869814</v>
      </c>
      <c r="H360" s="33">
        <f t="shared" si="211"/>
        <v>0.98512912697869814</v>
      </c>
      <c r="I360" s="24">
        <v>0.99736469226337565</v>
      </c>
      <c r="J360" s="601">
        <f t="shared" si="212"/>
        <v>0.98418334317359979</v>
      </c>
      <c r="K360" s="33">
        <f t="shared" si="213"/>
        <v>0.98418334317359979</v>
      </c>
      <c r="L360" s="24">
        <v>0.99501589939973012</v>
      </c>
      <c r="M360" s="601">
        <f t="shared" si="214"/>
        <v>0.97775682383720741</v>
      </c>
      <c r="N360" s="33">
        <f t="shared" si="215"/>
        <v>0.97775682383720741</v>
      </c>
      <c r="O360" s="568" t="s">
        <v>989</v>
      </c>
      <c r="P360" s="7"/>
      <c r="Q360" s="24">
        <v>0.99687174008502311</v>
      </c>
      <c r="R360" s="601">
        <f t="shared" si="216"/>
        <v>0.98764087904085918</v>
      </c>
      <c r="S360" s="33">
        <f t="shared" si="217"/>
        <v>0.98764087904085918</v>
      </c>
      <c r="T360" s="24">
        <v>0.9973745527639355</v>
      </c>
      <c r="U360" s="601">
        <f t="shared" si="218"/>
        <v>0.98692062346248677</v>
      </c>
      <c r="V360" s="33">
        <f t="shared" si="219"/>
        <v>0.98692062346248677</v>
      </c>
      <c r="W360" s="24">
        <v>0.99630317084784148</v>
      </c>
      <c r="X360" s="601">
        <f t="shared" si="220"/>
        <v>0.98140296705956742</v>
      </c>
      <c r="Y360" s="33">
        <f t="shared" si="221"/>
        <v>0.98140296705956742</v>
      </c>
      <c r="Z360" s="24">
        <v>0.99679848813858085</v>
      </c>
      <c r="AA360" s="601">
        <f t="shared" si="222"/>
        <v>0.98018527609956607</v>
      </c>
      <c r="AB360" s="33">
        <f t="shared" si="223"/>
        <v>0.98018527609956607</v>
      </c>
      <c r="AC360" s="24">
        <v>0.9976363170868523</v>
      </c>
      <c r="AD360" s="601">
        <f t="shared" si="224"/>
        <v>0.98550117594572229</v>
      </c>
      <c r="AE360" s="33">
        <f t="shared" si="225"/>
        <v>0.98550117594572229</v>
      </c>
    </row>
    <row r="361" spans="1:31" x14ac:dyDescent="0.2">
      <c r="A361" s="568" t="s">
        <v>990</v>
      </c>
      <c r="B361" s="7"/>
      <c r="C361" s="602">
        <v>0.9980141592874151</v>
      </c>
      <c r="D361" s="603">
        <f t="shared" si="208"/>
        <v>0.99046568560927273</v>
      </c>
      <c r="E361" s="604">
        <f t="shared" si="209"/>
        <v>0.99046568560927273</v>
      </c>
      <c r="F361" s="602">
        <v>0.99766479895670679</v>
      </c>
      <c r="G361" s="603">
        <f t="shared" si="210"/>
        <v>0.98743498618863002</v>
      </c>
      <c r="H361" s="604">
        <f t="shared" si="211"/>
        <v>0.98743498618863002</v>
      </c>
      <c r="I361" s="602">
        <v>0.99741603711298421</v>
      </c>
      <c r="J361" s="603">
        <f t="shared" si="212"/>
        <v>0.98673302468878843</v>
      </c>
      <c r="K361" s="604">
        <f t="shared" si="213"/>
        <v>0.98673302468878843</v>
      </c>
      <c r="L361" s="602">
        <v>0.99540845834845149</v>
      </c>
      <c r="M361" s="603">
        <f t="shared" si="214"/>
        <v>0.98226694342086351</v>
      </c>
      <c r="N361" s="604">
        <f t="shared" si="215"/>
        <v>0.98226694342086351</v>
      </c>
      <c r="O361" s="568" t="s">
        <v>990</v>
      </c>
      <c r="P361" s="7"/>
      <c r="Q361" s="602">
        <v>0.99761433333454952</v>
      </c>
      <c r="R361" s="603">
        <f t="shared" si="216"/>
        <v>0.99000269547014841</v>
      </c>
      <c r="S361" s="604">
        <f t="shared" si="217"/>
        <v>0.99000269547014841</v>
      </c>
      <c r="T361" s="602">
        <v>0.99752106002928087</v>
      </c>
      <c r="U361" s="603">
        <f t="shared" si="218"/>
        <v>0.98937322028420838</v>
      </c>
      <c r="V361" s="604">
        <f t="shared" si="219"/>
        <v>0.98937322028420838</v>
      </c>
      <c r="W361" s="602">
        <v>0.99706061422870829</v>
      </c>
      <c r="X361" s="603">
        <f t="shared" si="220"/>
        <v>0.98429619328484552</v>
      </c>
      <c r="Y361" s="604">
        <f t="shared" si="221"/>
        <v>0.98429619328484552</v>
      </c>
      <c r="Z361" s="602">
        <v>0.99680291165729384</v>
      </c>
      <c r="AA361" s="603">
        <f t="shared" si="222"/>
        <v>0.98332906599349801</v>
      </c>
      <c r="AB361" s="604">
        <f t="shared" si="223"/>
        <v>0.98332906599349801</v>
      </c>
      <c r="AC361" s="602">
        <v>0.99777288936331121</v>
      </c>
      <c r="AD361" s="603">
        <f t="shared" si="224"/>
        <v>0.98770089511510017</v>
      </c>
      <c r="AE361" s="604">
        <f t="shared" si="225"/>
        <v>0.98770089511510017</v>
      </c>
    </row>
    <row r="362" spans="1:31" x14ac:dyDescent="0.2">
      <c r="A362" s="568" t="s">
        <v>991</v>
      </c>
      <c r="B362" s="7"/>
      <c r="C362" s="602">
        <v>0.99812544355152266</v>
      </c>
      <c r="D362" s="603">
        <f t="shared" si="208"/>
        <v>0.99232585644245774</v>
      </c>
      <c r="E362" s="604">
        <f t="shared" si="209"/>
        <v>0.99232585644245774</v>
      </c>
      <c r="F362" s="602">
        <v>0.99781867871803465</v>
      </c>
      <c r="G362" s="603">
        <f t="shared" si="210"/>
        <v>0.98959360778579009</v>
      </c>
      <c r="H362" s="604">
        <f t="shared" si="211"/>
        <v>0.98959360778579009</v>
      </c>
      <c r="I362" s="602">
        <v>0.99805048535484076</v>
      </c>
      <c r="J362" s="603">
        <f t="shared" si="212"/>
        <v>0.98866043268139026</v>
      </c>
      <c r="K362" s="604">
        <f t="shared" si="213"/>
        <v>0.98866043268139026</v>
      </c>
      <c r="L362" s="602">
        <v>0.99687461481747841</v>
      </c>
      <c r="M362" s="603">
        <f t="shared" si="214"/>
        <v>0.98534653086808766</v>
      </c>
      <c r="N362" s="604">
        <f t="shared" si="215"/>
        <v>0.98534653086808766</v>
      </c>
      <c r="O362" s="568" t="s">
        <v>991</v>
      </c>
      <c r="P362" s="7"/>
      <c r="Q362" s="602">
        <v>0.99785956060609204</v>
      </c>
      <c r="R362" s="603">
        <f t="shared" si="216"/>
        <v>0.99212628164711736</v>
      </c>
      <c r="S362" s="604">
        <f t="shared" si="217"/>
        <v>0.99212628164711736</v>
      </c>
      <c r="T362" s="602">
        <v>0.99806694947324048</v>
      </c>
      <c r="U362" s="603">
        <f t="shared" si="218"/>
        <v>0.99128943284453963</v>
      </c>
      <c r="V362" s="604">
        <f t="shared" si="219"/>
        <v>0.99128943284453963</v>
      </c>
      <c r="W362" s="602">
        <v>0.99731537735296827</v>
      </c>
      <c r="X362" s="603">
        <f t="shared" si="220"/>
        <v>0.98694577025105368</v>
      </c>
      <c r="Y362" s="604">
        <f t="shared" si="221"/>
        <v>0.98694577025105368</v>
      </c>
      <c r="Z362" s="602">
        <v>0.9978870041262452</v>
      </c>
      <c r="AA362" s="603">
        <f t="shared" si="222"/>
        <v>0.9854112358688405</v>
      </c>
      <c r="AB362" s="604">
        <f t="shared" si="223"/>
        <v>0.9854112358688405</v>
      </c>
      <c r="AC362" s="602">
        <v>0.99777363634031424</v>
      </c>
      <c r="AD362" s="603">
        <f t="shared" si="224"/>
        <v>0.98990478315085639</v>
      </c>
      <c r="AE362" s="604">
        <f t="shared" si="225"/>
        <v>0.98990478315085639</v>
      </c>
    </row>
    <row r="363" spans="1:31" x14ac:dyDescent="0.2">
      <c r="A363" s="568" t="s">
        <v>992</v>
      </c>
      <c r="B363" s="7"/>
      <c r="C363" s="602">
        <v>0.9981494482303207</v>
      </c>
      <c r="D363" s="603">
        <f t="shared" si="208"/>
        <v>0.99416561137394011</v>
      </c>
      <c r="E363" s="604">
        <f t="shared" si="209"/>
        <v>0.99416561137394011</v>
      </c>
      <c r="F363" s="602">
        <v>0.9983978010110679</v>
      </c>
      <c r="G363" s="603">
        <f t="shared" si="210"/>
        <v>0.99118167806823909</v>
      </c>
      <c r="H363" s="604">
        <f t="shared" si="211"/>
        <v>0.99118167806823909</v>
      </c>
      <c r="I363" s="602">
        <v>0.99834924974342432</v>
      </c>
      <c r="J363" s="603">
        <f t="shared" si="212"/>
        <v>0.99029516267526208</v>
      </c>
      <c r="K363" s="604">
        <f t="shared" si="213"/>
        <v>0.99029516267526208</v>
      </c>
      <c r="L363" s="602">
        <v>0.99783522700615535</v>
      </c>
      <c r="M363" s="603">
        <f t="shared" si="214"/>
        <v>0.98748421001778219</v>
      </c>
      <c r="N363" s="604">
        <f t="shared" si="215"/>
        <v>0.98748421001778219</v>
      </c>
      <c r="O363" s="568" t="s">
        <v>992</v>
      </c>
      <c r="P363" s="7"/>
      <c r="Q363" s="602">
        <v>0.998394433214008</v>
      </c>
      <c r="R363" s="603">
        <f t="shared" si="216"/>
        <v>0.99372176831283765</v>
      </c>
      <c r="S363" s="604">
        <f t="shared" si="217"/>
        <v>0.99372176831283765</v>
      </c>
      <c r="T363" s="602">
        <v>0.99837884965991497</v>
      </c>
      <c r="U363" s="603">
        <f t="shared" si="218"/>
        <v>0.99289907151199142</v>
      </c>
      <c r="V363" s="604">
        <f t="shared" si="219"/>
        <v>0.99289907151199142</v>
      </c>
      <c r="W363" s="602">
        <v>0.99748790920574859</v>
      </c>
      <c r="X363" s="603">
        <f t="shared" si="220"/>
        <v>0.98943131154031816</v>
      </c>
      <c r="Y363" s="604">
        <f t="shared" si="221"/>
        <v>0.98943131154031816</v>
      </c>
      <c r="Z363" s="602">
        <v>0.99810510855631485</v>
      </c>
      <c r="AA363" s="603">
        <f t="shared" si="222"/>
        <v>0.98728202813646038</v>
      </c>
      <c r="AB363" s="604">
        <f t="shared" si="223"/>
        <v>0.98728202813646038</v>
      </c>
      <c r="AC363" s="602">
        <v>0.99782888474615583</v>
      </c>
      <c r="AD363" s="603">
        <f t="shared" si="224"/>
        <v>0.99205865683341554</v>
      </c>
      <c r="AE363" s="604">
        <f t="shared" si="225"/>
        <v>0.99205865683341554</v>
      </c>
    </row>
    <row r="364" spans="1:31" x14ac:dyDescent="0.2">
      <c r="A364" s="568" t="s">
        <v>993</v>
      </c>
      <c r="B364" s="7"/>
      <c r="C364" s="602">
        <v>0.99867838780681928</v>
      </c>
      <c r="D364" s="603">
        <f t="shared" si="208"/>
        <v>0.99548125153405032</v>
      </c>
      <c r="E364" s="604">
        <f t="shared" si="209"/>
        <v>0.99548125153405032</v>
      </c>
      <c r="F364" s="602">
        <v>0.99844948022826363</v>
      </c>
      <c r="G364" s="603">
        <f t="shared" si="210"/>
        <v>0.99272091146928843</v>
      </c>
      <c r="H364" s="604">
        <f t="shared" si="211"/>
        <v>0.99272091146928843</v>
      </c>
      <c r="I364" s="602">
        <v>0.99866828241112682</v>
      </c>
      <c r="J364" s="603">
        <f t="shared" si="212"/>
        <v>0.99161571476401633</v>
      </c>
      <c r="K364" s="604">
        <f t="shared" si="213"/>
        <v>0.99161571476401633</v>
      </c>
      <c r="L364" s="602">
        <v>0.99804977402570771</v>
      </c>
      <c r="M364" s="603">
        <f t="shared" si="214"/>
        <v>0.98941379049132139</v>
      </c>
      <c r="N364" s="604">
        <f t="shared" si="215"/>
        <v>0.98941379049132139</v>
      </c>
      <c r="O364" s="568" t="s">
        <v>993</v>
      </c>
      <c r="P364" s="7"/>
      <c r="Q364" s="602">
        <v>0.99865782490076349</v>
      </c>
      <c r="R364" s="603">
        <f t="shared" si="216"/>
        <v>0.99505730945590265</v>
      </c>
      <c r="S364" s="604">
        <f t="shared" si="217"/>
        <v>0.99505730945590265</v>
      </c>
      <c r="T364" s="602">
        <v>0.99865994791370194</v>
      </c>
      <c r="U364" s="603">
        <f t="shared" si="218"/>
        <v>0.99423139336493316</v>
      </c>
      <c r="V364" s="604">
        <f t="shared" si="219"/>
        <v>0.99423139336493316</v>
      </c>
      <c r="W364" s="602">
        <v>0.99837252000666687</v>
      </c>
      <c r="X364" s="603">
        <f t="shared" si="220"/>
        <v>0.99104421617465088</v>
      </c>
      <c r="Y364" s="604">
        <f t="shared" si="221"/>
        <v>0.99104421617465088</v>
      </c>
      <c r="Z364" s="602">
        <v>0.99819869366367808</v>
      </c>
      <c r="AA364" s="603">
        <f t="shared" si="222"/>
        <v>0.98906363472872283</v>
      </c>
      <c r="AB364" s="604">
        <f t="shared" si="223"/>
        <v>0.98906363472872283</v>
      </c>
      <c r="AC364" s="602">
        <v>0.9988768517710751</v>
      </c>
      <c r="AD364" s="603">
        <f t="shared" si="224"/>
        <v>0.99317413860820736</v>
      </c>
      <c r="AE364" s="604">
        <f t="shared" si="225"/>
        <v>0.99317413860820736</v>
      </c>
    </row>
    <row r="365" spans="1:31" x14ac:dyDescent="0.2">
      <c r="A365" s="568" t="s">
        <v>994</v>
      </c>
      <c r="B365" s="7"/>
      <c r="C365" s="602">
        <v>0.99913523773557744</v>
      </c>
      <c r="D365" s="603">
        <f t="shared" si="208"/>
        <v>0.99634285123422484</v>
      </c>
      <c r="E365" s="604">
        <f t="shared" si="209"/>
        <v>0.99634285123422484</v>
      </c>
      <c r="F365" s="602">
        <v>0.99865614973316041</v>
      </c>
      <c r="G365" s="603">
        <f t="shared" si="210"/>
        <v>0.99405677493153388</v>
      </c>
      <c r="H365" s="604">
        <f t="shared" si="211"/>
        <v>0.99405677493153388</v>
      </c>
      <c r="I365" s="602">
        <v>0.99880710638144399</v>
      </c>
      <c r="J365" s="603">
        <f t="shared" si="212"/>
        <v>0.99280001957186592</v>
      </c>
      <c r="K365" s="604">
        <f t="shared" si="213"/>
        <v>0.99280001957186592</v>
      </c>
      <c r="L365" s="602">
        <v>0.99817051205629048</v>
      </c>
      <c r="M365" s="603">
        <f t="shared" si="214"/>
        <v>0.99122722875580671</v>
      </c>
      <c r="N365" s="604">
        <f t="shared" si="215"/>
        <v>0.99122722875580671</v>
      </c>
      <c r="O365" s="568" t="s">
        <v>994</v>
      </c>
      <c r="P365" s="7"/>
      <c r="Q365" s="602">
        <v>0.9991102308844565</v>
      </c>
      <c r="R365" s="603">
        <f t="shared" si="216"/>
        <v>0.99594346919562016</v>
      </c>
      <c r="S365" s="604">
        <f t="shared" si="217"/>
        <v>0.99594346919562016</v>
      </c>
      <c r="T365" s="602">
        <v>0.99911638336873465</v>
      </c>
      <c r="U365" s="603">
        <f t="shared" si="218"/>
        <v>0.99511068972032002</v>
      </c>
      <c r="V365" s="604">
        <f t="shared" si="219"/>
        <v>0.99511068972032002</v>
      </c>
      <c r="W365" s="602">
        <v>0.99852685097237315</v>
      </c>
      <c r="X365" s="603">
        <f t="shared" si="220"/>
        <v>0.99250632590356924</v>
      </c>
      <c r="Y365" s="604">
        <f t="shared" si="221"/>
        <v>0.99250632590356924</v>
      </c>
      <c r="Z365" s="602">
        <v>0.99850679601822656</v>
      </c>
      <c r="AA365" s="603">
        <f t="shared" si="222"/>
        <v>0.99054271705795049</v>
      </c>
      <c r="AB365" s="604">
        <f t="shared" si="223"/>
        <v>0.99054271705795049</v>
      </c>
      <c r="AC365" s="602">
        <v>0.99901274581577293</v>
      </c>
      <c r="AD365" s="603">
        <f t="shared" si="224"/>
        <v>0.9941556229066949</v>
      </c>
      <c r="AE365" s="604">
        <f t="shared" si="225"/>
        <v>0.9941556229066949</v>
      </c>
    </row>
    <row r="366" spans="1:31" x14ac:dyDescent="0.2">
      <c r="A366" s="568" t="s">
        <v>995</v>
      </c>
      <c r="B366" s="7"/>
      <c r="C366" s="602">
        <v>0.99946217687802574</v>
      </c>
      <c r="D366" s="603">
        <f t="shared" si="208"/>
        <v>0.99687899580798089</v>
      </c>
      <c r="E366" s="604">
        <f t="shared" si="209"/>
        <v>0.99687899580798089</v>
      </c>
      <c r="F366" s="602">
        <v>0.99900128080927098</v>
      </c>
      <c r="G366" s="603">
        <f t="shared" si="210"/>
        <v>0.99505055101257567</v>
      </c>
      <c r="H366" s="604">
        <f t="shared" si="211"/>
        <v>0.99505055101257567</v>
      </c>
      <c r="I366" s="602">
        <v>0.99903401891149635</v>
      </c>
      <c r="J366" s="603">
        <f t="shared" si="212"/>
        <v>0.99375997291221108</v>
      </c>
      <c r="K366" s="604">
        <f t="shared" si="213"/>
        <v>0.99375997291221108</v>
      </c>
      <c r="L366" s="602">
        <v>0.99823897914665005</v>
      </c>
      <c r="M366" s="603">
        <f t="shared" si="214"/>
        <v>0.99297587998733794</v>
      </c>
      <c r="N366" s="604">
        <f t="shared" si="215"/>
        <v>0.99297587998733794</v>
      </c>
      <c r="O366" s="568" t="s">
        <v>995</v>
      </c>
      <c r="P366" s="7"/>
      <c r="Q366" s="602">
        <v>0.99922972497697737</v>
      </c>
      <c r="R366" s="603">
        <f t="shared" si="216"/>
        <v>0.996711210946579</v>
      </c>
      <c r="S366" s="604">
        <f t="shared" si="217"/>
        <v>0.996711210946579</v>
      </c>
      <c r="T366" s="602">
        <v>0.99914732320170419</v>
      </c>
      <c r="U366" s="603">
        <f t="shared" si="218"/>
        <v>0.99595992163753289</v>
      </c>
      <c r="V366" s="604">
        <f t="shared" si="219"/>
        <v>0.99595992163753289</v>
      </c>
      <c r="W366" s="602">
        <v>0.99856402625961971</v>
      </c>
      <c r="X366" s="603">
        <f t="shared" si="220"/>
        <v>0.99393358843624569</v>
      </c>
      <c r="Y366" s="604">
        <f t="shared" si="221"/>
        <v>0.99393358843624569</v>
      </c>
      <c r="Z366" s="602">
        <v>0.99850697533160404</v>
      </c>
      <c r="AA366" s="603">
        <f t="shared" si="222"/>
        <v>0.99202383311242404</v>
      </c>
      <c r="AB366" s="604">
        <f t="shared" si="223"/>
        <v>0.99202383311242404</v>
      </c>
      <c r="AC366" s="602">
        <v>0.99901988742391101</v>
      </c>
      <c r="AD366" s="603">
        <f t="shared" si="224"/>
        <v>0.99513096327865991</v>
      </c>
      <c r="AE366" s="604">
        <f t="shared" si="225"/>
        <v>0.99513096327865991</v>
      </c>
    </row>
    <row r="367" spans="1:31" x14ac:dyDescent="0.2">
      <c r="A367" s="568" t="s">
        <v>996</v>
      </c>
      <c r="B367" s="7"/>
      <c r="C367" s="602">
        <v>0.99956775375858498</v>
      </c>
      <c r="D367" s="603">
        <f t="shared" si="208"/>
        <v>0.99731007934130145</v>
      </c>
      <c r="E367" s="604">
        <f t="shared" si="209"/>
        <v>0.99731007934130145</v>
      </c>
      <c r="F367" s="602">
        <v>0.99903310113967458</v>
      </c>
      <c r="G367" s="603">
        <f t="shared" si="210"/>
        <v>0.99601359542285861</v>
      </c>
      <c r="H367" s="604">
        <f t="shared" si="211"/>
        <v>0.99601359542285861</v>
      </c>
      <c r="I367" s="602">
        <v>0.99908288228329012</v>
      </c>
      <c r="J367" s="603">
        <f t="shared" si="212"/>
        <v>0.99467220441319726</v>
      </c>
      <c r="K367" s="604">
        <f t="shared" si="213"/>
        <v>0.99467220441319726</v>
      </c>
      <c r="L367" s="602">
        <v>0.99858649492434448</v>
      </c>
      <c r="M367" s="603">
        <f t="shared" si="214"/>
        <v>0.9943814432044451</v>
      </c>
      <c r="N367" s="604">
        <f t="shared" si="215"/>
        <v>0.9943814432044451</v>
      </c>
      <c r="O367" s="568" t="s">
        <v>996</v>
      </c>
      <c r="P367" s="7"/>
      <c r="Q367" s="602">
        <v>0.99947960614805198</v>
      </c>
      <c r="R367" s="603">
        <f t="shared" si="216"/>
        <v>0.99723016339258563</v>
      </c>
      <c r="S367" s="604">
        <f t="shared" si="217"/>
        <v>0.99723016339258563</v>
      </c>
      <c r="T367" s="602">
        <v>0.9992209216941994</v>
      </c>
      <c r="U367" s="603">
        <f t="shared" si="218"/>
        <v>0.99673645738808447</v>
      </c>
      <c r="V367" s="604">
        <f t="shared" si="219"/>
        <v>0.99673645738808447</v>
      </c>
      <c r="W367" s="602">
        <v>0.99866694276386314</v>
      </c>
      <c r="X367" s="603">
        <f t="shared" si="220"/>
        <v>0.99526032741754955</v>
      </c>
      <c r="Y367" s="604">
        <f t="shared" si="221"/>
        <v>0.99526032741754955</v>
      </c>
      <c r="Z367" s="602">
        <v>0.99865567227396135</v>
      </c>
      <c r="AA367" s="603">
        <f t="shared" si="222"/>
        <v>0.99335923347189681</v>
      </c>
      <c r="AB367" s="604">
        <f t="shared" si="223"/>
        <v>0.99335923347189681</v>
      </c>
      <c r="AC367" s="602">
        <v>0.99914365914054581</v>
      </c>
      <c r="AD367" s="603">
        <f t="shared" si="224"/>
        <v>0.99598386495758018</v>
      </c>
      <c r="AE367" s="604">
        <f t="shared" si="225"/>
        <v>0.99598386495758018</v>
      </c>
    </row>
    <row r="368" spans="1:31" x14ac:dyDescent="0.2">
      <c r="A368" s="568" t="s">
        <v>997</v>
      </c>
      <c r="B368" s="7"/>
      <c r="C368" s="602">
        <v>0.99963073787350465</v>
      </c>
      <c r="D368" s="603">
        <f t="shared" si="208"/>
        <v>0.99767848421994321</v>
      </c>
      <c r="E368" s="604">
        <f t="shared" si="209"/>
        <v>0.99767848421994321</v>
      </c>
      <c r="F368" s="602">
        <v>0.99912494227000748</v>
      </c>
      <c r="G368" s="603">
        <f t="shared" si="210"/>
        <v>0.99688592816021593</v>
      </c>
      <c r="H368" s="604">
        <f t="shared" si="211"/>
        <v>0.99688592816021593</v>
      </c>
      <c r="I368" s="602">
        <v>0.99910460609162133</v>
      </c>
      <c r="J368" s="603">
        <f t="shared" si="212"/>
        <v>0.99556362601933834</v>
      </c>
      <c r="K368" s="604">
        <f t="shared" si="213"/>
        <v>0.99556362601933834</v>
      </c>
      <c r="L368" s="602">
        <v>0.99904847247251427</v>
      </c>
      <c r="M368" s="603">
        <f t="shared" si="214"/>
        <v>0.9953285256955362</v>
      </c>
      <c r="N368" s="604">
        <f t="shared" si="215"/>
        <v>0.9953285256955362</v>
      </c>
      <c r="O368" s="568" t="s">
        <v>997</v>
      </c>
      <c r="P368" s="7"/>
      <c r="Q368" s="602">
        <v>0.9995480144635791</v>
      </c>
      <c r="R368" s="603">
        <f t="shared" si="216"/>
        <v>0.99768110082011685</v>
      </c>
      <c r="S368" s="604">
        <f t="shared" si="217"/>
        <v>0.99768110082011685</v>
      </c>
      <c r="T368" s="602">
        <v>0.9994058468578173</v>
      </c>
      <c r="U368" s="603">
        <f t="shared" si="218"/>
        <v>0.99732902356122333</v>
      </c>
      <c r="V368" s="604">
        <f t="shared" si="219"/>
        <v>0.99732902356122333</v>
      </c>
      <c r="W368" s="602">
        <v>0.99877351690500449</v>
      </c>
      <c r="X368" s="603">
        <f t="shared" si="220"/>
        <v>0.99648249635378638</v>
      </c>
      <c r="Y368" s="604">
        <f t="shared" si="221"/>
        <v>0.99648249635378638</v>
      </c>
      <c r="Z368" s="602">
        <v>0.99878896787007287</v>
      </c>
      <c r="AA368" s="603">
        <f t="shared" si="222"/>
        <v>0.99456368204611323</v>
      </c>
      <c r="AB368" s="604">
        <f t="shared" si="223"/>
        <v>0.99456368204611323</v>
      </c>
      <c r="AC368" s="602">
        <v>0.99918041644221078</v>
      </c>
      <c r="AD368" s="603">
        <f t="shared" si="224"/>
        <v>0.99680082652539104</v>
      </c>
      <c r="AE368" s="604">
        <f t="shared" si="225"/>
        <v>0.99680082652539104</v>
      </c>
    </row>
    <row r="369" spans="1:31" x14ac:dyDescent="0.2">
      <c r="A369" s="568" t="s">
        <v>998</v>
      </c>
      <c r="B369" s="7"/>
      <c r="C369" s="602">
        <v>0.99964797790057536</v>
      </c>
      <c r="D369" s="603">
        <f t="shared" si="208"/>
        <v>0.99802981276992286</v>
      </c>
      <c r="E369" s="604">
        <f t="shared" si="209"/>
        <v>0.99802981276992286</v>
      </c>
      <c r="F369" s="602">
        <v>0.99943188042101638</v>
      </c>
      <c r="G369" s="603">
        <f t="shared" si="210"/>
        <v>0.99745260051167473</v>
      </c>
      <c r="H369" s="604">
        <f t="shared" si="211"/>
        <v>0.99745260051167473</v>
      </c>
      <c r="I369" s="602">
        <v>0.99926769604614574</v>
      </c>
      <c r="J369" s="603">
        <f t="shared" si="212"/>
        <v>0.99629321548023264</v>
      </c>
      <c r="K369" s="604">
        <f t="shared" si="213"/>
        <v>0.99629321548023264</v>
      </c>
      <c r="L369" s="602">
        <v>0.99916806596936969</v>
      </c>
      <c r="M369" s="603">
        <f t="shared" si="214"/>
        <v>0.99615726282233763</v>
      </c>
      <c r="N369" s="604">
        <f t="shared" si="215"/>
        <v>0.99615726282233763</v>
      </c>
      <c r="O369" s="568" t="s">
        <v>998</v>
      </c>
      <c r="P369" s="7"/>
      <c r="Q369" s="602">
        <v>0.99957266224787422</v>
      </c>
      <c r="R369" s="603">
        <f t="shared" si="216"/>
        <v>0.99810762989105406</v>
      </c>
      <c r="S369" s="604">
        <f t="shared" si="217"/>
        <v>0.99810762989105406</v>
      </c>
      <c r="T369" s="602">
        <v>0.99951322386617125</v>
      </c>
      <c r="U369" s="603">
        <f t="shared" si="218"/>
        <v>0.99781473596067161</v>
      </c>
      <c r="V369" s="604">
        <f t="shared" si="219"/>
        <v>0.99781473596067161</v>
      </c>
      <c r="W369" s="602">
        <v>0.99920841423740214</v>
      </c>
      <c r="X369" s="603">
        <f t="shared" si="220"/>
        <v>0.99727192260916242</v>
      </c>
      <c r="Y369" s="604">
        <f t="shared" si="221"/>
        <v>0.99727192260916242</v>
      </c>
      <c r="Z369" s="602">
        <v>0.99882095396897663</v>
      </c>
      <c r="AA369" s="603">
        <f t="shared" si="222"/>
        <v>0.99573770263234218</v>
      </c>
      <c r="AB369" s="604">
        <f t="shared" si="223"/>
        <v>0.99573770263234218</v>
      </c>
      <c r="AC369" s="602">
        <v>0.99924377622076621</v>
      </c>
      <c r="AD369" s="603">
        <f t="shared" si="224"/>
        <v>0.99755520148985599</v>
      </c>
      <c r="AE369" s="604">
        <f t="shared" si="225"/>
        <v>0.99755520148985599</v>
      </c>
    </row>
    <row r="370" spans="1:31" x14ac:dyDescent="0.2">
      <c r="A370" s="568" t="s">
        <v>999</v>
      </c>
      <c r="B370" s="7"/>
      <c r="C370" s="602">
        <v>0.99967581220737389</v>
      </c>
      <c r="D370" s="603">
        <f t="shared" si="208"/>
        <v>0.99835346677657777</v>
      </c>
      <c r="E370" s="604">
        <f t="shared" si="209"/>
        <v>0.99835346677657777</v>
      </c>
      <c r="F370" s="602">
        <v>0.99943827754361236</v>
      </c>
      <c r="G370" s="603">
        <f t="shared" si="210"/>
        <v>0.99801320694178541</v>
      </c>
      <c r="H370" s="604">
        <f t="shared" si="211"/>
        <v>0.99801320694178541</v>
      </c>
      <c r="I370" s="602">
        <v>0.99929204892038725</v>
      </c>
      <c r="J370" s="603">
        <f t="shared" si="212"/>
        <v>0.9969990420284095</v>
      </c>
      <c r="K370" s="604">
        <f t="shared" si="213"/>
        <v>0.9969990420284095</v>
      </c>
      <c r="L370" s="602">
        <v>0.99926461020954871</v>
      </c>
      <c r="M370" s="603">
        <f t="shared" si="214"/>
        <v>0.99689036581956059</v>
      </c>
      <c r="N370" s="604">
        <f t="shared" si="215"/>
        <v>0.99689036581956059</v>
      </c>
      <c r="O370" s="568" t="s">
        <v>999</v>
      </c>
      <c r="P370" s="7"/>
      <c r="Q370" s="602">
        <v>0.99964690381289811</v>
      </c>
      <c r="R370" s="603">
        <f t="shared" si="216"/>
        <v>0.99846018237442358</v>
      </c>
      <c r="S370" s="604">
        <f t="shared" si="217"/>
        <v>0.99846018237442358</v>
      </c>
      <c r="T370" s="602">
        <v>0.99955562257727637</v>
      </c>
      <c r="U370" s="603">
        <f t="shared" si="218"/>
        <v>0.9982583394287593</v>
      </c>
      <c r="V370" s="604">
        <f t="shared" si="219"/>
        <v>0.9982583394287593</v>
      </c>
      <c r="W370" s="602">
        <v>0.99922855307477931</v>
      </c>
      <c r="X370" s="603">
        <f t="shared" si="220"/>
        <v>0.99804185893247743</v>
      </c>
      <c r="Y370" s="604">
        <f t="shared" si="221"/>
        <v>0.99804185893247743</v>
      </c>
      <c r="Z370" s="602">
        <v>0.999041568602417</v>
      </c>
      <c r="AA370" s="603">
        <f t="shared" si="222"/>
        <v>0.99669296446323385</v>
      </c>
      <c r="AB370" s="604">
        <f t="shared" si="223"/>
        <v>0.99669296446323385</v>
      </c>
      <c r="AC370" s="602">
        <v>0.99957446090587621</v>
      </c>
      <c r="AD370" s="603">
        <f t="shared" si="224"/>
        <v>0.99797988094434686</v>
      </c>
      <c r="AE370" s="604">
        <f t="shared" si="225"/>
        <v>0.99797988094434686</v>
      </c>
    </row>
    <row r="371" spans="1:31" x14ac:dyDescent="0.2">
      <c r="A371" s="568" t="s">
        <v>1000</v>
      </c>
      <c r="B371" s="7"/>
      <c r="C371" s="602">
        <v>0.99973498779342751</v>
      </c>
      <c r="D371" s="603">
        <f t="shared" si="208"/>
        <v>0.99861811276616519</v>
      </c>
      <c r="E371" s="604">
        <f t="shared" si="209"/>
        <v>0.99861811276616519</v>
      </c>
      <c r="F371" s="602">
        <v>0.99959630883741357</v>
      </c>
      <c r="G371" s="603">
        <f t="shared" si="210"/>
        <v>0.99841625876203022</v>
      </c>
      <c r="H371" s="604">
        <f t="shared" si="211"/>
        <v>0.99841625876203022</v>
      </c>
      <c r="I371" s="602">
        <v>0.99934973484307432</v>
      </c>
      <c r="J371" s="603">
        <f t="shared" si="212"/>
        <v>0.99764777761707824</v>
      </c>
      <c r="K371" s="604">
        <f t="shared" si="213"/>
        <v>0.99764777761707824</v>
      </c>
      <c r="L371" s="602">
        <v>0.99926830958652757</v>
      </c>
      <c r="M371" s="603">
        <f t="shared" si="214"/>
        <v>0.99762031504036097</v>
      </c>
      <c r="N371" s="604">
        <f t="shared" si="215"/>
        <v>0.99762031504036097</v>
      </c>
      <c r="O371" s="568" t="s">
        <v>1000</v>
      </c>
      <c r="P371" s="7"/>
      <c r="Q371" s="602">
        <v>0.99969484410472043</v>
      </c>
      <c r="R371" s="603">
        <f t="shared" si="216"/>
        <v>0.9987649613903905</v>
      </c>
      <c r="S371" s="604">
        <f t="shared" si="217"/>
        <v>0.9987649613903905</v>
      </c>
      <c r="T371" s="602">
        <v>0.99962134787258639</v>
      </c>
      <c r="U371" s="603">
        <f t="shared" si="218"/>
        <v>0.99863647525462729</v>
      </c>
      <c r="V371" s="604">
        <f t="shared" si="219"/>
        <v>0.99863647525462729</v>
      </c>
      <c r="W371" s="602">
        <v>0.99940076328218586</v>
      </c>
      <c r="X371" s="603">
        <f t="shared" si="220"/>
        <v>0.99864028085665502</v>
      </c>
      <c r="Y371" s="604">
        <f t="shared" si="221"/>
        <v>0.99864028085665502</v>
      </c>
      <c r="Z371" s="602">
        <v>0.99935744456309339</v>
      </c>
      <c r="AA371" s="603">
        <f t="shared" si="222"/>
        <v>0.99733380672315464</v>
      </c>
      <c r="AB371" s="604">
        <f t="shared" si="223"/>
        <v>0.99733380672315464</v>
      </c>
      <c r="AC371" s="602">
        <v>0.99961397917793504</v>
      </c>
      <c r="AD371" s="603">
        <f t="shared" si="224"/>
        <v>0.99836527072687398</v>
      </c>
      <c r="AE371" s="604">
        <f t="shared" si="225"/>
        <v>0.99836527072687398</v>
      </c>
    </row>
    <row r="372" spans="1:31" x14ac:dyDescent="0.2">
      <c r="A372" s="568" t="s">
        <v>1001</v>
      </c>
      <c r="B372" s="7"/>
      <c r="C372" s="602">
        <v>0.99976044995199842</v>
      </c>
      <c r="D372" s="603">
        <f t="shared" si="208"/>
        <v>0.99885738910167121</v>
      </c>
      <c r="E372" s="604">
        <f t="shared" si="209"/>
        <v>0.99885738910167121</v>
      </c>
      <c r="F372" s="602">
        <v>0.99972305340512846</v>
      </c>
      <c r="G372" s="603">
        <f t="shared" si="210"/>
        <v>0.99869284334431696</v>
      </c>
      <c r="H372" s="604">
        <f t="shared" si="211"/>
        <v>0.99869284334431696</v>
      </c>
      <c r="I372" s="602">
        <v>0.99956052713624399</v>
      </c>
      <c r="J372" s="603">
        <f t="shared" si="212"/>
        <v>0.99808640950974148</v>
      </c>
      <c r="K372" s="604">
        <f t="shared" si="213"/>
        <v>0.99808640950974148</v>
      </c>
      <c r="L372" s="602">
        <v>0.99956052713624399</v>
      </c>
      <c r="M372" s="603">
        <f t="shared" si="214"/>
        <v>0.9980589348586606</v>
      </c>
      <c r="N372" s="604">
        <f t="shared" si="215"/>
        <v>0.9980589348586606</v>
      </c>
      <c r="O372" s="568" t="s">
        <v>1001</v>
      </c>
      <c r="P372" s="7"/>
      <c r="Q372" s="602">
        <v>0.99981440174110037</v>
      </c>
      <c r="R372" s="603">
        <f t="shared" si="216"/>
        <v>0.99895036483883171</v>
      </c>
      <c r="S372" s="604">
        <f t="shared" si="217"/>
        <v>0.99895036483883171</v>
      </c>
      <c r="T372" s="602">
        <v>0.99982684494630925</v>
      </c>
      <c r="U372" s="603">
        <f t="shared" si="218"/>
        <v>0.99880942415409357</v>
      </c>
      <c r="V372" s="604">
        <f t="shared" si="219"/>
        <v>0.99880942415409357</v>
      </c>
      <c r="W372" s="602">
        <v>0.99981768589919418</v>
      </c>
      <c r="X372" s="603">
        <f t="shared" si="220"/>
        <v>0.99882238026077697</v>
      </c>
      <c r="Y372" s="604">
        <f t="shared" si="221"/>
        <v>0.99882238026077697</v>
      </c>
      <c r="Z372" s="602">
        <v>0.9994658211797357</v>
      </c>
      <c r="AA372" s="603">
        <f t="shared" si="222"/>
        <v>0.99786684605776266</v>
      </c>
      <c r="AB372" s="604">
        <f t="shared" si="223"/>
        <v>0.99786684605776266</v>
      </c>
      <c r="AC372" s="602">
        <v>0.99967941744629885</v>
      </c>
      <c r="AD372" s="603">
        <f t="shared" si="224"/>
        <v>0.99868543185296155</v>
      </c>
      <c r="AE372" s="604">
        <f t="shared" si="225"/>
        <v>0.99868543185296155</v>
      </c>
    </row>
    <row r="373" spans="1:31" x14ac:dyDescent="0.2">
      <c r="A373" s="568" t="s">
        <v>1043</v>
      </c>
      <c r="B373" s="595"/>
      <c r="C373" s="602">
        <v>0.99978429834459615</v>
      </c>
      <c r="D373" s="603">
        <f t="shared" si="208"/>
        <v>0.99907289077808115</v>
      </c>
      <c r="E373" s="604">
        <f t="shared" si="209"/>
        <v>0.99907289077808115</v>
      </c>
      <c r="F373" s="602">
        <v>0.99978948991758088</v>
      </c>
      <c r="G373" s="603">
        <f t="shared" si="210"/>
        <v>0.99890312252296798</v>
      </c>
      <c r="H373" s="604">
        <f t="shared" si="211"/>
        <v>0.99890312252296798</v>
      </c>
      <c r="I373" s="602">
        <v>0.99972305340512846</v>
      </c>
      <c r="J373" s="603">
        <f t="shared" si="212"/>
        <v>0.99836290271609474</v>
      </c>
      <c r="K373" s="604">
        <f t="shared" si="213"/>
        <v>0.99836290271609474</v>
      </c>
      <c r="L373" s="602">
        <v>0.99972305340512846</v>
      </c>
      <c r="M373" s="603">
        <f t="shared" si="214"/>
        <v>0.9983354204538949</v>
      </c>
      <c r="N373" s="604">
        <f t="shared" si="215"/>
        <v>0.9983354204538949</v>
      </c>
      <c r="O373" s="568" t="s">
        <v>1043</v>
      </c>
      <c r="P373" s="595"/>
      <c r="Q373" s="602">
        <v>0.99986370182131168</v>
      </c>
      <c r="R373" s="603">
        <f t="shared" si="216"/>
        <v>0.99908653851438323</v>
      </c>
      <c r="S373" s="604">
        <f t="shared" si="217"/>
        <v>0.99908653851438323</v>
      </c>
      <c r="T373" s="602">
        <v>0.99984186719089563</v>
      </c>
      <c r="U373" s="603">
        <f t="shared" si="218"/>
        <v>0.99896739367425891</v>
      </c>
      <c r="V373" s="604">
        <f t="shared" si="219"/>
        <v>0.99896739367425891</v>
      </c>
      <c r="W373" s="602">
        <v>0.9998239221644285</v>
      </c>
      <c r="X373" s="603">
        <f t="shared" si="220"/>
        <v>0.99899828171596117</v>
      </c>
      <c r="Y373" s="604">
        <f t="shared" si="221"/>
        <v>0.99899828171596117</v>
      </c>
      <c r="Z373" s="602">
        <v>0.9995230148365688</v>
      </c>
      <c r="AA373" s="603">
        <f t="shared" si="222"/>
        <v>0.99834304087627546</v>
      </c>
      <c r="AB373" s="604">
        <f t="shared" si="223"/>
        <v>0.99834304087627546</v>
      </c>
      <c r="AC373" s="602">
        <v>0.99969199743611481</v>
      </c>
      <c r="AD373" s="603">
        <f t="shared" si="224"/>
        <v>0.99899312429654852</v>
      </c>
      <c r="AE373" s="604">
        <f t="shared" si="225"/>
        <v>0.99899312429654852</v>
      </c>
    </row>
    <row r="374" spans="1:31" x14ac:dyDescent="0.2">
      <c r="A374" s="568" t="s">
        <v>1044</v>
      </c>
      <c r="B374" s="595"/>
      <c r="C374" s="602">
        <v>0.9997918501294969</v>
      </c>
      <c r="D374" s="603">
        <f t="shared" si="208"/>
        <v>0.99928089096613193</v>
      </c>
      <c r="E374" s="604">
        <f t="shared" si="209"/>
        <v>0.99928089096613193</v>
      </c>
      <c r="F374" s="602">
        <v>0.99980614487950892</v>
      </c>
      <c r="G374" s="603">
        <f t="shared" si="210"/>
        <v>0.99909680255400934</v>
      </c>
      <c r="H374" s="604">
        <f t="shared" si="211"/>
        <v>0.99909680255400934</v>
      </c>
      <c r="I374" s="602">
        <v>0.99974857845839515</v>
      </c>
      <c r="J374" s="603">
        <f t="shared" si="212"/>
        <v>0.9986139757813538</v>
      </c>
      <c r="K374" s="604">
        <f t="shared" si="213"/>
        <v>0.9986139757813538</v>
      </c>
      <c r="L374" s="602">
        <v>0.99974857845839515</v>
      </c>
      <c r="M374" s="603">
        <f t="shared" si="214"/>
        <v>0.9985864866077836</v>
      </c>
      <c r="N374" s="604">
        <f t="shared" si="215"/>
        <v>0.9985864866077836</v>
      </c>
      <c r="O374" s="568" t="s">
        <v>1044</v>
      </c>
      <c r="P374" s="595"/>
      <c r="Q374" s="602">
        <v>0.99987491450623922</v>
      </c>
      <c r="R374" s="603">
        <f t="shared" si="216"/>
        <v>0.99921152538140701</v>
      </c>
      <c r="S374" s="604">
        <f t="shared" si="217"/>
        <v>0.99921152538140701</v>
      </c>
      <c r="T374" s="602">
        <v>0.99985556734706083</v>
      </c>
      <c r="U374" s="603">
        <f t="shared" si="218"/>
        <v>0.99911169802738753</v>
      </c>
      <c r="V374" s="604">
        <f t="shared" si="219"/>
        <v>0.99911169802738753</v>
      </c>
      <c r="W374" s="602">
        <v>0.999824908501593</v>
      </c>
      <c r="X374" s="603">
        <f t="shared" si="220"/>
        <v>0.99917322845369927</v>
      </c>
      <c r="Y374" s="604">
        <f t="shared" si="221"/>
        <v>0.99917322845369927</v>
      </c>
      <c r="Z374" s="602">
        <v>0.99959600318024133</v>
      </c>
      <c r="AA374" s="603">
        <f t="shared" si="222"/>
        <v>0.99874653129866509</v>
      </c>
      <c r="AB374" s="604">
        <f t="shared" si="223"/>
        <v>0.99874653129866509</v>
      </c>
      <c r="AC374" s="602">
        <v>0.99976836409687653</v>
      </c>
      <c r="AD374" s="603">
        <f t="shared" si="224"/>
        <v>0.99922458058469543</v>
      </c>
      <c r="AE374" s="604">
        <f t="shared" si="225"/>
        <v>0.99922458058469543</v>
      </c>
    </row>
    <row r="375" spans="1:31" x14ac:dyDescent="0.2">
      <c r="A375" s="568" t="s">
        <v>1045</v>
      </c>
      <c r="B375" s="595"/>
      <c r="C375" s="602">
        <v>0.99985015369117236</v>
      </c>
      <c r="D375" s="603">
        <f t="shared" si="208"/>
        <v>0.99943065196025738</v>
      </c>
      <c r="E375" s="604">
        <f t="shared" si="209"/>
        <v>0.99943065196025738</v>
      </c>
      <c r="F375" s="602">
        <v>0.99984260122970792</v>
      </c>
      <c r="G375" s="603">
        <f t="shared" si="210"/>
        <v>0.99925408391802739</v>
      </c>
      <c r="H375" s="604">
        <f t="shared" si="211"/>
        <v>0.99925408391802739</v>
      </c>
      <c r="I375" s="602">
        <v>0.99978948991758088</v>
      </c>
      <c r="J375" s="603">
        <f t="shared" si="212"/>
        <v>0.99882423835409195</v>
      </c>
      <c r="K375" s="604">
        <f t="shared" si="213"/>
        <v>0.99882423835409195</v>
      </c>
      <c r="L375" s="602">
        <v>0.99978948991758088</v>
      </c>
      <c r="M375" s="603">
        <f t="shared" si="214"/>
        <v>0.99879674339255509</v>
      </c>
      <c r="N375" s="604">
        <f t="shared" si="215"/>
        <v>0.99879674339255509</v>
      </c>
      <c r="O375" s="568" t="s">
        <v>1045</v>
      </c>
      <c r="P375" s="595"/>
      <c r="Q375" s="602">
        <v>0.99988598601805556</v>
      </c>
      <c r="R375" s="603">
        <f t="shared" si="216"/>
        <v>0.99932546245664011</v>
      </c>
      <c r="S375" s="604">
        <f t="shared" si="217"/>
        <v>0.99932546245664011</v>
      </c>
      <c r="T375" s="602">
        <v>0.99986957063031812</v>
      </c>
      <c r="U375" s="603">
        <f t="shared" si="218"/>
        <v>0.99924202853532906</v>
      </c>
      <c r="V375" s="604">
        <f t="shared" si="219"/>
        <v>0.99924202853532906</v>
      </c>
      <c r="W375" s="602">
        <v>0.99985183980701964</v>
      </c>
      <c r="X375" s="603">
        <f t="shared" si="220"/>
        <v>0.99932128808859189</v>
      </c>
      <c r="Y375" s="604">
        <f t="shared" si="221"/>
        <v>0.99932128808859189</v>
      </c>
      <c r="Z375" s="602">
        <v>0.99967941744629885</v>
      </c>
      <c r="AA375" s="603">
        <f t="shared" si="222"/>
        <v>0.99906681468943626</v>
      </c>
      <c r="AB375" s="604">
        <f t="shared" si="223"/>
        <v>0.99906681468943626</v>
      </c>
      <c r="AC375" s="602">
        <v>0.99980109362261305</v>
      </c>
      <c r="AD375" s="603">
        <f t="shared" si="224"/>
        <v>0.99942337226714895</v>
      </c>
      <c r="AE375" s="604">
        <f t="shared" si="225"/>
        <v>0.99942337226714895</v>
      </c>
    </row>
    <row r="376" spans="1:31" x14ac:dyDescent="0.2">
      <c r="A376" s="568" t="s">
        <v>1046</v>
      </c>
      <c r="B376" s="595"/>
      <c r="C376" s="602">
        <v>0.99985742662361254</v>
      </c>
      <c r="D376" s="603">
        <f t="shared" si="208"/>
        <v>0.99957316448126377</v>
      </c>
      <c r="E376" s="604">
        <f t="shared" si="209"/>
        <v>0.99957316448126377</v>
      </c>
      <c r="F376" s="602">
        <v>0.99984821241550581</v>
      </c>
      <c r="G376" s="603">
        <f t="shared" si="210"/>
        <v>0.99940578130750157</v>
      </c>
      <c r="H376" s="604">
        <f t="shared" si="211"/>
        <v>0.99940578130750157</v>
      </c>
      <c r="I376" s="602">
        <v>0.99981141276732144</v>
      </c>
      <c r="J376" s="603">
        <f t="shared" si="212"/>
        <v>0.99901263938316409</v>
      </c>
      <c r="K376" s="604">
        <f t="shared" si="213"/>
        <v>0.99901263938316409</v>
      </c>
      <c r="L376" s="602">
        <v>0.99980030938382192</v>
      </c>
      <c r="M376" s="603">
        <f t="shared" si="214"/>
        <v>0.99899623356599543</v>
      </c>
      <c r="N376" s="604">
        <f t="shared" si="215"/>
        <v>0.99899623356599543</v>
      </c>
      <c r="O376" s="568" t="s">
        <v>1046</v>
      </c>
      <c r="P376" s="595"/>
      <c r="Q376" s="602">
        <v>0.99988665846561209</v>
      </c>
      <c r="R376" s="603">
        <f t="shared" si="216"/>
        <v>0.9994387403770012</v>
      </c>
      <c r="S376" s="604">
        <f t="shared" si="217"/>
        <v>0.9994387403770012</v>
      </c>
      <c r="T376" s="602">
        <v>0.99988598601805556</v>
      </c>
      <c r="U376" s="603">
        <f t="shared" si="218"/>
        <v>0.9993559690887448</v>
      </c>
      <c r="V376" s="604">
        <f t="shared" si="219"/>
        <v>0.9993559690887448</v>
      </c>
      <c r="W376" s="602">
        <v>0.99987293034971114</v>
      </c>
      <c r="X376" s="603">
        <f t="shared" si="220"/>
        <v>0.99944828763298321</v>
      </c>
      <c r="Y376" s="604">
        <f t="shared" si="221"/>
        <v>0.99944828763298321</v>
      </c>
      <c r="Z376" s="602">
        <v>0.99977977832980258</v>
      </c>
      <c r="AA376" s="603">
        <f t="shared" si="222"/>
        <v>0.99928687931500537</v>
      </c>
      <c r="AB376" s="604">
        <f t="shared" si="223"/>
        <v>0.99928687931500537</v>
      </c>
      <c r="AC376" s="602">
        <v>0.99981002722623835</v>
      </c>
      <c r="AD376" s="603">
        <f t="shared" si="224"/>
        <v>0.99961327157303859</v>
      </c>
      <c r="AE376" s="604">
        <f t="shared" si="225"/>
        <v>0.99961327157303859</v>
      </c>
    </row>
    <row r="377" spans="1:31" x14ac:dyDescent="0.2">
      <c r="A377" s="568" t="s">
        <v>1047</v>
      </c>
      <c r="B377" s="595"/>
      <c r="C377" s="602">
        <v>0.99988381255229108</v>
      </c>
      <c r="D377" s="603">
        <f t="shared" si="208"/>
        <v>0.99968931583137211</v>
      </c>
      <c r="E377" s="604">
        <f t="shared" si="209"/>
        <v>0.99968931583137211</v>
      </c>
      <c r="F377" s="602">
        <v>0.99985644281383379</v>
      </c>
      <c r="G377" s="603">
        <f t="shared" si="210"/>
        <v>0.99954927378868119</v>
      </c>
      <c r="H377" s="604">
        <f t="shared" si="211"/>
        <v>0.99954927378868119</v>
      </c>
      <c r="I377" s="602">
        <v>0.99982377661792798</v>
      </c>
      <c r="J377" s="603">
        <f t="shared" si="212"/>
        <v>0.99918871979869528</v>
      </c>
      <c r="K377" s="604">
        <f t="shared" si="213"/>
        <v>0.99918871979869528</v>
      </c>
      <c r="L377" s="602">
        <v>0.99981141276732144</v>
      </c>
      <c r="M377" s="603">
        <f t="shared" si="214"/>
        <v>0.99918466703728681</v>
      </c>
      <c r="N377" s="604">
        <f t="shared" si="215"/>
        <v>0.99918466703728681</v>
      </c>
      <c r="O377" s="568" t="s">
        <v>1047</v>
      </c>
      <c r="P377" s="595"/>
      <c r="Q377" s="602">
        <v>0.99989587196944241</v>
      </c>
      <c r="R377" s="603">
        <f t="shared" si="216"/>
        <v>0.99954282080238932</v>
      </c>
      <c r="S377" s="604">
        <f t="shared" si="217"/>
        <v>0.99954282080238932</v>
      </c>
      <c r="T377" s="602">
        <v>0.99988665846561209</v>
      </c>
      <c r="U377" s="603">
        <f t="shared" si="218"/>
        <v>0.99946925046716628</v>
      </c>
      <c r="V377" s="604">
        <f t="shared" si="219"/>
        <v>0.99946925046716628</v>
      </c>
      <c r="W377" s="602">
        <v>0.99987781893688421</v>
      </c>
      <c r="X377" s="603">
        <f t="shared" si="220"/>
        <v>0.9995704162090947</v>
      </c>
      <c r="Y377" s="604">
        <f t="shared" si="221"/>
        <v>0.9995704162090947</v>
      </c>
      <c r="Z377" s="602">
        <v>0.9997876020952684</v>
      </c>
      <c r="AA377" s="603">
        <f t="shared" si="222"/>
        <v>0.99949917084467377</v>
      </c>
      <c r="AB377" s="604">
        <f t="shared" si="223"/>
        <v>0.99949917084467377</v>
      </c>
      <c r="AC377" s="602">
        <v>0.99986556192017939</v>
      </c>
      <c r="AD377" s="603">
        <f t="shared" si="224"/>
        <v>0.99974767573086898</v>
      </c>
      <c r="AE377" s="604">
        <f t="shared" si="225"/>
        <v>0.99974767573086898</v>
      </c>
    </row>
    <row r="378" spans="1:31" x14ac:dyDescent="0.2">
      <c r="A378" s="568" t="s">
        <v>1048</v>
      </c>
      <c r="B378" s="595"/>
      <c r="C378" s="602">
        <v>0.99989117922853876</v>
      </c>
      <c r="D378" s="603">
        <f t="shared" si="208"/>
        <v>0.99979811463351198</v>
      </c>
      <c r="E378" s="604">
        <f t="shared" si="209"/>
        <v>0.99979811463351198</v>
      </c>
      <c r="F378" s="602">
        <v>0.99989054440452052</v>
      </c>
      <c r="G378" s="603">
        <f t="shared" si="210"/>
        <v>0.99965869202609314</v>
      </c>
      <c r="H378" s="604">
        <f t="shared" si="211"/>
        <v>0.99965869202609314</v>
      </c>
      <c r="I378" s="602">
        <v>0.99982409884847634</v>
      </c>
      <c r="J378" s="603">
        <f t="shared" si="212"/>
        <v>0.99936450916664954</v>
      </c>
      <c r="K378" s="604">
        <f t="shared" si="213"/>
        <v>0.99936450916664954</v>
      </c>
      <c r="L378" s="602">
        <v>0.99982377661792798</v>
      </c>
      <c r="M378" s="603">
        <f t="shared" si="214"/>
        <v>0.99936077777345622</v>
      </c>
      <c r="N378" s="604">
        <f t="shared" si="215"/>
        <v>0.99936077777345622</v>
      </c>
      <c r="O378" s="568" t="s">
        <v>1048</v>
      </c>
      <c r="P378" s="595"/>
      <c r="Q378" s="602">
        <v>0.99990884451642059</v>
      </c>
      <c r="R378" s="603">
        <f t="shared" si="216"/>
        <v>0.99963394291785834</v>
      </c>
      <c r="S378" s="604">
        <f t="shared" si="217"/>
        <v>0.99963394291785834</v>
      </c>
      <c r="T378" s="602">
        <v>0.99988822328152627</v>
      </c>
      <c r="U378" s="603">
        <f t="shared" si="218"/>
        <v>0.99958098034899845</v>
      </c>
      <c r="V378" s="604">
        <f t="shared" si="219"/>
        <v>0.99958098034899845</v>
      </c>
      <c r="W378" s="602">
        <v>0.99988990930066102</v>
      </c>
      <c r="X378" s="603">
        <f t="shared" si="220"/>
        <v>0.99968047173134311</v>
      </c>
      <c r="Y378" s="604">
        <f t="shared" si="221"/>
        <v>0.99968047173134311</v>
      </c>
      <c r="Z378" s="602">
        <v>0.99984430431681981</v>
      </c>
      <c r="AA378" s="603">
        <f t="shared" si="222"/>
        <v>0.9996548127836945</v>
      </c>
      <c r="AB378" s="604">
        <f t="shared" si="223"/>
        <v>0.9996548127836945</v>
      </c>
      <c r="AC378" s="602">
        <v>0.99989587196944252</v>
      </c>
      <c r="AD378" s="603">
        <f t="shared" si="224"/>
        <v>0.99985178832843702</v>
      </c>
      <c r="AE378" s="604">
        <f t="shared" si="225"/>
        <v>0.99985178832843702</v>
      </c>
    </row>
    <row r="379" spans="1:31" x14ac:dyDescent="0.2">
      <c r="A379" s="568" t="s">
        <v>1049</v>
      </c>
      <c r="B379" s="595"/>
      <c r="C379" s="602">
        <v>0.99990529956837115</v>
      </c>
      <c r="D379" s="603">
        <f t="shared" si="208"/>
        <v>0.9998928049137199</v>
      </c>
      <c r="E379" s="604">
        <f t="shared" si="209"/>
        <v>0.9998928049137199</v>
      </c>
      <c r="F379" s="602">
        <v>0.99990529956837115</v>
      </c>
      <c r="G379" s="603">
        <f t="shared" si="210"/>
        <v>0.99975336910166945</v>
      </c>
      <c r="H379" s="604">
        <f t="shared" si="211"/>
        <v>0.99975336910166945</v>
      </c>
      <c r="I379" s="602">
        <v>0.99982783197160863</v>
      </c>
      <c r="J379" s="603">
        <f t="shared" si="212"/>
        <v>0.99953659741193102</v>
      </c>
      <c r="K379" s="604">
        <f t="shared" si="213"/>
        <v>0.99953659741193102</v>
      </c>
      <c r="L379" s="602">
        <v>0.99982409884847634</v>
      </c>
      <c r="M379" s="603">
        <f t="shared" si="214"/>
        <v>0.99953659741193102</v>
      </c>
      <c r="N379" s="604">
        <f t="shared" si="215"/>
        <v>0.99953659741193102</v>
      </c>
      <c r="O379" s="568" t="s">
        <v>1049</v>
      </c>
      <c r="P379" s="595"/>
      <c r="Q379" s="602">
        <v>0.9999134928664325</v>
      </c>
      <c r="R379" s="603">
        <f t="shared" si="216"/>
        <v>0.99972042586626897</v>
      </c>
      <c r="S379" s="604">
        <f t="shared" si="217"/>
        <v>0.99972042586626897</v>
      </c>
      <c r="T379" s="602">
        <v>0.99989587196944241</v>
      </c>
      <c r="U379" s="603">
        <f t="shared" si="218"/>
        <v>0.99968507558709718</v>
      </c>
      <c r="V379" s="604">
        <f t="shared" si="219"/>
        <v>0.99968507558709718</v>
      </c>
      <c r="W379" s="602">
        <v>0.99989122627729632</v>
      </c>
      <c r="X379" s="603">
        <f t="shared" si="220"/>
        <v>0.99978922252699642</v>
      </c>
      <c r="Y379" s="604">
        <f t="shared" si="221"/>
        <v>0.99978922252699642</v>
      </c>
      <c r="Z379" s="602">
        <v>0.99986556192017939</v>
      </c>
      <c r="AA379" s="603">
        <f t="shared" si="222"/>
        <v>0.99978922252699642</v>
      </c>
      <c r="AB379" s="604">
        <f t="shared" si="223"/>
        <v>0.99978922252699642</v>
      </c>
      <c r="AC379" s="602">
        <v>0.99995367558525583</v>
      </c>
      <c r="AD379" s="603">
        <f t="shared" si="224"/>
        <v>0.99989810802309498</v>
      </c>
      <c r="AE379" s="604">
        <f t="shared" si="225"/>
        <v>0.99989810802309498</v>
      </c>
    </row>
    <row r="380" spans="1:31" x14ac:dyDescent="0.2">
      <c r="A380" s="568" t="s">
        <v>1050</v>
      </c>
      <c r="B380" s="595"/>
      <c r="C380" s="602">
        <v>0.99995593300735575</v>
      </c>
      <c r="D380" s="603">
        <f t="shared" si="208"/>
        <v>0.99993686912437629</v>
      </c>
      <c r="E380" s="605">
        <f>MAX(MIN(SUMPRODUCT(D375:D385,$G$329:$G$339),$E$275),MIN(D380,$E$275))</f>
        <v>0.99993686912437629</v>
      </c>
      <c r="F380" s="602">
        <v>0.99992643757302846</v>
      </c>
      <c r="G380" s="603">
        <f t="shared" si="210"/>
        <v>0.99982691879636754</v>
      </c>
      <c r="H380" s="605">
        <f>MAX(MIN(SUMPRODUCT(G375:G385,$G$329:$G$339),$E$275),MIN(G380,$E$275))</f>
        <v>0.99982691879636754</v>
      </c>
      <c r="I380" s="602">
        <v>0.99983823361713087</v>
      </c>
      <c r="J380" s="603">
        <f t="shared" si="212"/>
        <v>0.99969831499230766</v>
      </c>
      <c r="K380" s="605">
        <f>MAX(MIN(SUMPRODUCT(J375:J385,$G$329:$G$339),$E$275),MIN(J380,$E$275))</f>
        <v>0.99969831499230766</v>
      </c>
      <c r="L380" s="602">
        <v>0.99983823361713087</v>
      </c>
      <c r="M380" s="603">
        <f t="shared" si="214"/>
        <v>0.99969831499230766</v>
      </c>
      <c r="N380" s="605">
        <f>MAX(MIN(SUMPRODUCT(M375:M385,$G$329:$G$339),$E$275),MIN(M380,$E$275))</f>
        <v>0.99969831499230766</v>
      </c>
      <c r="O380" s="568" t="s">
        <v>1050</v>
      </c>
      <c r="P380" s="595"/>
      <c r="Q380" s="602">
        <v>0.99991841970797224</v>
      </c>
      <c r="R380" s="603">
        <f t="shared" si="216"/>
        <v>0.99980199000458347</v>
      </c>
      <c r="S380" s="605">
        <f>MAX(MIN(SUMPRODUCT(R375:R385,$G$329:$G$339),$E$275),MIN(R380,$E$275))</f>
        <v>0.99980199000458347</v>
      </c>
      <c r="T380" s="602">
        <v>0.99990413891278984</v>
      </c>
      <c r="U380" s="603">
        <f t="shared" si="218"/>
        <v>0.99978091567264549</v>
      </c>
      <c r="V380" s="605">
        <f>MAX(MIN(SUMPRODUCT(U375:U385,$G$329:$G$339),$E$275),MIN(U380,$E$275))</f>
        <v>0.99978091567264549</v>
      </c>
      <c r="W380" s="602">
        <v>0.99989587196944252</v>
      </c>
      <c r="X380" s="603">
        <f t="shared" si="220"/>
        <v>0.99989333945120107</v>
      </c>
      <c r="Y380" s="605">
        <f>MAX(MIN(SUMPRODUCT(X375:X385,$G$329:$G$339),$E$275),MIN(X380,$E$275))</f>
        <v>0.99989333945120107</v>
      </c>
      <c r="Z380" s="602">
        <v>0.99989587196944252</v>
      </c>
      <c r="AA380" s="603">
        <f t="shared" si="222"/>
        <v>0.99989333945120107</v>
      </c>
      <c r="AB380" s="605">
        <f>MAX(MIN(SUMPRODUCT(AA375:AA385,$G$329:$G$339),$E$275),MIN(AA380,$E$275))</f>
        <v>0.99989333945120107</v>
      </c>
      <c r="AC380" s="602">
        <v>0.99995844444489757</v>
      </c>
      <c r="AD380" s="603">
        <f t="shared" si="224"/>
        <v>0.9999396610707797</v>
      </c>
      <c r="AE380" s="605">
        <f>MAX(MIN(SUMPRODUCT(AD375:AD385,$G$329:$G$339),$E$275),MIN(AD380,$E$275))</f>
        <v>0.9999396610707797</v>
      </c>
    </row>
    <row r="381" spans="1:31" x14ac:dyDescent="0.2">
      <c r="A381" s="568" t="s">
        <v>1051</v>
      </c>
      <c r="B381" s="595"/>
      <c r="C381" s="602">
        <v>0.99997437072950102</v>
      </c>
      <c r="D381" s="603">
        <f t="shared" si="208"/>
        <v>0.99996249743371191</v>
      </c>
      <c r="E381" s="605">
        <f>MAX(MIN(SUMPRODUCT(D376:D386,$G$329:$G$339),$E$275),MIN(D381,$E$275))</f>
        <v>0.99996249743371191</v>
      </c>
      <c r="F381" s="602">
        <v>0.9999323877717643</v>
      </c>
      <c r="G381" s="603">
        <f t="shared" si="210"/>
        <v>0.99989452389312861</v>
      </c>
      <c r="H381" s="605">
        <f>MAX(MIN(SUMPRODUCT(G376:G386,$G$329:$G$339),$E$275),MIN(G381,$E$275))</f>
        <v>0.99989452389312861</v>
      </c>
      <c r="I381" s="602">
        <v>0.99984260122970792</v>
      </c>
      <c r="J381" s="603">
        <f t="shared" si="212"/>
        <v>0.99985569104854821</v>
      </c>
      <c r="K381" s="605">
        <f>MAX(MIN(SUMPRODUCT(J376:J386,$G$329:$G$339),$E$275),MIN(J381,$E$275))</f>
        <v>0.99985569104854821</v>
      </c>
      <c r="L381" s="602">
        <v>0.99984260122970792</v>
      </c>
      <c r="M381" s="603">
        <f t="shared" si="214"/>
        <v>0.99985569104854821</v>
      </c>
      <c r="N381" s="605">
        <f>MAX(MIN(SUMPRODUCT(M376:M386,$G$329:$G$339),$E$275),MIN(M381,$E$275))</f>
        <v>0.99985569104854821</v>
      </c>
      <c r="O381" s="568" t="s">
        <v>1051</v>
      </c>
      <c r="P381" s="595"/>
      <c r="Q381" s="602">
        <v>0.99992110788568345</v>
      </c>
      <c r="R381" s="603">
        <f t="shared" si="216"/>
        <v>0.99988087272069714</v>
      </c>
      <c r="S381" s="605">
        <f>MAX(MIN(SUMPRODUCT(R376:R386,$G$329:$G$339),$E$275),MIN(R381,$E$275))</f>
        <v>0.99988087272069714</v>
      </c>
      <c r="T381" s="602">
        <v>0.9999134928664325</v>
      </c>
      <c r="U381" s="603">
        <f t="shared" si="218"/>
        <v>0.99986741133634771</v>
      </c>
      <c r="V381" s="605">
        <f>MAX(MIN(SUMPRODUCT(U376:U386,$G$329:$G$339),$E$275),MIN(U381,$E$275))</f>
        <v>0.99986741133634771</v>
      </c>
      <c r="W381" s="602">
        <v>0.99995367558525583</v>
      </c>
      <c r="X381" s="603">
        <f t="shared" si="220"/>
        <v>0.9999396610707797</v>
      </c>
      <c r="Y381" s="605">
        <f>MAX(MIN(SUMPRODUCT(X376:X386,$G$329:$G$339),$E$275),MIN(X381,$E$275))</f>
        <v>0.9999396610707797</v>
      </c>
      <c r="Z381" s="602">
        <v>0.99995367558525583</v>
      </c>
      <c r="AA381" s="603">
        <f t="shared" si="222"/>
        <v>0.9999396610707797</v>
      </c>
      <c r="AB381" s="605">
        <f>MAX(MIN(SUMPRODUCT(AA376:AA386,$G$329:$G$339),$E$275),MIN(AA381,$E$275))</f>
        <v>0.9999396610707797</v>
      </c>
      <c r="AC381" s="602">
        <v>0.99996528945167262</v>
      </c>
      <c r="AD381" s="603">
        <f t="shared" si="224"/>
        <v>0.99997437072950102</v>
      </c>
      <c r="AE381" s="605">
        <f>MAX(MIN(SUMPRODUCT(AD376:AD386,$G$329:$G$339),$E$275),MIN(AD381,$E$275))</f>
        <v>0.99997437072950102</v>
      </c>
    </row>
    <row r="382" spans="1:31" x14ac:dyDescent="0.2">
      <c r="A382" s="568" t="s">
        <v>1052</v>
      </c>
      <c r="B382" s="595"/>
      <c r="C382" s="602">
        <v>0.99997601543757597</v>
      </c>
      <c r="D382" s="603">
        <f t="shared" si="208"/>
        <v>0.99998648167190474</v>
      </c>
      <c r="E382" s="605">
        <f>MAX(MIN(SUMPRODUCT(D377:D387,$G$329:$G$339),$E$275),MIN(D382,$E$275))</f>
        <v>0.99998648167190474</v>
      </c>
      <c r="F382" s="602">
        <v>0.99994413433966955</v>
      </c>
      <c r="G382" s="603">
        <f t="shared" si="210"/>
        <v>0.99995038678178383</v>
      </c>
      <c r="H382" s="605">
        <f>MAX(MIN(SUMPRODUCT(G377:G387,$G$329:$G$339),$E$275),MIN(G382,$E$275))</f>
        <v>0.99995038678178383</v>
      </c>
      <c r="I382" s="602">
        <v>0.99990529956837115</v>
      </c>
      <c r="J382" s="603">
        <f t="shared" si="212"/>
        <v>0.99995038678178383</v>
      </c>
      <c r="K382" s="605">
        <f>MAX(MIN(SUMPRODUCT(J377:J387,$G$329:$G$339),$E$275),MIN(J382,$E$275))</f>
        <v>0.99995038678178383</v>
      </c>
      <c r="L382" s="602">
        <v>0.99990529956837115</v>
      </c>
      <c r="M382" s="603">
        <f t="shared" si="214"/>
        <v>0.99995038678178383</v>
      </c>
      <c r="N382" s="605">
        <f>MAX(MIN(SUMPRODUCT(M377:M387,$G$329:$G$339),$E$275),MIN(M382,$E$275))</f>
        <v>0.99995038678178383</v>
      </c>
      <c r="O382" s="568" t="s">
        <v>1052</v>
      </c>
      <c r="P382" s="595"/>
      <c r="Q382" s="602">
        <v>0.99993048248992589</v>
      </c>
      <c r="R382" s="603">
        <f t="shared" si="216"/>
        <v>0.99995038678178383</v>
      </c>
      <c r="S382" s="605">
        <f>MAX(MIN(SUMPRODUCT(R377:R387,$G$329:$G$339),$E$275),MIN(R382,$E$275))</f>
        <v>0.99995038678178383</v>
      </c>
      <c r="T382" s="602">
        <v>0.99991702043768071</v>
      </c>
      <c r="U382" s="603">
        <f t="shared" si="218"/>
        <v>0.99995038678178383</v>
      </c>
      <c r="V382" s="605">
        <f>MAX(MIN(SUMPRODUCT(U377:U387,$G$329:$G$339),$E$275),MIN(U382,$E$275))</f>
        <v>0.99995038678178383</v>
      </c>
      <c r="W382" s="602">
        <v>0.99996528945167262</v>
      </c>
      <c r="X382" s="603">
        <f t="shared" si="220"/>
        <v>0.99997437072950102</v>
      </c>
      <c r="Y382" s="605">
        <f>MAX(MIN(SUMPRODUCT(X377:X387,$G$329:$G$339),$E$275),MIN(X382,$E$275))</f>
        <v>0.99997437072950102</v>
      </c>
      <c r="Z382" s="602">
        <v>0.99996528945167262</v>
      </c>
      <c r="AA382" s="603">
        <f t="shared" si="222"/>
        <v>0.99997437072950102</v>
      </c>
      <c r="AB382" s="605">
        <f>MAX(MIN(SUMPRODUCT(AA377:AA387,$G$329:$G$339),$E$275),MIN(AA382,$E$275))</f>
        <v>0.99997437072950102</v>
      </c>
      <c r="AC382" s="602">
        <v>0.99997437072950102</v>
      </c>
      <c r="AD382" s="603">
        <f t="shared" si="224"/>
        <v>1</v>
      </c>
      <c r="AE382" s="605">
        <f>MAX(MIN(SUMPRODUCT(AD377:AD387,$G$329:$G$339),$E$275),MIN(AD382,$E$275))</f>
        <v>1</v>
      </c>
    </row>
    <row r="383" spans="1:31" x14ac:dyDescent="0.2">
      <c r="A383" s="568" t="s">
        <v>1053</v>
      </c>
      <c r="B383" s="595"/>
      <c r="C383" s="602">
        <v>0.99998648167190474</v>
      </c>
      <c r="D383" s="606">
        <f>C384*D385</f>
        <v>1</v>
      </c>
      <c r="E383" s="607">
        <f>MAX(MIN(SUMPRODUCT(A378:A388,$G$237:$G$247),$E$203),MIN(D383,$E$203))</f>
        <v>0.99584975359959937</v>
      </c>
      <c r="F383" s="602">
        <v>0.99997437072950102</v>
      </c>
      <c r="G383" s="606">
        <f>F384*G385</f>
        <v>0.99997601543757597</v>
      </c>
      <c r="H383" s="607">
        <f>MAX(MIN(SUMPRODUCT(D378:D388,$G$237:$G$247),$E$203),MIN(G383,$E$203))</f>
        <v>0.99584975359959937</v>
      </c>
      <c r="I383" s="602">
        <v>0.99997437072950102</v>
      </c>
      <c r="J383" s="606">
        <f>I384*J385</f>
        <v>0.99997601543757597</v>
      </c>
      <c r="K383" s="607">
        <f>MAX(MIN(SUMPRODUCT(G378:G388,$G$237:$G$247),$E$203),MIN(J383,$E$203))</f>
        <v>0.99584975359959937</v>
      </c>
      <c r="L383" s="602">
        <v>0.99997437072950102</v>
      </c>
      <c r="M383" s="606">
        <f>L384*M385</f>
        <v>0.99997601543757597</v>
      </c>
      <c r="N383" s="607">
        <f>MAX(MIN(SUMPRODUCT(J378:J388,$G$237:$G$247),$E$203),MIN(M383,$E$203))</f>
        <v>0.99584975359959937</v>
      </c>
      <c r="O383" s="568" t="s">
        <v>1053</v>
      </c>
      <c r="P383" s="595"/>
      <c r="Q383" s="602">
        <v>0.99997437072950102</v>
      </c>
      <c r="R383" s="606">
        <f>Q384*R385</f>
        <v>0.99997601543757597</v>
      </c>
      <c r="S383" s="607">
        <f>MAX(MIN(SUMPRODUCT(O378:O388,$G$237:$G$247),$E$203),MIN(R383,$E$203))</f>
        <v>0.99584975359959937</v>
      </c>
      <c r="T383" s="602">
        <v>0.99997437072950102</v>
      </c>
      <c r="U383" s="606">
        <f>T384*U385</f>
        <v>0.99997601543757597</v>
      </c>
      <c r="V383" s="607">
        <f>MAX(MIN(SUMPRODUCT(R378:R388,$G$237:$G$247),$E$203),MIN(U383,$E$203))</f>
        <v>0.99584975359959937</v>
      </c>
      <c r="W383" s="602">
        <v>0.99997437072950102</v>
      </c>
      <c r="X383" s="606">
        <f>W384*X385</f>
        <v>1</v>
      </c>
      <c r="Y383" s="607">
        <f>MAX(MIN(SUMPRODUCT(U378:U388,$G$237:$G$247),$E$203),MIN(X383,$E$203))</f>
        <v>0.99584975359959937</v>
      </c>
      <c r="Z383" s="602">
        <v>0.99997437072950102</v>
      </c>
      <c r="AA383" s="606">
        <f>Z384*AA385</f>
        <v>1</v>
      </c>
      <c r="AB383" s="607">
        <f>MAX(MIN(SUMPRODUCT(X378:X388,$G$237:$G$247),$E$203),MIN(AA383,$E$203))</f>
        <v>0.99584975359959937</v>
      </c>
      <c r="AC383" s="602">
        <v>1</v>
      </c>
      <c r="AD383" s="606">
        <f>AC384*AD385</f>
        <v>1</v>
      </c>
      <c r="AE383" s="607">
        <f>MAX(MIN(SUMPRODUCT(AA378:AA388,$G$237:$G$247),$E$203),MIN(AD383,$E$203))</f>
        <v>0.99584975359959937</v>
      </c>
    </row>
    <row r="384" spans="1:31" x14ac:dyDescent="0.2">
      <c r="A384" s="568" t="s">
        <v>1054</v>
      </c>
      <c r="B384" s="595"/>
      <c r="C384" s="602">
        <v>1</v>
      </c>
      <c r="D384" s="603"/>
      <c r="E384" s="608"/>
      <c r="F384" s="602">
        <v>0.99997601543757597</v>
      </c>
      <c r="G384" s="603"/>
      <c r="H384" s="608"/>
      <c r="I384" s="602">
        <v>0.99997601543757597</v>
      </c>
      <c r="J384" s="603"/>
      <c r="K384" s="608"/>
      <c r="L384" s="602">
        <v>0.99997601543757597</v>
      </c>
      <c r="M384" s="603"/>
      <c r="N384" s="608"/>
      <c r="O384" s="568" t="s">
        <v>1054</v>
      </c>
      <c r="P384" s="595"/>
      <c r="Q384" s="602">
        <v>0.99997601543757597</v>
      </c>
      <c r="R384" s="603"/>
      <c r="S384" s="608"/>
      <c r="T384" s="602">
        <v>0.99997601543757597</v>
      </c>
      <c r="U384" s="603"/>
      <c r="V384" s="608"/>
      <c r="W384" s="602">
        <v>1</v>
      </c>
      <c r="X384" s="603"/>
      <c r="Y384" s="608"/>
      <c r="Z384" s="602">
        <v>1</v>
      </c>
      <c r="AA384" s="603"/>
      <c r="AB384" s="608"/>
      <c r="AC384" s="602">
        <v>1</v>
      </c>
      <c r="AD384" s="603"/>
      <c r="AE384" s="608"/>
    </row>
    <row r="385" spans="1:31" ht="12" thickBot="1" x14ac:dyDescent="0.25">
      <c r="A385" s="7" t="s">
        <v>64</v>
      </c>
      <c r="B385" s="7"/>
      <c r="C385" s="25"/>
      <c r="D385" s="26">
        <f>+$E$275</f>
        <v>1</v>
      </c>
      <c r="E385" s="27"/>
      <c r="F385" s="25"/>
      <c r="G385" s="26">
        <f>+$E$275</f>
        <v>1</v>
      </c>
      <c r="H385" s="27"/>
      <c r="I385" s="25"/>
      <c r="J385" s="26">
        <f>+$E$275</f>
        <v>1</v>
      </c>
      <c r="K385" s="27"/>
      <c r="L385" s="25"/>
      <c r="M385" s="26">
        <f>+$E$275</f>
        <v>1</v>
      </c>
      <c r="N385" s="27"/>
      <c r="O385" s="7" t="s">
        <v>64</v>
      </c>
      <c r="P385" s="7"/>
      <c r="Q385" s="25"/>
      <c r="R385" s="26">
        <f>+$E$275</f>
        <v>1</v>
      </c>
      <c r="S385" s="27"/>
      <c r="T385" s="25"/>
      <c r="U385" s="26">
        <f>+$E$275</f>
        <v>1</v>
      </c>
      <c r="V385" s="27"/>
      <c r="W385" s="25"/>
      <c r="X385" s="26">
        <f>+$E$275</f>
        <v>1</v>
      </c>
      <c r="Y385" s="27"/>
      <c r="Z385" s="25"/>
      <c r="AA385" s="26">
        <f>+$E$275</f>
        <v>1</v>
      </c>
      <c r="AB385" s="27"/>
      <c r="AC385" s="25"/>
      <c r="AD385" s="26">
        <f>+$E$275</f>
        <v>1</v>
      </c>
      <c r="AE385" s="27"/>
    </row>
    <row r="386" spans="1:31" ht="12" thickTop="1" x14ac:dyDescent="0.2"/>
    <row r="388" spans="1:31" x14ac:dyDescent="0.2">
      <c r="C388" s="1" t="s">
        <v>76</v>
      </c>
      <c r="G388" s="29" t="s">
        <v>69</v>
      </c>
      <c r="I388" t="s">
        <v>485</v>
      </c>
      <c r="Q388" t="s">
        <v>485</v>
      </c>
    </row>
    <row r="389" spans="1:31" x14ac:dyDescent="0.2">
      <c r="D389" s="30" t="s">
        <v>70</v>
      </c>
      <c r="E389" s="30"/>
      <c r="F389" s="30">
        <v>-5</v>
      </c>
      <c r="G389" s="31">
        <f t="shared" ref="G389:G399" si="226">+G329</f>
        <v>0</v>
      </c>
    </row>
    <row r="390" spans="1:31" x14ac:dyDescent="0.2">
      <c r="D390" s="30" t="s">
        <v>71</v>
      </c>
      <c r="E390" s="30"/>
      <c r="F390" s="30">
        <f t="shared" ref="F390:F399" si="227">1+F389</f>
        <v>-4</v>
      </c>
      <c r="G390" s="31">
        <f t="shared" si="226"/>
        <v>0</v>
      </c>
    </row>
    <row r="391" spans="1:31" x14ac:dyDescent="0.2">
      <c r="D391" s="30" t="s">
        <v>72</v>
      </c>
      <c r="E391" s="30"/>
      <c r="F391" s="30">
        <f t="shared" si="227"/>
        <v>-3</v>
      </c>
      <c r="G391" s="31">
        <f t="shared" si="226"/>
        <v>0</v>
      </c>
    </row>
    <row r="392" spans="1:31" x14ac:dyDescent="0.2">
      <c r="D392" s="30" t="s">
        <v>73</v>
      </c>
      <c r="E392" s="30"/>
      <c r="F392" s="30">
        <f t="shared" si="227"/>
        <v>-2</v>
      </c>
      <c r="G392" s="31">
        <f t="shared" si="226"/>
        <v>0</v>
      </c>
    </row>
    <row r="393" spans="1:31" x14ac:dyDescent="0.2">
      <c r="D393" s="30" t="s">
        <v>74</v>
      </c>
      <c r="E393" s="30"/>
      <c r="F393" s="30">
        <f t="shared" si="227"/>
        <v>-1</v>
      </c>
      <c r="G393" s="31">
        <f t="shared" si="226"/>
        <v>0</v>
      </c>
    </row>
    <row r="394" spans="1:31" x14ac:dyDescent="0.2">
      <c r="D394" s="170" t="s">
        <v>418</v>
      </c>
      <c r="E394" s="30"/>
      <c r="F394" s="30">
        <f t="shared" si="227"/>
        <v>0</v>
      </c>
      <c r="G394" s="31">
        <f t="shared" si="226"/>
        <v>1</v>
      </c>
    </row>
    <row r="395" spans="1:31" x14ac:dyDescent="0.2">
      <c r="D395" s="32" t="s">
        <v>75</v>
      </c>
      <c r="E395" s="30"/>
      <c r="F395" s="30">
        <f t="shared" si="227"/>
        <v>1</v>
      </c>
      <c r="G395" s="31">
        <f t="shared" si="226"/>
        <v>0</v>
      </c>
    </row>
    <row r="396" spans="1:31" x14ac:dyDescent="0.2">
      <c r="D396" s="170" t="s">
        <v>419</v>
      </c>
      <c r="E396" s="30"/>
      <c r="F396" s="30">
        <f t="shared" si="227"/>
        <v>2</v>
      </c>
      <c r="G396" s="31">
        <f t="shared" si="226"/>
        <v>0</v>
      </c>
    </row>
    <row r="397" spans="1:31" x14ac:dyDescent="0.2">
      <c r="D397" s="170" t="s">
        <v>420</v>
      </c>
      <c r="E397" s="30"/>
      <c r="F397" s="30">
        <f t="shared" si="227"/>
        <v>3</v>
      </c>
      <c r="G397" s="31">
        <f t="shared" si="226"/>
        <v>0</v>
      </c>
    </row>
    <row r="398" spans="1:31" x14ac:dyDescent="0.2">
      <c r="D398" s="170" t="s">
        <v>421</v>
      </c>
      <c r="E398" s="30"/>
      <c r="F398" s="30">
        <f t="shared" si="227"/>
        <v>4</v>
      </c>
      <c r="G398" s="31">
        <f t="shared" si="226"/>
        <v>0</v>
      </c>
    </row>
    <row r="399" spans="1:31" x14ac:dyDescent="0.2">
      <c r="D399" s="170" t="s">
        <v>422</v>
      </c>
      <c r="E399" s="30"/>
      <c r="F399" s="30">
        <f t="shared" si="227"/>
        <v>5</v>
      </c>
      <c r="G399" s="31">
        <f t="shared" si="226"/>
        <v>0</v>
      </c>
    </row>
    <row r="420" spans="1:15" x14ac:dyDescent="0.2">
      <c r="A420" s="3"/>
    </row>
    <row r="421" spans="1:15" x14ac:dyDescent="0.2">
      <c r="F421" s="305"/>
      <c r="G421" s="305"/>
      <c r="H421" s="305"/>
      <c r="I421" s="305"/>
      <c r="J421" s="305"/>
      <c r="K421" s="305"/>
      <c r="L421" s="305"/>
      <c r="M421" s="305"/>
      <c r="N421" s="305"/>
      <c r="O421" s="305"/>
    </row>
    <row r="422" spans="1:15" x14ac:dyDescent="0.2"/>
    <row r="423" spans="1:15" x14ac:dyDescent="0.2">
      <c r="A423" s="3" t="str">
        <f>+Name</f>
        <v>Allied Pacific (APC Commerical)</v>
      </c>
      <c r="E423" s="309" t="str">
        <f>IF($B$467&gt;0,"DATA ERROR FOUND","No specific data errors found in test")</f>
        <v>No specific data errors found in test</v>
      </c>
    </row>
    <row r="424" spans="1:15" x14ac:dyDescent="0.2">
      <c r="A424" t="s">
        <v>638</v>
      </c>
    </row>
    <row r="426" spans="1:15" x14ac:dyDescent="0.2">
      <c r="B426" s="2" t="s">
        <v>633</v>
      </c>
      <c r="C426" s="37" t="s">
        <v>136</v>
      </c>
      <c r="E426" s="2" t="s">
        <v>633</v>
      </c>
      <c r="F426" s="37" t="s">
        <v>136</v>
      </c>
    </row>
    <row r="427" spans="1:15" x14ac:dyDescent="0.2">
      <c r="B427" s="2" t="s">
        <v>634</v>
      </c>
      <c r="C427" s="2" t="s">
        <v>636</v>
      </c>
      <c r="E427" s="2" t="s">
        <v>634</v>
      </c>
      <c r="F427" s="2" t="s">
        <v>636</v>
      </c>
    </row>
    <row r="428" spans="1:15" x14ac:dyDescent="0.2">
      <c r="A428" s="210" t="s">
        <v>41</v>
      </c>
      <c r="B428" s="29" t="s">
        <v>635</v>
      </c>
      <c r="C428" s="29" t="s">
        <v>637</v>
      </c>
      <c r="E428" s="29" t="s">
        <v>635</v>
      </c>
      <c r="F428" s="29" t="s">
        <v>637</v>
      </c>
      <c r="G428" s="305"/>
      <c r="H428" s="305"/>
      <c r="I428" s="305"/>
      <c r="J428" s="305"/>
      <c r="K428" s="305"/>
      <c r="L428" s="305"/>
      <c r="M428" s="305"/>
      <c r="N428" s="305"/>
      <c r="O428" s="305"/>
    </row>
    <row r="429" spans="1:15" x14ac:dyDescent="0.2">
      <c r="A429" s="4"/>
    </row>
    <row r="430" spans="1:15" x14ac:dyDescent="0.2">
      <c r="A430" s="121">
        <f t="shared" ref="A430:A465" si="228">AN8</f>
        <v>45352</v>
      </c>
      <c r="B430" s="41">
        <f>IF(SUMPRODUCT(AL99:AL$121,AL99:AL$121)=0,0,1)</f>
        <v>0</v>
      </c>
      <c r="C430" s="7">
        <f>IF(AND(SUMPRODUCT(AL98:AL121,AL98:AL121)&gt;0,$AO8=0),1,0)</f>
        <v>0</v>
      </c>
      <c r="D430" s="307"/>
      <c r="E430" s="310" t="str">
        <f>IF(B430&gt;0,"DATA ERROR","ok")</f>
        <v>ok</v>
      </c>
      <c r="F430" s="310" t="str">
        <f>IF(C430&gt;0,"DATA ERROR","ok")</f>
        <v>ok</v>
      </c>
      <c r="G430" s="305"/>
      <c r="H430" s="305"/>
    </row>
    <row r="431" spans="1:15" x14ac:dyDescent="0.2">
      <c r="A431" s="280">
        <f t="shared" si="228"/>
        <v>45323</v>
      </c>
      <c r="B431" s="151">
        <f>IF(SUMPRODUCT(AK100:AK$121,AK100:AK$121)=0,0,1)</f>
        <v>0</v>
      </c>
      <c r="C431" s="10">
        <f>IF(AND(SUMPRODUCT(AK98:AK121,AK98:AK121)&gt;0,$AO9=0),1,0)</f>
        <v>0</v>
      </c>
      <c r="D431" s="308"/>
      <c r="E431" s="310" t="str">
        <f t="shared" ref="E431:E465" si="229">IF(B431&gt;0,"DATA ERROR","ok")</f>
        <v>ok</v>
      </c>
      <c r="F431" s="310" t="str">
        <f t="shared" ref="F431:F465" si="230">IF(C431&gt;0,"DATA ERROR","ok")</f>
        <v>ok</v>
      </c>
    </row>
    <row r="432" spans="1:15" x14ac:dyDescent="0.2">
      <c r="A432" s="280">
        <f t="shared" si="228"/>
        <v>45292</v>
      </c>
      <c r="B432" s="151">
        <f>IF(SUMPRODUCT(AJ101:AJ$121,AJ101:AJ$121)=0,0,1)</f>
        <v>0</v>
      </c>
      <c r="C432" s="10">
        <f>IF(AND(SUMPRODUCT(AJ98:AJ121,AJ98:AJ121)&gt;0,$AO10=0),1,0)</f>
        <v>0</v>
      </c>
      <c r="D432" s="308"/>
      <c r="E432" s="310" t="str">
        <f t="shared" si="229"/>
        <v>ok</v>
      </c>
      <c r="F432" s="310" t="str">
        <f t="shared" si="230"/>
        <v>ok</v>
      </c>
    </row>
    <row r="433" spans="1:19" x14ac:dyDescent="0.2">
      <c r="A433" s="280">
        <f t="shared" si="228"/>
        <v>45261</v>
      </c>
      <c r="B433" s="151">
        <f>IF(SUMPRODUCT(AI102:AI$121,AI102:AI$121)=0,0,1)</f>
        <v>0</v>
      </c>
      <c r="C433" s="10">
        <f>IF(AND(SUMPRODUCT(AI98:AI121,AI98:AI121)&gt;0,$AO11=0),1,0)</f>
        <v>0</v>
      </c>
      <c r="D433" s="308"/>
      <c r="E433" s="310" t="str">
        <f t="shared" si="229"/>
        <v>ok</v>
      </c>
      <c r="F433" s="310" t="str">
        <f t="shared" si="230"/>
        <v>ok</v>
      </c>
    </row>
    <row r="434" spans="1:19" x14ac:dyDescent="0.2">
      <c r="A434" s="280">
        <f t="shared" si="228"/>
        <v>45231</v>
      </c>
      <c r="B434" s="151">
        <f>IF(SUMPRODUCT(AH103:AH$121,AH103:AH$121)=0,0,1)</f>
        <v>0</v>
      </c>
      <c r="C434" s="10">
        <f>IF(AND(SUMPRODUCT(AH98:AH121,AH98:AH121)&gt;0,$AO12=0),1,0)</f>
        <v>0</v>
      </c>
      <c r="D434" s="308"/>
      <c r="E434" s="310" t="str">
        <f t="shared" si="229"/>
        <v>ok</v>
      </c>
      <c r="F434" s="310" t="str">
        <f t="shared" si="230"/>
        <v>ok</v>
      </c>
    </row>
    <row r="435" spans="1:19" x14ac:dyDescent="0.2">
      <c r="A435" s="280">
        <f t="shared" si="228"/>
        <v>45200</v>
      </c>
      <c r="B435" s="151">
        <f>IF(SUMPRODUCT(AG104:AG$121,AG104:AG$121)=0,0,1)</f>
        <v>0</v>
      </c>
      <c r="C435" s="10">
        <f>IF(AND(SUMPRODUCT(AG98:AG121,AG98:AG121)&gt;0,$AO13=0),1,0)</f>
        <v>0</v>
      </c>
      <c r="D435" s="308"/>
      <c r="E435" s="310" t="str">
        <f t="shared" si="229"/>
        <v>ok</v>
      </c>
      <c r="F435" s="310" t="str">
        <f t="shared" si="230"/>
        <v>ok</v>
      </c>
    </row>
    <row r="436" spans="1:19" x14ac:dyDescent="0.2">
      <c r="A436" s="280">
        <f t="shared" si="228"/>
        <v>45170</v>
      </c>
      <c r="B436" s="151">
        <f>IF(SUMPRODUCT(AF105:AF$121,AF105:AF$121)=0,0,1)</f>
        <v>0</v>
      </c>
      <c r="C436" s="10">
        <f>IF(AND(SUMPRODUCT(AF98:AF121,AF98:AF121)&gt;0,$AO14=0),1,0)</f>
        <v>0</v>
      </c>
      <c r="D436" s="308"/>
      <c r="E436" s="310" t="str">
        <f t="shared" si="229"/>
        <v>ok</v>
      </c>
      <c r="F436" s="310" t="str">
        <f t="shared" si="230"/>
        <v>ok</v>
      </c>
      <c r="S436" s="51"/>
    </row>
    <row r="437" spans="1:19" x14ac:dyDescent="0.2">
      <c r="A437" s="280">
        <f t="shared" si="228"/>
        <v>45139</v>
      </c>
      <c r="B437" s="151">
        <f>IF(SUMPRODUCT(AE106:AE$121,AE106:AE$121)=0,0,1)</f>
        <v>0</v>
      </c>
      <c r="C437" s="10">
        <f>IF(AND(SUMPRODUCT(AE98:AE121,AE98:AE121)&gt;0,$AO15=0),1,0)</f>
        <v>0</v>
      </c>
      <c r="D437" s="308"/>
      <c r="E437" s="310" t="str">
        <f t="shared" si="229"/>
        <v>ok</v>
      </c>
      <c r="F437" s="310" t="str">
        <f t="shared" si="230"/>
        <v>ok</v>
      </c>
      <c r="S437" s="51"/>
    </row>
    <row r="438" spans="1:19" x14ac:dyDescent="0.2">
      <c r="A438" s="280">
        <f t="shared" si="228"/>
        <v>45108</v>
      </c>
      <c r="B438" s="151">
        <f>IF(SUMPRODUCT(AD107:AD$121,AD107:AD$121)=0,0,1)</f>
        <v>0</v>
      </c>
      <c r="C438" s="10">
        <f>IF(AND(SUMPRODUCT(AD98:AD121,AD98:AD121)&gt;0,$AO16=0),1,0)</f>
        <v>0</v>
      </c>
      <c r="D438" s="308"/>
      <c r="E438" s="310" t="str">
        <f t="shared" si="229"/>
        <v>ok</v>
      </c>
      <c r="F438" s="310" t="str">
        <f t="shared" si="230"/>
        <v>ok</v>
      </c>
      <c r="S438" s="51"/>
    </row>
    <row r="439" spans="1:19" x14ac:dyDescent="0.2">
      <c r="A439" s="280">
        <f t="shared" si="228"/>
        <v>45078</v>
      </c>
      <c r="B439" s="151">
        <f>IF(SUMPRODUCT(AC108:AC$121,AC108:AC$121)=0,0,1)</f>
        <v>0</v>
      </c>
      <c r="C439" s="10">
        <f>IF(AND(SUMPRODUCT(AC98:AC121,AC98:AC121)&gt;0,$AO17=0),1,0)</f>
        <v>0</v>
      </c>
      <c r="D439" s="308"/>
      <c r="E439" s="310" t="str">
        <f t="shared" si="229"/>
        <v>ok</v>
      </c>
      <c r="F439" s="310" t="str">
        <f t="shared" si="230"/>
        <v>ok</v>
      </c>
      <c r="S439" s="51"/>
    </row>
    <row r="440" spans="1:19" x14ac:dyDescent="0.2">
      <c r="A440" s="280">
        <f t="shared" si="228"/>
        <v>45047</v>
      </c>
      <c r="B440" s="151">
        <f>IF(SUMPRODUCT(AB109:AB$121,AB109:AB$121)=0,0,1)</f>
        <v>0</v>
      </c>
      <c r="C440" s="10">
        <f>IF(AND(SUMPRODUCT(AB98:AB121,AB98:AB121)&gt;0,$AO18=0),1,0)</f>
        <v>0</v>
      </c>
      <c r="D440" s="308"/>
      <c r="E440" s="310" t="str">
        <f t="shared" si="229"/>
        <v>ok</v>
      </c>
      <c r="F440" s="310" t="str">
        <f t="shared" si="230"/>
        <v>ok</v>
      </c>
      <c r="S440" s="51"/>
    </row>
    <row r="441" spans="1:19" x14ac:dyDescent="0.2">
      <c r="A441" s="280">
        <f t="shared" si="228"/>
        <v>45017</v>
      </c>
      <c r="B441" s="151">
        <f>IF(SUMPRODUCT(AA110:AA$121,AA110:AA$121)=0,0,1)</f>
        <v>0</v>
      </c>
      <c r="C441" s="10">
        <f>IF(AND(SUMPRODUCT(AA98:AA121,AA98:AA121)&gt;0,$AO19=0),1,0)</f>
        <v>0</v>
      </c>
      <c r="D441" s="308"/>
      <c r="E441" s="310" t="str">
        <f t="shared" si="229"/>
        <v>ok</v>
      </c>
      <c r="F441" s="310" t="str">
        <f t="shared" si="230"/>
        <v>ok</v>
      </c>
      <c r="S441" s="51"/>
    </row>
    <row r="442" spans="1:19" x14ac:dyDescent="0.2">
      <c r="A442" s="280">
        <f t="shared" si="228"/>
        <v>44986</v>
      </c>
      <c r="B442" s="151">
        <f>IF(SUMPRODUCT(Z111:Z$121,Z111:Z$121)=0,0,1)</f>
        <v>0</v>
      </c>
      <c r="C442" s="10">
        <f>IF(AND(SUMPRODUCT(Z98:Z121,Z98:Z121)&gt;0,$AO20=0),1,0)</f>
        <v>0</v>
      </c>
      <c r="D442" s="308"/>
      <c r="E442" s="310" t="str">
        <f t="shared" si="229"/>
        <v>ok</v>
      </c>
      <c r="F442" s="310" t="str">
        <f t="shared" si="230"/>
        <v>ok</v>
      </c>
      <c r="S442" s="51"/>
    </row>
    <row r="443" spans="1:19" x14ac:dyDescent="0.2">
      <c r="A443" s="280">
        <f t="shared" si="228"/>
        <v>44958</v>
      </c>
      <c r="B443" s="151">
        <f>IF(SUMPRODUCT(Y112:Y$121,Y112:Y$121)=0,0,1)</f>
        <v>0</v>
      </c>
      <c r="C443" s="10">
        <f>IF(AND(SUMPRODUCT(Y98:Y121,Y98:Y121)&gt;0,$AO21=0),1,0)</f>
        <v>0</v>
      </c>
      <c r="D443" s="308"/>
      <c r="E443" s="310" t="str">
        <f t="shared" si="229"/>
        <v>ok</v>
      </c>
      <c r="F443" s="310" t="str">
        <f t="shared" si="230"/>
        <v>ok</v>
      </c>
      <c r="S443" s="51"/>
    </row>
    <row r="444" spans="1:19" x14ac:dyDescent="0.2">
      <c r="A444" s="280">
        <f t="shared" si="228"/>
        <v>44927</v>
      </c>
      <c r="B444" s="151">
        <f>IF(SUMPRODUCT(X113:X$121,X113:X$121)=0,0,1)</f>
        <v>0</v>
      </c>
      <c r="C444" s="10">
        <f>IF(AND(SUMPRODUCT(X98:X121,X98:X121)&gt;0,$AO22=0),1,0)</f>
        <v>0</v>
      </c>
      <c r="D444" s="308"/>
      <c r="E444" s="310" t="str">
        <f t="shared" si="229"/>
        <v>ok</v>
      </c>
      <c r="F444" s="310" t="str">
        <f t="shared" si="230"/>
        <v>ok</v>
      </c>
      <c r="S444" s="51"/>
    </row>
    <row r="445" spans="1:19" x14ac:dyDescent="0.2">
      <c r="A445" s="280">
        <f t="shared" si="228"/>
        <v>44896</v>
      </c>
      <c r="B445" s="151">
        <f>IF(SUMPRODUCT(W114:W$121,W114:W$121)=0,0,1)</f>
        <v>0</v>
      </c>
      <c r="C445" s="10">
        <f>IF(AND(SUMPRODUCT(W98:W121,W98:W121)&gt;0,$AO23=0),1,0)</f>
        <v>0</v>
      </c>
      <c r="D445" s="308"/>
      <c r="E445" s="310" t="str">
        <f t="shared" si="229"/>
        <v>ok</v>
      </c>
      <c r="F445" s="310" t="str">
        <f t="shared" si="230"/>
        <v>ok</v>
      </c>
      <c r="S445" s="51"/>
    </row>
    <row r="446" spans="1:19" x14ac:dyDescent="0.2">
      <c r="A446" s="280">
        <f t="shared" si="228"/>
        <v>44866</v>
      </c>
      <c r="B446" s="151">
        <f>IF(SUMPRODUCT(V115:V$121,V115:V$121)=0,0,1)</f>
        <v>0</v>
      </c>
      <c r="C446" s="10">
        <f>IF(AND(SUMPRODUCT(V98:V121,V98:V121)&gt;0,$AO24=0),1,0)</f>
        <v>0</v>
      </c>
      <c r="D446" s="308"/>
      <c r="E446" s="310" t="str">
        <f t="shared" si="229"/>
        <v>ok</v>
      </c>
      <c r="F446" s="310" t="str">
        <f t="shared" si="230"/>
        <v>ok</v>
      </c>
      <c r="S446" s="51"/>
    </row>
    <row r="447" spans="1:19" x14ac:dyDescent="0.2">
      <c r="A447" s="280">
        <f t="shared" si="228"/>
        <v>44835</v>
      </c>
      <c r="B447" s="151">
        <f>IF(SUMPRODUCT(U116:U$121,U116:U$121)=0,0,1)</f>
        <v>0</v>
      </c>
      <c r="C447" s="10">
        <f>IF(AND(SUMPRODUCT(U98:U121,U98:U121)&gt;0,$AO25=0),1,0)</f>
        <v>0</v>
      </c>
      <c r="D447" s="308"/>
      <c r="E447" s="310" t="str">
        <f t="shared" si="229"/>
        <v>ok</v>
      </c>
      <c r="F447" s="310" t="str">
        <f t="shared" si="230"/>
        <v>ok</v>
      </c>
      <c r="S447" s="51"/>
    </row>
    <row r="448" spans="1:19" x14ac:dyDescent="0.2">
      <c r="A448" s="280">
        <f t="shared" si="228"/>
        <v>44805</v>
      </c>
      <c r="B448" s="151">
        <f>IF(SUMPRODUCT(T117:T$121,T117:T$121)=0,0,1)</f>
        <v>0</v>
      </c>
      <c r="C448" s="10">
        <f>IF(AND(SUMPRODUCT(T98:T121,T98:T121)&gt;0,$AO26=0),1,0)</f>
        <v>0</v>
      </c>
      <c r="D448" s="308"/>
      <c r="E448" s="310" t="str">
        <f t="shared" si="229"/>
        <v>ok</v>
      </c>
      <c r="F448" s="310" t="str">
        <f t="shared" si="230"/>
        <v>ok</v>
      </c>
      <c r="S448" s="51"/>
    </row>
    <row r="449" spans="1:59" x14ac:dyDescent="0.2">
      <c r="A449" s="280">
        <f t="shared" si="228"/>
        <v>44774</v>
      </c>
      <c r="B449" s="151">
        <f>IF(SUMPRODUCT(S118:S$121,S118:S$121)=0,0,1)</f>
        <v>0</v>
      </c>
      <c r="C449" s="10">
        <f>IF(AND(SUMPRODUCT(S98:S121,S98:S121)&gt;0,$AO27=0),1,0)</f>
        <v>0</v>
      </c>
      <c r="D449" s="308"/>
      <c r="E449" s="310" t="str">
        <f t="shared" si="229"/>
        <v>ok</v>
      </c>
      <c r="F449" s="310" t="str">
        <f t="shared" si="230"/>
        <v>ok</v>
      </c>
      <c r="S449" s="51"/>
    </row>
    <row r="450" spans="1:59" x14ac:dyDescent="0.2">
      <c r="A450" s="280">
        <f t="shared" si="228"/>
        <v>44743</v>
      </c>
      <c r="B450" s="151">
        <f>IF(SUMPRODUCT(R119:R$121,R119:R$121)=0,0,1)</f>
        <v>0</v>
      </c>
      <c r="C450" s="10">
        <f>IF(AND(SUMPRODUCT(R98:R121,R98:R121)&gt;0,$AO28=0),1,0)</f>
        <v>0</v>
      </c>
      <c r="D450" s="308"/>
      <c r="E450" s="310" t="str">
        <f t="shared" si="229"/>
        <v>ok</v>
      </c>
      <c r="F450" s="310" t="str">
        <f t="shared" si="230"/>
        <v>ok</v>
      </c>
      <c r="S450" s="51"/>
    </row>
    <row r="451" spans="1:59" x14ac:dyDescent="0.2">
      <c r="A451" s="280">
        <f t="shared" si="228"/>
        <v>44713</v>
      </c>
      <c r="B451" s="151">
        <f>IF(SUMPRODUCT(Q120:Q$121,Q120:Q$121)=0,0,1)</f>
        <v>0</v>
      </c>
      <c r="C451" s="10">
        <f>IF(AND(SUMPRODUCT(Q98:Q121,Q98:Q121)&gt;0,$AO29=0),1,0)</f>
        <v>0</v>
      </c>
      <c r="D451" s="308"/>
      <c r="E451" s="310" t="str">
        <f t="shared" si="229"/>
        <v>ok</v>
      </c>
      <c r="F451" s="310" t="str">
        <f t="shared" si="230"/>
        <v>ok</v>
      </c>
      <c r="S451" s="51"/>
    </row>
    <row r="452" spans="1:59" x14ac:dyDescent="0.2">
      <c r="A452" s="280">
        <f t="shared" si="228"/>
        <v>44682</v>
      </c>
      <c r="B452" s="151">
        <f>IF(SUMPRODUCT(P121:P$121,P121:P$121)=0,0,1)</f>
        <v>0</v>
      </c>
      <c r="C452" s="10">
        <f>IF(AND(SUMPRODUCT(P98:P121,P98:P121)&gt;0,$AO30=0),1,0)</f>
        <v>0</v>
      </c>
      <c r="D452" s="308"/>
      <c r="E452" s="310" t="str">
        <f t="shared" si="229"/>
        <v>ok</v>
      </c>
      <c r="F452" s="310" t="str">
        <f t="shared" si="230"/>
        <v>ok</v>
      </c>
      <c r="S452" s="51"/>
    </row>
    <row r="453" spans="1:59" x14ac:dyDescent="0.2">
      <c r="A453" s="280">
        <f t="shared" si="228"/>
        <v>44652</v>
      </c>
      <c r="B453" s="311"/>
      <c r="C453" s="10">
        <f>IF(AND(SUMPRODUCT(O98:O121,O98:O121)&gt;0,$AO31=0),1,0)</f>
        <v>0</v>
      </c>
      <c r="D453" s="308"/>
      <c r="E453" s="310" t="str">
        <f t="shared" si="229"/>
        <v>ok</v>
      </c>
      <c r="F453" s="310" t="str">
        <f t="shared" si="230"/>
        <v>ok</v>
      </c>
      <c r="S453" s="51"/>
    </row>
    <row r="454" spans="1:59" x14ac:dyDescent="0.2">
      <c r="A454" s="280">
        <f t="shared" si="228"/>
        <v>44621</v>
      </c>
      <c r="B454" s="10"/>
      <c r="C454" s="10">
        <f>IF(AND(SUMPRODUCT(N98:N121,N98:N121)&gt;0,$AO32=0),1,0)</f>
        <v>0</v>
      </c>
      <c r="D454" s="308"/>
      <c r="E454" s="310" t="str">
        <f t="shared" si="229"/>
        <v>ok</v>
      </c>
      <c r="F454" s="310" t="str">
        <f t="shared" si="230"/>
        <v>ok</v>
      </c>
      <c r="S454" s="51"/>
    </row>
    <row r="455" spans="1:59" x14ac:dyDescent="0.2">
      <c r="A455" s="280">
        <f t="shared" si="228"/>
        <v>44593</v>
      </c>
      <c r="B455" s="10"/>
      <c r="C455" s="10">
        <f>IF(AND(SUMPRODUCT(M98:M121,M98:M121)&gt;0,$AO33=0),1,0)</f>
        <v>0</v>
      </c>
      <c r="D455" s="308"/>
      <c r="E455" s="310" t="str">
        <f t="shared" si="229"/>
        <v>ok</v>
      </c>
      <c r="F455" s="310" t="str">
        <f t="shared" si="230"/>
        <v>ok</v>
      </c>
      <c r="S455" s="51"/>
    </row>
    <row r="456" spans="1:59" x14ac:dyDescent="0.2">
      <c r="A456" s="280">
        <f t="shared" si="228"/>
        <v>44562</v>
      </c>
      <c r="B456" s="10"/>
      <c r="C456" s="10">
        <f>IF(AND(SUMPRODUCT(L98:L121,L98:L121)&gt;0,$AO34=0),1,0)</f>
        <v>0</v>
      </c>
      <c r="D456" s="308"/>
      <c r="E456" s="310" t="str">
        <f t="shared" si="229"/>
        <v>ok</v>
      </c>
      <c r="F456" s="310" t="str">
        <f t="shared" si="230"/>
        <v>ok</v>
      </c>
      <c r="S456" s="51"/>
    </row>
    <row r="457" spans="1:59" x14ac:dyDescent="0.2">
      <c r="A457" s="280">
        <f t="shared" si="228"/>
        <v>44531</v>
      </c>
      <c r="B457" s="10"/>
      <c r="C457" s="10">
        <f>IF(AND(SUMPRODUCT(K98:K121,K98:K121)&gt;0,$AO35=0),1,0)</f>
        <v>0</v>
      </c>
      <c r="D457" s="308"/>
      <c r="E457" s="310" t="str">
        <f t="shared" si="229"/>
        <v>ok</v>
      </c>
      <c r="F457" s="310" t="str">
        <f t="shared" si="230"/>
        <v>ok</v>
      </c>
      <c r="S457" s="51"/>
    </row>
    <row r="458" spans="1:59" x14ac:dyDescent="0.2">
      <c r="A458" s="280">
        <f t="shared" si="228"/>
        <v>44501</v>
      </c>
      <c r="B458" s="10"/>
      <c r="C458" s="10">
        <f>IF(AND(SUMPRODUCT(J98:J121,J98:J121)&gt;0,$AO36=0),1,0)</f>
        <v>0</v>
      </c>
      <c r="D458" s="308"/>
      <c r="E458" s="310" t="str">
        <f t="shared" si="229"/>
        <v>ok</v>
      </c>
      <c r="F458" s="310" t="str">
        <f t="shared" si="230"/>
        <v>ok</v>
      </c>
      <c r="S458" s="51"/>
    </row>
    <row r="459" spans="1:59" x14ac:dyDescent="0.2">
      <c r="A459" s="280">
        <f t="shared" si="228"/>
        <v>44470</v>
      </c>
      <c r="B459" s="10"/>
      <c r="C459" s="10">
        <f>IF(AND(SUMPRODUCT(I98:I121,I98:I121)&gt;0,$AO37=0),1,0)</f>
        <v>0</v>
      </c>
      <c r="D459" s="308"/>
      <c r="E459" s="310" t="str">
        <f t="shared" si="229"/>
        <v>ok</v>
      </c>
      <c r="F459" s="310" t="str">
        <f t="shared" si="230"/>
        <v>ok</v>
      </c>
    </row>
    <row r="460" spans="1:59" x14ac:dyDescent="0.2">
      <c r="A460" s="280">
        <f t="shared" si="228"/>
        <v>44440</v>
      </c>
      <c r="B460" s="10"/>
      <c r="C460" s="10">
        <f>IF(AND(SUMPRODUCT(H98:H121,H98:H121)&gt;0,$AO38=0),1,0)</f>
        <v>0</v>
      </c>
      <c r="D460" s="308"/>
      <c r="E460" s="310" t="str">
        <f t="shared" si="229"/>
        <v>ok</v>
      </c>
      <c r="F460" s="310" t="str">
        <f t="shared" si="230"/>
        <v>ok</v>
      </c>
    </row>
    <row r="461" spans="1:59" x14ac:dyDescent="0.2">
      <c r="A461" s="280">
        <f t="shared" si="228"/>
        <v>44409</v>
      </c>
      <c r="B461" s="10"/>
      <c r="C461" s="10">
        <f>IF(AND(SUMPRODUCT(G98:G121,G98:G121)&gt;0,$AO39=0),1,0)</f>
        <v>0</v>
      </c>
      <c r="D461" s="308"/>
      <c r="E461" s="310" t="str">
        <f t="shared" si="229"/>
        <v>ok</v>
      </c>
      <c r="F461" s="310" t="str">
        <f t="shared" si="230"/>
        <v>ok</v>
      </c>
    </row>
    <row r="462" spans="1:59" x14ac:dyDescent="0.2">
      <c r="A462" s="280">
        <f t="shared" si="228"/>
        <v>44378</v>
      </c>
      <c r="B462" s="10"/>
      <c r="C462" s="10">
        <f>IF(AND(SUMPRODUCT(F98:F121,F98:F121)&gt;0,$AO40=0),1,0)</f>
        <v>0</v>
      </c>
      <c r="D462" s="308"/>
      <c r="E462" s="310" t="str">
        <f t="shared" si="229"/>
        <v>ok</v>
      </c>
      <c r="F462" s="310" t="str">
        <f t="shared" si="230"/>
        <v>ok</v>
      </c>
    </row>
    <row r="463" spans="1:59" x14ac:dyDescent="0.2">
      <c r="A463" s="280">
        <f t="shared" si="228"/>
        <v>44348</v>
      </c>
      <c r="B463" s="10"/>
      <c r="C463" s="10">
        <f>IF(AND(SUMPRODUCT(E98:E121,E98:E121)&gt;0,$AO41=0),1,0)</f>
        <v>0</v>
      </c>
      <c r="D463" s="308"/>
      <c r="E463" s="310" t="str">
        <f t="shared" si="229"/>
        <v>ok</v>
      </c>
      <c r="F463" s="310" t="str">
        <f t="shared" si="230"/>
        <v>ok</v>
      </c>
    </row>
    <row r="464" spans="1:59" x14ac:dyDescent="0.2">
      <c r="A464" s="280">
        <f t="shared" si="228"/>
        <v>44317</v>
      </c>
      <c r="B464" s="10"/>
      <c r="C464" s="10">
        <f>IF(AND(SUMPRODUCT(D98:D121,D98:D121)&gt;0,$AO42=0),1,0)</f>
        <v>0</v>
      </c>
      <c r="D464" s="308"/>
      <c r="E464" s="310" t="str">
        <f t="shared" si="229"/>
        <v>ok</v>
      </c>
      <c r="F464" s="310" t="str">
        <f t="shared" si="230"/>
        <v>ok</v>
      </c>
      <c r="AN464" s="535">
        <v>1</v>
      </c>
      <c r="AO464" s="535">
        <f>+AN464+1</f>
        <v>2</v>
      </c>
      <c r="AP464" s="535">
        <f t="shared" ref="AP464:BD464" si="231">+AO464+1</f>
        <v>3</v>
      </c>
      <c r="AQ464" s="535">
        <f t="shared" si="231"/>
        <v>4</v>
      </c>
      <c r="AR464" s="535">
        <f t="shared" si="231"/>
        <v>5</v>
      </c>
      <c r="AS464" s="535">
        <f t="shared" si="231"/>
        <v>6</v>
      </c>
      <c r="AT464" s="535">
        <f t="shared" si="231"/>
        <v>7</v>
      </c>
      <c r="AU464" s="535">
        <f t="shared" si="231"/>
        <v>8</v>
      </c>
      <c r="AV464" s="535">
        <f t="shared" si="231"/>
        <v>9</v>
      </c>
      <c r="AW464" s="535">
        <f t="shared" si="231"/>
        <v>10</v>
      </c>
      <c r="AX464" s="535">
        <f t="shared" si="231"/>
        <v>11</v>
      </c>
      <c r="AY464" s="535">
        <f t="shared" si="231"/>
        <v>12</v>
      </c>
      <c r="AZ464" s="535">
        <f t="shared" si="231"/>
        <v>13</v>
      </c>
      <c r="BA464" s="535">
        <f t="shared" si="231"/>
        <v>14</v>
      </c>
      <c r="BB464" s="535">
        <f t="shared" si="231"/>
        <v>15</v>
      </c>
      <c r="BC464" s="535">
        <f t="shared" si="231"/>
        <v>16</v>
      </c>
      <c r="BD464" s="535">
        <f t="shared" si="231"/>
        <v>17</v>
      </c>
      <c r="BE464" s="535"/>
      <c r="BF464" s="535"/>
      <c r="BG464" s="535"/>
    </row>
    <row r="465" spans="1:56" x14ac:dyDescent="0.2">
      <c r="A465" s="280">
        <f t="shared" si="228"/>
        <v>44287</v>
      </c>
      <c r="B465" s="10"/>
      <c r="C465" s="10">
        <f>IF(AND(SUMPRODUCT(C98:C121,C98:C121)&gt;0,$AO43=0),1,0)</f>
        <v>0</v>
      </c>
      <c r="D465" s="308"/>
      <c r="E465" s="310" t="str">
        <f t="shared" si="229"/>
        <v>ok</v>
      </c>
      <c r="F465" s="310" t="str">
        <f t="shared" si="230"/>
        <v>ok</v>
      </c>
      <c r="AM465" s="42">
        <f t="shared" ref="AM465:AM482" si="232">+B477</f>
        <v>45352</v>
      </c>
    </row>
    <row r="466" spans="1:56" x14ac:dyDescent="0.2">
      <c r="E466" s="306"/>
      <c r="F466" s="306"/>
      <c r="AM466" s="42">
        <f t="shared" si="232"/>
        <v>45323</v>
      </c>
      <c r="AN466" s="51">
        <f>+AK478</f>
        <v>2855332.7500000061</v>
      </c>
      <c r="AO466" s="530">
        <v>0</v>
      </c>
      <c r="AP466" s="530">
        <v>0</v>
      </c>
      <c r="AQ466" s="530">
        <v>0</v>
      </c>
      <c r="AR466" s="530">
        <v>0</v>
      </c>
      <c r="AS466" s="530">
        <v>0</v>
      </c>
      <c r="AT466" s="530">
        <v>0</v>
      </c>
      <c r="AU466" s="530">
        <v>0</v>
      </c>
      <c r="AV466" s="530">
        <v>0</v>
      </c>
      <c r="AW466" s="530">
        <v>0</v>
      </c>
      <c r="AX466" s="530">
        <v>0</v>
      </c>
      <c r="AY466" s="530">
        <v>0</v>
      </c>
      <c r="AZ466" s="530">
        <v>0</v>
      </c>
      <c r="BA466" s="530">
        <v>0</v>
      </c>
      <c r="BB466" s="530">
        <v>0</v>
      </c>
      <c r="BC466" s="530">
        <v>0</v>
      </c>
      <c r="BD466" s="530">
        <v>0</v>
      </c>
    </row>
    <row r="467" spans="1:56" x14ac:dyDescent="0.2">
      <c r="A467" s="280" t="s">
        <v>86</v>
      </c>
      <c r="B467" s="10">
        <f>SUM(B430:B465)</f>
        <v>0</v>
      </c>
      <c r="C467" s="10">
        <f>SUM(C430:C465)</f>
        <v>0</v>
      </c>
      <c r="D467" s="10">
        <f>SUM(B467:C467)</f>
        <v>0</v>
      </c>
      <c r="E467" s="310" t="str">
        <f>IF(B467&gt;0,"DATA ERROR","ok")</f>
        <v>ok</v>
      </c>
      <c r="F467" s="310" t="str">
        <f>IF(C467&gt;0,"DATA ERROR","ok")</f>
        <v>ok</v>
      </c>
      <c r="AM467" s="42">
        <f t="shared" si="232"/>
        <v>45292</v>
      </c>
      <c r="AN467" s="51">
        <f>+AJ478</f>
        <v>881944.20000000007</v>
      </c>
      <c r="AO467" s="51">
        <f>+AJ479</f>
        <v>3737361.959999993</v>
      </c>
      <c r="AP467" s="530">
        <v>0</v>
      </c>
      <c r="AQ467" s="530">
        <v>0</v>
      </c>
      <c r="AR467" s="530">
        <v>0</v>
      </c>
      <c r="AS467" s="530">
        <v>0</v>
      </c>
      <c r="AT467" s="530">
        <v>0</v>
      </c>
      <c r="AU467" s="530">
        <v>0</v>
      </c>
      <c r="AV467" s="530">
        <v>0</v>
      </c>
      <c r="AW467" s="530">
        <v>0</v>
      </c>
      <c r="AX467" s="530">
        <v>0</v>
      </c>
      <c r="AY467" s="530">
        <v>0</v>
      </c>
      <c r="AZ467" s="530">
        <v>0</v>
      </c>
      <c r="BA467" s="530">
        <v>0</v>
      </c>
      <c r="BB467" s="530">
        <v>0</v>
      </c>
      <c r="BC467" s="530">
        <v>0</v>
      </c>
      <c r="BD467" s="530">
        <v>0</v>
      </c>
    </row>
    <row r="468" spans="1:56" x14ac:dyDescent="0.2">
      <c r="AM468" s="42">
        <f t="shared" si="232"/>
        <v>45261</v>
      </c>
      <c r="AN468" s="51">
        <f>+AI478</f>
        <v>237196.05</v>
      </c>
      <c r="AO468" s="51">
        <f>+AI479</f>
        <v>1053551.2000000002</v>
      </c>
      <c r="AP468" s="51">
        <f>+AI480</f>
        <v>3998172.4800000004</v>
      </c>
      <c r="AQ468" s="530">
        <v>0</v>
      </c>
      <c r="AR468" s="530">
        <v>0</v>
      </c>
      <c r="AS468" s="530">
        <v>0</v>
      </c>
      <c r="AT468" s="530">
        <v>0</v>
      </c>
      <c r="AU468" s="530">
        <v>0</v>
      </c>
      <c r="AV468" s="530">
        <v>0</v>
      </c>
      <c r="AW468" s="530">
        <v>0</v>
      </c>
      <c r="AX468" s="530">
        <v>0</v>
      </c>
      <c r="AY468" s="530">
        <v>0</v>
      </c>
      <c r="AZ468" s="530">
        <v>0</v>
      </c>
      <c r="BA468" s="530">
        <v>0</v>
      </c>
      <c r="BB468" s="530">
        <v>0</v>
      </c>
      <c r="BC468" s="530">
        <v>0</v>
      </c>
      <c r="BD468" s="530">
        <v>0</v>
      </c>
    </row>
    <row r="469" spans="1:56" x14ac:dyDescent="0.2">
      <c r="AM469" s="42">
        <f t="shared" si="232"/>
        <v>45231</v>
      </c>
      <c r="AN469" s="51">
        <f>+AH478</f>
        <v>100495.20000000001</v>
      </c>
      <c r="AO469" s="51">
        <f>+AH479</f>
        <v>487974.33999999985</v>
      </c>
      <c r="AP469" s="51">
        <f>+AH480</f>
        <v>1357235.179999999</v>
      </c>
      <c r="AQ469" s="51">
        <f>+AH481</f>
        <v>4435804.6499999883</v>
      </c>
      <c r="AR469" s="530">
        <v>0</v>
      </c>
      <c r="AS469" s="530">
        <v>0</v>
      </c>
      <c r="AT469" s="530">
        <v>0</v>
      </c>
      <c r="AU469" s="530">
        <v>0</v>
      </c>
      <c r="AV469" s="530">
        <v>0</v>
      </c>
      <c r="AW469" s="530">
        <v>0</v>
      </c>
      <c r="AX469" s="530">
        <v>0</v>
      </c>
      <c r="AY469" s="530">
        <v>0</v>
      </c>
      <c r="AZ469" s="530">
        <v>0</v>
      </c>
      <c r="BA469" s="530">
        <v>0</v>
      </c>
      <c r="BB469" s="530">
        <v>0</v>
      </c>
      <c r="BC469" s="530">
        <v>0</v>
      </c>
      <c r="BD469" s="530">
        <v>0</v>
      </c>
    </row>
    <row r="470" spans="1:56" x14ac:dyDescent="0.2">
      <c r="A470" s="515" t="s">
        <v>945</v>
      </c>
      <c r="B470" s="447"/>
      <c r="C470" s="447"/>
      <c r="D470" s="447"/>
      <c r="E470" s="447"/>
      <c r="F470" s="8" t="s">
        <v>951</v>
      </c>
      <c r="G470" s="8" t="s">
        <v>42</v>
      </c>
      <c r="H470" s="8" t="s">
        <v>149</v>
      </c>
      <c r="AM470" s="42">
        <f t="shared" si="232"/>
        <v>45200</v>
      </c>
      <c r="AN470" s="51">
        <f>+AG478</f>
        <v>58795.200000000019</v>
      </c>
      <c r="AO470" s="51">
        <f>+AG479</f>
        <v>234071.83999999991</v>
      </c>
      <c r="AP470" s="51">
        <f>+AG480</f>
        <v>597438.22999999986</v>
      </c>
      <c r="AQ470" s="51">
        <f>+AG481</f>
        <v>1346532.7999999993</v>
      </c>
      <c r="AR470" s="51">
        <f>+AG482</f>
        <v>4502085.8900000099</v>
      </c>
      <c r="AS470" s="530">
        <v>0</v>
      </c>
      <c r="AT470" s="530">
        <v>0</v>
      </c>
      <c r="AU470" s="530">
        <v>0</v>
      </c>
      <c r="AV470" s="530">
        <v>0</v>
      </c>
      <c r="AW470" s="530">
        <v>0</v>
      </c>
      <c r="AX470" s="530">
        <v>0</v>
      </c>
      <c r="AY470" s="530">
        <v>0</v>
      </c>
      <c r="AZ470" s="530">
        <v>0</v>
      </c>
      <c r="BA470" s="530">
        <v>0</v>
      </c>
      <c r="BB470" s="530">
        <v>0</v>
      </c>
      <c r="BC470" s="530">
        <v>0</v>
      </c>
      <c r="BD470" s="530">
        <v>0</v>
      </c>
    </row>
    <row r="471" spans="1:56" x14ac:dyDescent="0.2">
      <c r="E471" s="227" t="s">
        <v>950</v>
      </c>
      <c r="F471" s="2">
        <f>+ResMonth</f>
        <v>3</v>
      </c>
      <c r="G471" s="2">
        <f>+ResYear</f>
        <v>2024</v>
      </c>
      <c r="H471" s="2"/>
      <c r="AM471" s="42">
        <f t="shared" si="232"/>
        <v>45170</v>
      </c>
      <c r="AN471" s="51">
        <f>+AF478</f>
        <v>27907.89000000001</v>
      </c>
      <c r="AO471" s="51">
        <f>+AF479</f>
        <v>82901.170000000027</v>
      </c>
      <c r="AP471" s="51">
        <f>+AF480</f>
        <v>163502.95000000001</v>
      </c>
      <c r="AQ471" s="51">
        <f>+AF481</f>
        <v>423105.92000000016</v>
      </c>
      <c r="AR471" s="51">
        <f>+AF482</f>
        <v>1193779.71</v>
      </c>
      <c r="AS471" s="51">
        <f>+AF483</f>
        <v>4355241.2399999937</v>
      </c>
      <c r="AT471" s="530">
        <v>0</v>
      </c>
      <c r="AU471" s="530">
        <v>0</v>
      </c>
      <c r="AV471" s="530">
        <v>0</v>
      </c>
      <c r="AW471" s="530">
        <v>0</v>
      </c>
      <c r="AX471" s="530">
        <v>0</v>
      </c>
      <c r="AY471" s="530">
        <v>0</v>
      </c>
      <c r="AZ471" s="530">
        <v>0</v>
      </c>
      <c r="BA471" s="530">
        <v>0</v>
      </c>
      <c r="BB471" s="530">
        <v>0</v>
      </c>
      <c r="BC471" s="530">
        <v>0</v>
      </c>
      <c r="BD471" s="530">
        <v>0</v>
      </c>
    </row>
    <row r="472" spans="1:56" x14ac:dyDescent="0.2">
      <c r="A472" t="s">
        <v>15</v>
      </c>
      <c r="C472" t="s">
        <v>44</v>
      </c>
      <c r="D472" s="178"/>
      <c r="E472" s="536" t="s">
        <v>675</v>
      </c>
      <c r="F472" s="2">
        <f>Final!D71</f>
        <v>12</v>
      </c>
      <c r="G472" s="2">
        <f>Final!D72</f>
        <v>2022</v>
      </c>
      <c r="H472" s="187">
        <f>+(12*G471+F471)-(12*G472+F472)</f>
        <v>15</v>
      </c>
      <c r="I472" s="178"/>
      <c r="J472" s="178"/>
      <c r="K472" s="178"/>
      <c r="L472" s="178"/>
      <c r="M472" s="178"/>
      <c r="N472" s="178"/>
      <c r="AM472" s="42">
        <f t="shared" si="232"/>
        <v>45139</v>
      </c>
      <c r="AN472" s="51">
        <f>+AE478</f>
        <v>53483.43</v>
      </c>
      <c r="AO472" s="51">
        <f>+AE479</f>
        <v>97938.550000000017</v>
      </c>
      <c r="AP472" s="51">
        <f>+AE480</f>
        <v>141169.68</v>
      </c>
      <c r="AQ472" s="51">
        <f>+AE481</f>
        <v>235822.89</v>
      </c>
      <c r="AR472" s="51">
        <f>+AE482</f>
        <v>602615.16000000027</v>
      </c>
      <c r="AS472" s="51">
        <f>+AE483</f>
        <v>1546918.1699999988</v>
      </c>
      <c r="AT472" s="51">
        <f>+AE484</f>
        <v>4715040.0199999865</v>
      </c>
      <c r="AU472" s="530">
        <v>0</v>
      </c>
      <c r="AV472" s="530">
        <v>0</v>
      </c>
      <c r="AW472" s="530">
        <v>0</v>
      </c>
      <c r="AX472" s="530">
        <v>0</v>
      </c>
      <c r="AY472" s="530">
        <v>0</v>
      </c>
      <c r="AZ472" s="530">
        <v>0</v>
      </c>
      <c r="BA472" s="530">
        <v>0</v>
      </c>
      <c r="BB472" s="530">
        <v>0</v>
      </c>
      <c r="BC472" s="530">
        <v>0</v>
      </c>
      <c r="BD472" s="530">
        <v>0</v>
      </c>
    </row>
    <row r="473" spans="1:56" x14ac:dyDescent="0.2">
      <c r="A473" t="s">
        <v>16</v>
      </c>
      <c r="D473" s="178"/>
      <c r="E473" s="178"/>
      <c r="F473" s="178"/>
      <c r="G473" s="178"/>
      <c r="H473" s="178"/>
      <c r="I473" s="178"/>
      <c r="J473" s="178"/>
      <c r="K473" s="178"/>
      <c r="L473" s="178"/>
      <c r="M473" s="178"/>
      <c r="N473" s="178"/>
      <c r="AM473" s="42">
        <f t="shared" si="232"/>
        <v>45108</v>
      </c>
      <c r="AN473" s="51">
        <f>+AD478</f>
        <v>11458.970000000001</v>
      </c>
      <c r="AO473" s="51">
        <f>+AD479</f>
        <v>51321.389999999992</v>
      </c>
      <c r="AP473" s="51">
        <f>+AD480</f>
        <v>93077.98000000001</v>
      </c>
      <c r="AQ473" s="51">
        <f>+AD481</f>
        <v>121207.41</v>
      </c>
      <c r="AR473" s="51">
        <f>+AD482</f>
        <v>203734.77</v>
      </c>
      <c r="AS473" s="51">
        <f>+AD483</f>
        <v>490722.69999999995</v>
      </c>
      <c r="AT473" s="51">
        <f>+AD484</f>
        <v>1320514.9599999993</v>
      </c>
      <c r="AU473" s="51">
        <f>+AD485</f>
        <v>3978513.0999999912</v>
      </c>
      <c r="AV473" s="530">
        <v>0</v>
      </c>
      <c r="AW473" s="530">
        <v>0</v>
      </c>
      <c r="AX473" s="530">
        <v>0</v>
      </c>
      <c r="AY473" s="530">
        <v>0</v>
      </c>
      <c r="AZ473" s="530">
        <v>0</v>
      </c>
      <c r="BA473" s="530">
        <v>0</v>
      </c>
      <c r="BB473" s="530">
        <v>0</v>
      </c>
      <c r="BC473" s="530">
        <v>0</v>
      </c>
      <c r="BD473" s="530">
        <v>0</v>
      </c>
    </row>
    <row r="474" spans="1:56" x14ac:dyDescent="0.2">
      <c r="A474" t="s">
        <v>47</v>
      </c>
      <c r="C474" s="72">
        <f>+C$6</f>
        <v>44287</v>
      </c>
      <c r="D474" s="72">
        <f t="shared" ref="D474:AL474" si="233">+D$6</f>
        <v>44317</v>
      </c>
      <c r="E474" s="72">
        <f t="shared" si="233"/>
        <v>44348</v>
      </c>
      <c r="F474" s="72">
        <f t="shared" si="233"/>
        <v>44378</v>
      </c>
      <c r="G474" s="72">
        <f t="shared" si="233"/>
        <v>44409</v>
      </c>
      <c r="H474" s="72">
        <f t="shared" si="233"/>
        <v>44440</v>
      </c>
      <c r="I474" s="72">
        <f t="shared" si="233"/>
        <v>44470</v>
      </c>
      <c r="J474" s="72">
        <f t="shared" si="233"/>
        <v>44501</v>
      </c>
      <c r="K474" s="72">
        <f t="shared" si="233"/>
        <v>44531</v>
      </c>
      <c r="L474" s="72">
        <f t="shared" si="233"/>
        <v>44562</v>
      </c>
      <c r="M474" s="72">
        <f t="shared" si="233"/>
        <v>44593</v>
      </c>
      <c r="N474" s="72">
        <f t="shared" si="233"/>
        <v>44621</v>
      </c>
      <c r="O474" s="72">
        <f t="shared" si="233"/>
        <v>44652</v>
      </c>
      <c r="P474" s="72">
        <f t="shared" si="233"/>
        <v>44682</v>
      </c>
      <c r="Q474" s="72">
        <f t="shared" si="233"/>
        <v>44713</v>
      </c>
      <c r="R474" s="72">
        <f t="shared" si="233"/>
        <v>44743</v>
      </c>
      <c r="S474" s="72">
        <f t="shared" si="233"/>
        <v>44774</v>
      </c>
      <c r="T474" s="72">
        <f t="shared" si="233"/>
        <v>44805</v>
      </c>
      <c r="U474" s="72">
        <f t="shared" si="233"/>
        <v>44835</v>
      </c>
      <c r="V474" s="72">
        <f t="shared" si="233"/>
        <v>44866</v>
      </c>
      <c r="W474" s="72">
        <f t="shared" si="233"/>
        <v>44896</v>
      </c>
      <c r="X474" s="72">
        <f t="shared" si="233"/>
        <v>44927</v>
      </c>
      <c r="Y474" s="72">
        <f t="shared" si="233"/>
        <v>44958</v>
      </c>
      <c r="Z474" s="72">
        <f t="shared" si="233"/>
        <v>44986</v>
      </c>
      <c r="AA474" s="72">
        <f t="shared" si="233"/>
        <v>45017</v>
      </c>
      <c r="AB474" s="72">
        <f t="shared" si="233"/>
        <v>45047</v>
      </c>
      <c r="AC474" s="72">
        <f t="shared" si="233"/>
        <v>45078</v>
      </c>
      <c r="AD474" s="72">
        <f t="shared" si="233"/>
        <v>45108</v>
      </c>
      <c r="AE474" s="72">
        <f t="shared" si="233"/>
        <v>45139</v>
      </c>
      <c r="AF474" s="72">
        <f t="shared" si="233"/>
        <v>45170</v>
      </c>
      <c r="AG474" s="72">
        <f t="shared" si="233"/>
        <v>45200</v>
      </c>
      <c r="AH474" s="72">
        <f t="shared" si="233"/>
        <v>45231</v>
      </c>
      <c r="AI474" s="72">
        <f t="shared" si="233"/>
        <v>45261</v>
      </c>
      <c r="AJ474" s="72">
        <f t="shared" si="233"/>
        <v>45292</v>
      </c>
      <c r="AK474" s="72">
        <f t="shared" si="233"/>
        <v>45323</v>
      </c>
      <c r="AL474" s="72">
        <f t="shared" si="233"/>
        <v>45352</v>
      </c>
      <c r="AM474" s="42">
        <f t="shared" si="232"/>
        <v>45078</v>
      </c>
      <c r="AN474" s="51">
        <f>+AC478</f>
        <v>7054.3599999999979</v>
      </c>
      <c r="AO474" s="51">
        <f>+AC479</f>
        <v>36577.670000000006</v>
      </c>
      <c r="AP474" s="51">
        <f>+AC480</f>
        <v>56946.29</v>
      </c>
      <c r="AQ474" s="51">
        <f>+AC481</f>
        <v>106664.65000000001</v>
      </c>
      <c r="AR474" s="51">
        <f>+AC482</f>
        <v>173026.43</v>
      </c>
      <c r="AS474" s="51">
        <f>+AC483</f>
        <v>317607.73999999993</v>
      </c>
      <c r="AT474" s="51">
        <f>+AC484</f>
        <v>645352.64999999991</v>
      </c>
      <c r="AU474" s="51">
        <f>+AC485</f>
        <v>1516057.6899999988</v>
      </c>
      <c r="AV474" s="51">
        <f>+AC486</f>
        <v>4066843.4699999946</v>
      </c>
      <c r="AW474" s="530">
        <v>0</v>
      </c>
      <c r="AX474" s="530">
        <v>0</v>
      </c>
      <c r="AY474" s="530">
        <v>0</v>
      </c>
      <c r="AZ474" s="530">
        <v>0</v>
      </c>
      <c r="BA474" s="530">
        <v>0</v>
      </c>
      <c r="BB474" s="530">
        <v>0</v>
      </c>
      <c r="BC474" s="530">
        <v>0</v>
      </c>
      <c r="BD474" s="530">
        <v>0</v>
      </c>
    </row>
    <row r="475" spans="1:56" x14ac:dyDescent="0.2">
      <c r="C475" s="531" t="s">
        <v>946</v>
      </c>
      <c r="D475" s="532">
        <f>Final!$S$63</f>
        <v>44926</v>
      </c>
      <c r="E475" s="3" t="s">
        <v>949</v>
      </c>
      <c r="F475" s="3"/>
      <c r="G475" s="3"/>
      <c r="AM475" s="42">
        <f t="shared" si="232"/>
        <v>45047</v>
      </c>
      <c r="AN475" s="51">
        <f>+AB478</f>
        <v>23773.48</v>
      </c>
      <c r="AO475" s="51">
        <f>+AB479</f>
        <v>44119.779999999992</v>
      </c>
      <c r="AP475" s="51">
        <f>+AB480</f>
        <v>68420.489999999976</v>
      </c>
      <c r="AQ475" s="51">
        <f>+AB481</f>
        <v>138528.09999999998</v>
      </c>
      <c r="AR475" s="51">
        <f>+AB482</f>
        <v>165004.88999999996</v>
      </c>
      <c r="AS475" s="51">
        <f>+AB483</f>
        <v>222720.33</v>
      </c>
      <c r="AT475" s="51">
        <f>+AB484</f>
        <v>340235.59999999992</v>
      </c>
      <c r="AU475" s="51">
        <f>+AB485</f>
        <v>569718.20999999985</v>
      </c>
      <c r="AV475" s="51">
        <f>+AB486</f>
        <v>1314915.6399999985</v>
      </c>
      <c r="AW475" s="51">
        <f>+AB487</f>
        <v>4067932.6900000013</v>
      </c>
      <c r="AX475" s="530">
        <v>0</v>
      </c>
      <c r="AY475" s="530">
        <v>0</v>
      </c>
      <c r="AZ475" s="530">
        <v>0</v>
      </c>
      <c r="BA475" s="530">
        <v>0</v>
      </c>
      <c r="BB475" s="530">
        <v>0</v>
      </c>
      <c r="BC475" s="530">
        <v>0</v>
      </c>
      <c r="BD475" s="530">
        <v>0</v>
      </c>
    </row>
    <row r="476" spans="1:56" x14ac:dyDescent="0.2">
      <c r="A476" s="227" t="s">
        <v>946</v>
      </c>
      <c r="C476" s="227" t="s">
        <v>948</v>
      </c>
      <c r="D476" s="4">
        <v>42704</v>
      </c>
      <c r="E476" s="4">
        <v>42673</v>
      </c>
      <c r="F476" s="4">
        <v>42643</v>
      </c>
      <c r="AM476" s="42">
        <f t="shared" si="232"/>
        <v>45017</v>
      </c>
      <c r="AN476" s="51">
        <f>+AA478</f>
        <v>5396.0700000000006</v>
      </c>
      <c r="AO476" s="51">
        <f>+AA479</f>
        <v>17200.080000000002</v>
      </c>
      <c r="AP476" s="51">
        <f>+AA480</f>
        <v>35208.85</v>
      </c>
      <c r="AQ476" s="51">
        <f>+AA481</f>
        <v>52950.869999999995</v>
      </c>
      <c r="AR476" s="51">
        <f>+AA482</f>
        <v>71846.010000000009</v>
      </c>
      <c r="AS476" s="51">
        <f>+AA483</f>
        <v>110431.94000000003</v>
      </c>
      <c r="AT476" s="51">
        <f>+AA484</f>
        <v>162483.24000000002</v>
      </c>
      <c r="AU476" s="51">
        <f>+AA485</f>
        <v>234859.19</v>
      </c>
      <c r="AV476" s="51">
        <f>+AA486</f>
        <v>468066.82000000007</v>
      </c>
      <c r="AW476" s="51">
        <f>+AA487</f>
        <v>1019952.5700000006</v>
      </c>
      <c r="AX476" s="51">
        <f>+AA488</f>
        <v>3650600.3199999919</v>
      </c>
      <c r="AY476" s="530">
        <v>0</v>
      </c>
      <c r="AZ476" s="530">
        <v>0</v>
      </c>
      <c r="BA476" s="530">
        <v>0</v>
      </c>
      <c r="BB476" s="530">
        <v>0</v>
      </c>
      <c r="BC476" s="530">
        <v>0</v>
      </c>
      <c r="BD476" s="530">
        <v>0</v>
      </c>
    </row>
    <row r="477" spans="1:56" x14ac:dyDescent="0.2">
      <c r="A477" s="227" t="s">
        <v>17</v>
      </c>
      <c r="B477" s="52">
        <f>+Final!A11</f>
        <v>45352</v>
      </c>
      <c r="C477" s="51">
        <f t="shared" ref="C477:C494" si="234">VLOOKUP($B477,$AM$486:$BD$503,$H$472+1)</f>
        <v>0</v>
      </c>
      <c r="D477" s="533"/>
      <c r="E477" s="156"/>
      <c r="F477" s="156"/>
      <c r="AK477" s="501" t="s">
        <v>947</v>
      </c>
      <c r="AL477" s="501" t="s">
        <v>947</v>
      </c>
      <c r="AM477" s="42">
        <f t="shared" si="232"/>
        <v>44986</v>
      </c>
      <c r="AN477" s="51">
        <f>+Z478</f>
        <v>10176.650000000001</v>
      </c>
      <c r="AO477" s="51">
        <f>+Z479</f>
        <v>26462.830000000005</v>
      </c>
      <c r="AP477" s="51">
        <f>+Z480</f>
        <v>41491.770000000004</v>
      </c>
      <c r="AQ477" s="51">
        <f>+Z481</f>
        <v>62346.57</v>
      </c>
      <c r="AR477" s="51">
        <f>+Z482</f>
        <v>74536.859999999986</v>
      </c>
      <c r="AS477" s="51">
        <f>+Z483</f>
        <v>115566.58000000002</v>
      </c>
      <c r="AT477" s="51">
        <f>+Z484</f>
        <v>198980.72999999998</v>
      </c>
      <c r="AU477" s="51">
        <f>+Z485</f>
        <v>264998.71000000002</v>
      </c>
      <c r="AV477" s="51">
        <f>+Z486</f>
        <v>362004.95</v>
      </c>
      <c r="AW477" s="51">
        <f>+Z487</f>
        <v>569777.17999999993</v>
      </c>
      <c r="AX477" s="51">
        <f>+Z488</f>
        <v>1378683.3399999978</v>
      </c>
      <c r="AY477" s="51">
        <f>+Z489</f>
        <v>3647252.889999989</v>
      </c>
      <c r="AZ477" s="530">
        <v>0</v>
      </c>
      <c r="BA477" s="530">
        <v>0</v>
      </c>
      <c r="BB477" s="530">
        <v>0</v>
      </c>
      <c r="BC477" s="530">
        <v>0</v>
      </c>
      <c r="BD477" s="530">
        <v>0</v>
      </c>
    </row>
    <row r="478" spans="1:56" x14ac:dyDescent="0.2">
      <c r="A478" s="2">
        <v>1</v>
      </c>
      <c r="B478" s="52">
        <f>+Final!A12</f>
        <v>45323</v>
      </c>
      <c r="C478" s="51">
        <f t="shared" si="234"/>
        <v>0</v>
      </c>
      <c r="D478" s="534"/>
      <c r="E478" s="156"/>
      <c r="F478" s="156"/>
      <c r="G478" s="51"/>
      <c r="H478" s="51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30">
        <v>0</v>
      </c>
      <c r="U478" s="51">
        <f>+U25</f>
        <v>1995.8600000000001</v>
      </c>
      <c r="V478" s="51">
        <f>+V24</f>
        <v>709.11</v>
      </c>
      <c r="W478" s="51">
        <f>+W23</f>
        <v>7783.3899999999985</v>
      </c>
      <c r="X478" s="51">
        <f>+X22</f>
        <v>4794.5200000000004</v>
      </c>
      <c r="Y478" s="51">
        <f>+Y21</f>
        <v>4904.6799999999994</v>
      </c>
      <c r="Z478" s="51">
        <f>+Z20</f>
        <v>10176.650000000001</v>
      </c>
      <c r="AA478" s="51">
        <f>+AA19</f>
        <v>5396.0700000000006</v>
      </c>
      <c r="AB478" s="51">
        <f>+AB18</f>
        <v>23773.48</v>
      </c>
      <c r="AC478" s="51">
        <f>+AC17</f>
        <v>7054.3599999999979</v>
      </c>
      <c r="AD478" s="51">
        <f>+AD16</f>
        <v>11458.970000000001</v>
      </c>
      <c r="AE478" s="51">
        <f>+AE15</f>
        <v>53483.43</v>
      </c>
      <c r="AF478" s="51">
        <f>+AF14</f>
        <v>27907.89000000001</v>
      </c>
      <c r="AG478" s="51">
        <f>+AG13</f>
        <v>58795.200000000019</v>
      </c>
      <c r="AH478" s="51">
        <f>+AH12</f>
        <v>100495.20000000001</v>
      </c>
      <c r="AI478" s="51">
        <f>+AI11</f>
        <v>237196.05</v>
      </c>
      <c r="AJ478" s="51">
        <f>+AJ10</f>
        <v>881944.20000000007</v>
      </c>
      <c r="AK478" s="51">
        <f>+AK9</f>
        <v>2855332.7500000061</v>
      </c>
      <c r="AL478" s="530">
        <v>0</v>
      </c>
      <c r="AM478" s="42">
        <f t="shared" si="232"/>
        <v>44958</v>
      </c>
      <c r="AN478" s="51">
        <f>+Y478</f>
        <v>4904.6799999999994</v>
      </c>
      <c r="AO478" s="51">
        <f>+Y479</f>
        <v>21317.71</v>
      </c>
      <c r="AP478" s="51">
        <f>+Y480</f>
        <v>28548.920000000002</v>
      </c>
      <c r="AQ478" s="51">
        <f>+Y481</f>
        <v>40227.230000000003</v>
      </c>
      <c r="AR478" s="51">
        <f>+Y482</f>
        <v>55493.06</v>
      </c>
      <c r="AS478" s="51">
        <f>+Y483</f>
        <v>82502.169999999984</v>
      </c>
      <c r="AT478" s="51">
        <f>+Y484</f>
        <v>114128.55999999998</v>
      </c>
      <c r="AU478" s="51">
        <f>+Y485</f>
        <v>154988.16999999995</v>
      </c>
      <c r="AV478" s="51">
        <f>+Y486</f>
        <v>216639.83999999997</v>
      </c>
      <c r="AW478" s="51">
        <f>+Y487</f>
        <v>270648.50999999995</v>
      </c>
      <c r="AX478" s="51">
        <f>+Y488</f>
        <v>486661.69000000024</v>
      </c>
      <c r="AY478" s="51">
        <f>+Y489</f>
        <v>850872.60000000009</v>
      </c>
      <c r="AZ478" s="51">
        <f>+Y490</f>
        <v>3387388.1199999875</v>
      </c>
      <c r="BA478" s="530">
        <v>0</v>
      </c>
      <c r="BB478" s="530">
        <v>0</v>
      </c>
      <c r="BC478" s="530">
        <v>0</v>
      </c>
      <c r="BD478" s="530">
        <v>0</v>
      </c>
    </row>
    <row r="479" spans="1:56" x14ac:dyDescent="0.2">
      <c r="A479" s="2">
        <f t="shared" ref="A479:A494" si="235">1+A478</f>
        <v>2</v>
      </c>
      <c r="B479" s="52">
        <f>+Final!A13</f>
        <v>45292</v>
      </c>
      <c r="C479" s="51">
        <f t="shared" si="234"/>
        <v>0</v>
      </c>
      <c r="D479" s="534"/>
      <c r="E479" s="156"/>
      <c r="F479" s="156"/>
      <c r="T479" s="530">
        <v>0</v>
      </c>
      <c r="U479" s="51">
        <f>SUM(U24:U$31)</f>
        <v>3643.79</v>
      </c>
      <c r="V479" s="51">
        <f>SUM(V23:V$31)</f>
        <v>11175.24</v>
      </c>
      <c r="W479" s="51">
        <f>SUM(W22:W$31)</f>
        <v>10836.839999999998</v>
      </c>
      <c r="X479" s="51">
        <f>SUM(X21:X$31)</f>
        <v>16109.910000000002</v>
      </c>
      <c r="Y479" s="51">
        <f>SUM(Y20:Y$31)</f>
        <v>21317.71</v>
      </c>
      <c r="Z479" s="51">
        <f>SUM(Z19:Z$31)</f>
        <v>26462.830000000005</v>
      </c>
      <c r="AA479" s="51">
        <f>SUM(AA18:AA$31)</f>
        <v>17200.080000000002</v>
      </c>
      <c r="AB479" s="51">
        <f>SUM(AB17:AB$31)</f>
        <v>44119.779999999992</v>
      </c>
      <c r="AC479" s="51">
        <f>SUM(AC16:AC$31)</f>
        <v>36577.670000000006</v>
      </c>
      <c r="AD479" s="51">
        <f>SUM(AD15:AD$31)</f>
        <v>51321.389999999992</v>
      </c>
      <c r="AE479" s="51">
        <f>SUM(AE14:AE$31)</f>
        <v>97938.550000000017</v>
      </c>
      <c r="AF479" s="51">
        <f>SUM(AF13:AF$31)</f>
        <v>82901.170000000027</v>
      </c>
      <c r="AG479" s="51">
        <f>SUM(AG12:AG$31)</f>
        <v>234071.83999999991</v>
      </c>
      <c r="AH479" s="51">
        <f>SUM(AH11:AH$31)</f>
        <v>487974.33999999985</v>
      </c>
      <c r="AI479" s="51">
        <f>SUM(AI10:AI$31)</f>
        <v>1053551.2000000002</v>
      </c>
      <c r="AJ479" s="51">
        <f>SUM(AJ9:AJ$31)</f>
        <v>3737361.959999993</v>
      </c>
      <c r="AK479" s="530">
        <v>0</v>
      </c>
      <c r="AM479" s="42">
        <f t="shared" si="232"/>
        <v>44927</v>
      </c>
      <c r="AN479" s="51">
        <f>+X478</f>
        <v>4794.5200000000004</v>
      </c>
      <c r="AO479" s="51">
        <f>+X479</f>
        <v>16109.910000000002</v>
      </c>
      <c r="AP479" s="51">
        <f>+X480</f>
        <v>23817.960000000003</v>
      </c>
      <c r="AQ479" s="51">
        <f>+X481</f>
        <v>36440.25</v>
      </c>
      <c r="AR479" s="51">
        <f>+X482</f>
        <v>61210.41</v>
      </c>
      <c r="AS479" s="51">
        <f>+X483</f>
        <v>82151.88</v>
      </c>
      <c r="AT479" s="51">
        <f>+X484</f>
        <v>125714.29</v>
      </c>
      <c r="AU479" s="51">
        <f>+X485</f>
        <v>164998.76999999996</v>
      </c>
      <c r="AV479" s="51">
        <f>+X486</f>
        <v>221266.12</v>
      </c>
      <c r="AW479" s="51">
        <f>+X487</f>
        <v>248157.5</v>
      </c>
      <c r="AX479" s="51">
        <f>+X488</f>
        <v>342166.67999999988</v>
      </c>
      <c r="AY479" s="51">
        <f>+X489</f>
        <v>511145.98999999982</v>
      </c>
      <c r="AZ479" s="51">
        <f>+X490</f>
        <v>1121377.5199999993</v>
      </c>
      <c r="BA479" s="51">
        <f>+X491</f>
        <v>3049630.5399999903</v>
      </c>
      <c r="BB479" s="530">
        <v>0</v>
      </c>
      <c r="BC479" s="530">
        <v>0</v>
      </c>
      <c r="BD479" s="530">
        <v>0</v>
      </c>
    </row>
    <row r="480" spans="1:56" x14ac:dyDescent="0.2">
      <c r="A480" s="2">
        <f t="shared" si="235"/>
        <v>3</v>
      </c>
      <c r="B480" s="52">
        <f>+Final!A14</f>
        <v>45261</v>
      </c>
      <c r="C480" s="51">
        <f t="shared" si="234"/>
        <v>0</v>
      </c>
      <c r="D480" s="534"/>
      <c r="E480" s="156"/>
      <c r="F480" s="156"/>
      <c r="T480" s="530">
        <v>0</v>
      </c>
      <c r="U480" s="51">
        <f>SUM(U23:U$31)</f>
        <v>14283.790000000003</v>
      </c>
      <c r="V480" s="51">
        <f>SUM(V22:V$31)</f>
        <v>18606.79</v>
      </c>
      <c r="W480" s="51">
        <f>SUM(W21:W$31)</f>
        <v>21231.24</v>
      </c>
      <c r="X480" s="51">
        <f>SUM(X20:X$31)</f>
        <v>23817.960000000003</v>
      </c>
      <c r="Y480" s="51">
        <f>SUM(Y19:Y$31)</f>
        <v>28548.920000000002</v>
      </c>
      <c r="Z480" s="51">
        <f>SUM(Z18:Z$31)</f>
        <v>41491.770000000004</v>
      </c>
      <c r="AA480" s="51">
        <f>SUM(AA17:AA$31)</f>
        <v>35208.85</v>
      </c>
      <c r="AB480" s="51">
        <f>SUM(AB16:AB$31)</f>
        <v>68420.489999999976</v>
      </c>
      <c r="AC480" s="51">
        <f>SUM(AC15:AC$31)</f>
        <v>56946.29</v>
      </c>
      <c r="AD480" s="51">
        <f>SUM(AD14:AD$31)</f>
        <v>93077.98000000001</v>
      </c>
      <c r="AE480" s="51">
        <f>SUM(AE13:AE$31)</f>
        <v>141169.68</v>
      </c>
      <c r="AF480" s="51">
        <f>SUM(AF12:AF$31)</f>
        <v>163502.95000000001</v>
      </c>
      <c r="AG480" s="51">
        <f>SUM(AG11:AG$31)</f>
        <v>597438.22999999986</v>
      </c>
      <c r="AH480" s="51">
        <f>SUM(AH10:AH$31)</f>
        <v>1357235.179999999</v>
      </c>
      <c r="AI480" s="51">
        <f>SUM(AI9:AI$31)</f>
        <v>3998172.4800000004</v>
      </c>
      <c r="AJ480" s="530">
        <v>0</v>
      </c>
      <c r="AM480" s="42">
        <f t="shared" si="232"/>
        <v>44896</v>
      </c>
      <c r="AN480" s="51">
        <f>+W478</f>
        <v>7783.3899999999985</v>
      </c>
      <c r="AO480" s="51">
        <f>+W479</f>
        <v>10836.839999999998</v>
      </c>
      <c r="AP480" s="51">
        <f>+W480</f>
        <v>21231.24</v>
      </c>
      <c r="AQ480" s="51">
        <f>+W481</f>
        <v>39542.94</v>
      </c>
      <c r="AR480" s="51">
        <f>+W482</f>
        <v>47932.789999999994</v>
      </c>
      <c r="AS480" s="51">
        <f>+W483</f>
        <v>69234.95</v>
      </c>
      <c r="AT480" s="51">
        <f>+W484</f>
        <v>101321.51999999999</v>
      </c>
      <c r="AU480" s="51">
        <f>+W485</f>
        <v>126443.93</v>
      </c>
      <c r="AV480" s="51">
        <f>+W486</f>
        <v>173845.66</v>
      </c>
      <c r="AW480" s="51">
        <f>+W487</f>
        <v>195719.18</v>
      </c>
      <c r="AX480" s="51">
        <f>+W488</f>
        <v>246559.6</v>
      </c>
      <c r="AY480" s="51">
        <f>+W489</f>
        <v>301368.48000000004</v>
      </c>
      <c r="AZ480" s="51">
        <f>+W490</f>
        <v>515030.3299999999</v>
      </c>
      <c r="BA480" s="51">
        <f>+W491</f>
        <v>1084587.7999999998</v>
      </c>
      <c r="BB480" s="51">
        <f>+W492</f>
        <v>3451596.0000000135</v>
      </c>
      <c r="BC480" s="530">
        <v>0</v>
      </c>
      <c r="BD480" s="530">
        <v>0</v>
      </c>
    </row>
    <row r="481" spans="1:56" x14ac:dyDescent="0.2">
      <c r="A481" s="2">
        <f t="shared" si="235"/>
        <v>4</v>
      </c>
      <c r="B481" s="52">
        <f>+Final!A15</f>
        <v>45231</v>
      </c>
      <c r="C481" s="51">
        <f t="shared" si="234"/>
        <v>0</v>
      </c>
      <c r="D481" s="156"/>
      <c r="E481" s="156"/>
      <c r="F481" s="156"/>
      <c r="T481" s="530">
        <v>0</v>
      </c>
      <c r="U481" s="51">
        <f>SUM(U22:U$31)</f>
        <v>26843.420000000006</v>
      </c>
      <c r="V481" s="51">
        <f>SUM(V21:V$31)</f>
        <v>36074.560000000005</v>
      </c>
      <c r="W481" s="51">
        <f>SUM(W20:W$31)</f>
        <v>39542.94</v>
      </c>
      <c r="X481" s="51">
        <f>SUM(X19:X$31)</f>
        <v>36440.25</v>
      </c>
      <c r="Y481" s="51">
        <f>SUM(Y18:Y$31)</f>
        <v>40227.230000000003</v>
      </c>
      <c r="Z481" s="51">
        <f>SUM(Z17:Z$31)</f>
        <v>62346.57</v>
      </c>
      <c r="AA481" s="51">
        <f>SUM(AA16:AA$31)</f>
        <v>52950.869999999995</v>
      </c>
      <c r="AB481" s="51">
        <f>SUM(AB15:AB$31)</f>
        <v>138528.09999999998</v>
      </c>
      <c r="AC481" s="51">
        <f>SUM(AC14:AC$31)</f>
        <v>106664.65000000001</v>
      </c>
      <c r="AD481" s="51">
        <f>SUM(AD13:AD$31)</f>
        <v>121207.41</v>
      </c>
      <c r="AE481" s="51">
        <f>SUM(AE12:AE$31)</f>
        <v>235822.89</v>
      </c>
      <c r="AF481" s="51">
        <f>SUM(AF11:AF$31)</f>
        <v>423105.92000000016</v>
      </c>
      <c r="AG481" s="51">
        <f>SUM(AG10:AG$31)</f>
        <v>1346532.7999999993</v>
      </c>
      <c r="AH481" s="51">
        <f>SUM(AH9:AH$31)</f>
        <v>4435804.6499999883</v>
      </c>
      <c r="AI481" s="530">
        <v>0</v>
      </c>
      <c r="AM481" s="42">
        <f t="shared" si="232"/>
        <v>44866</v>
      </c>
      <c r="AN481" s="51">
        <f>+V478</f>
        <v>709.11</v>
      </c>
      <c r="AO481" s="51">
        <f>+V479</f>
        <v>11175.24</v>
      </c>
      <c r="AP481" s="51">
        <f>+V480</f>
        <v>18606.79</v>
      </c>
      <c r="AQ481" s="51">
        <f>+V481</f>
        <v>36074.560000000005</v>
      </c>
      <c r="AR481" s="51">
        <f>+V482</f>
        <v>54917.47</v>
      </c>
      <c r="AS481" s="51">
        <f>+V483</f>
        <v>65323.14</v>
      </c>
      <c r="AT481" s="51">
        <f>+V484</f>
        <v>84840.590000000011</v>
      </c>
      <c r="AU481" s="51">
        <f>+V485</f>
        <v>100784.56000000003</v>
      </c>
      <c r="AV481" s="51">
        <f>+V486</f>
        <v>125327.44000000002</v>
      </c>
      <c r="AW481" s="51">
        <f>+V487</f>
        <v>159470.5</v>
      </c>
      <c r="AX481" s="51">
        <f>+V488</f>
        <v>218483.80000000005</v>
      </c>
      <c r="AY481" s="51">
        <f>+V489</f>
        <v>244798.97000000003</v>
      </c>
      <c r="AZ481" s="51">
        <f>+V490</f>
        <v>316403.11000000004</v>
      </c>
      <c r="BA481" s="51">
        <f>+V491</f>
        <v>540555.71000000008</v>
      </c>
      <c r="BB481" s="51">
        <f>+V492</f>
        <v>1197669.8800000008</v>
      </c>
      <c r="BC481" s="51">
        <f>+V493</f>
        <v>3884402.450000016</v>
      </c>
      <c r="BD481" s="530">
        <v>0</v>
      </c>
    </row>
    <row r="482" spans="1:56" x14ac:dyDescent="0.2">
      <c r="A482" s="2">
        <f t="shared" si="235"/>
        <v>5</v>
      </c>
      <c r="B482" s="52">
        <f>+Final!A16</f>
        <v>45200</v>
      </c>
      <c r="C482" s="51">
        <f t="shared" si="234"/>
        <v>0</v>
      </c>
      <c r="D482" s="156"/>
      <c r="E482" s="156"/>
      <c r="F482" s="156"/>
      <c r="T482" s="530">
        <v>0</v>
      </c>
      <c r="U482" s="51">
        <f>SUM(U21:U$31)</f>
        <v>42456.920000000006</v>
      </c>
      <c r="V482" s="51">
        <f>SUM(V20:V$31)</f>
        <v>54917.47</v>
      </c>
      <c r="W482" s="51">
        <f>SUM(W19:W$31)</f>
        <v>47932.789999999994</v>
      </c>
      <c r="X482" s="51">
        <f>SUM(X18:X$31)</f>
        <v>61210.41</v>
      </c>
      <c r="Y482" s="51">
        <f>SUM(Y17:Y$31)</f>
        <v>55493.06</v>
      </c>
      <c r="Z482" s="51">
        <f>SUM(Z16:Z$31)</f>
        <v>74536.859999999986</v>
      </c>
      <c r="AA482" s="51">
        <f>SUM(AA15:AA$31)</f>
        <v>71846.010000000009</v>
      </c>
      <c r="AB482" s="51">
        <f>SUM(AB14:AB$31)</f>
        <v>165004.88999999996</v>
      </c>
      <c r="AC482" s="51">
        <f>SUM(AC13:AC$31)</f>
        <v>173026.43</v>
      </c>
      <c r="AD482" s="51">
        <f>SUM(AD12:AD$31)</f>
        <v>203734.77</v>
      </c>
      <c r="AE482" s="51">
        <f>SUM(AE11:AE$31)</f>
        <v>602615.16000000027</v>
      </c>
      <c r="AF482" s="51">
        <f>SUM(AF10:AF$31)</f>
        <v>1193779.71</v>
      </c>
      <c r="AG482" s="51">
        <f>SUM(AG9:AG$31)</f>
        <v>4502085.8900000099</v>
      </c>
      <c r="AH482" s="530">
        <v>0</v>
      </c>
      <c r="AM482" s="42">
        <f t="shared" si="232"/>
        <v>44835</v>
      </c>
      <c r="AN482" s="51">
        <f>+U478</f>
        <v>1995.8600000000001</v>
      </c>
      <c r="AO482" s="51">
        <f>+U479</f>
        <v>3643.79</v>
      </c>
      <c r="AP482" s="51">
        <f>+U480</f>
        <v>14283.790000000003</v>
      </c>
      <c r="AQ482" s="51">
        <f>+U481</f>
        <v>26843.420000000006</v>
      </c>
      <c r="AR482" s="51">
        <f>+U482</f>
        <v>42456.920000000006</v>
      </c>
      <c r="AS482" s="51">
        <f>+U483</f>
        <v>61884.44000000001</v>
      </c>
      <c r="AT482" s="51">
        <f>+U484</f>
        <v>87856.05</v>
      </c>
      <c r="AU482" s="51">
        <f>+U485</f>
        <v>99043.400000000009</v>
      </c>
      <c r="AV482" s="51">
        <f>+U486</f>
        <v>110446.76000000001</v>
      </c>
      <c r="AW482" s="51">
        <f>+U487</f>
        <v>131828.24</v>
      </c>
      <c r="AX482" s="51">
        <f>+U488</f>
        <v>162950.05999999997</v>
      </c>
      <c r="AY482" s="51">
        <f>+U489</f>
        <v>193701.01</v>
      </c>
      <c r="AZ482" s="51">
        <f>+U490</f>
        <v>231420.01</v>
      </c>
      <c r="BA482" s="51">
        <f>+U491</f>
        <v>324509.03999999998</v>
      </c>
      <c r="BB482" s="51">
        <f>+U492</f>
        <v>569228.01999999979</v>
      </c>
      <c r="BC482" s="51">
        <f>+U493</f>
        <v>1454768.4999999979</v>
      </c>
      <c r="BD482" s="51">
        <f>+U494</f>
        <v>3685033.1400000085</v>
      </c>
    </row>
    <row r="483" spans="1:56" x14ac:dyDescent="0.2">
      <c r="A483" s="2">
        <f t="shared" si="235"/>
        <v>6</v>
      </c>
      <c r="B483" s="52">
        <f>+Final!A17</f>
        <v>45170</v>
      </c>
      <c r="C483" s="51">
        <f t="shared" si="234"/>
        <v>0</v>
      </c>
      <c r="D483" s="156"/>
      <c r="E483" s="156"/>
      <c r="F483" s="156"/>
      <c r="T483" s="530">
        <v>0</v>
      </c>
      <c r="U483" s="51">
        <f>SUM(U20:U$31)</f>
        <v>61884.44000000001</v>
      </c>
      <c r="V483" s="51">
        <f>SUM(V19:V$31)</f>
        <v>65323.14</v>
      </c>
      <c r="W483" s="51">
        <f>SUM(W18:W$31)</f>
        <v>69234.95</v>
      </c>
      <c r="X483" s="51">
        <f>SUM(X17:X$31)</f>
        <v>82151.88</v>
      </c>
      <c r="Y483" s="51">
        <f>SUM(Y16:Y$31)</f>
        <v>82502.169999999984</v>
      </c>
      <c r="Z483" s="51">
        <f>SUM(Z15:Z$31)</f>
        <v>115566.58000000002</v>
      </c>
      <c r="AA483" s="51">
        <f>SUM(AA14:AA$31)</f>
        <v>110431.94000000003</v>
      </c>
      <c r="AB483" s="51">
        <f>SUM(AB13:AB$31)</f>
        <v>222720.33</v>
      </c>
      <c r="AC483" s="51">
        <f>SUM(AC12:AC$31)</f>
        <v>317607.73999999993</v>
      </c>
      <c r="AD483" s="51">
        <f>SUM(AD11:AD$31)</f>
        <v>490722.69999999995</v>
      </c>
      <c r="AE483" s="51">
        <f>SUM(AE10:AE$31)</f>
        <v>1546918.1699999988</v>
      </c>
      <c r="AF483" s="51">
        <f>SUM(AF9:AF$31)</f>
        <v>4355241.2399999937</v>
      </c>
      <c r="AG483" s="530">
        <v>0</v>
      </c>
    </row>
    <row r="484" spans="1:56" x14ac:dyDescent="0.2">
      <c r="A484" s="2">
        <f t="shared" si="235"/>
        <v>7</v>
      </c>
      <c r="B484" s="52">
        <f>+Final!A18</f>
        <v>45139</v>
      </c>
      <c r="C484" s="51">
        <f t="shared" si="234"/>
        <v>0</v>
      </c>
      <c r="D484" s="156"/>
      <c r="E484" s="156"/>
      <c r="F484" s="156"/>
      <c r="T484" s="530">
        <v>0</v>
      </c>
      <c r="U484" s="51">
        <f>SUM(U19:U$31)</f>
        <v>87856.05</v>
      </c>
      <c r="V484" s="51">
        <f>SUM(V18:V$31)</f>
        <v>84840.590000000011</v>
      </c>
      <c r="W484" s="51">
        <f>SUM(W17:W$31)</f>
        <v>101321.51999999999</v>
      </c>
      <c r="X484" s="51">
        <f>SUM(X16:X$31)</f>
        <v>125714.29</v>
      </c>
      <c r="Y484" s="51">
        <f>SUM(Y15:Y$31)</f>
        <v>114128.55999999998</v>
      </c>
      <c r="Z484" s="51">
        <f>SUM(Z14:Z$31)</f>
        <v>198980.72999999998</v>
      </c>
      <c r="AA484" s="51">
        <f>SUM(AA13:AA$31)</f>
        <v>162483.24000000002</v>
      </c>
      <c r="AB484" s="51">
        <f>SUM(AB12:AB$31)</f>
        <v>340235.59999999992</v>
      </c>
      <c r="AC484" s="51">
        <f>SUM(AC11:AC$31)</f>
        <v>645352.64999999991</v>
      </c>
      <c r="AD484" s="51">
        <f>SUM(AD10:AD$31)</f>
        <v>1320514.9599999993</v>
      </c>
      <c r="AE484" s="51">
        <f>SUM(AE9:AE$31)</f>
        <v>4715040.0199999865</v>
      </c>
      <c r="AF484" s="530">
        <v>0</v>
      </c>
      <c r="AQ484" s="51"/>
    </row>
    <row r="485" spans="1:56" x14ac:dyDescent="0.2">
      <c r="A485" s="2">
        <f t="shared" si="235"/>
        <v>8</v>
      </c>
      <c r="B485" s="52">
        <f>+Final!A19</f>
        <v>45108</v>
      </c>
      <c r="C485" s="51">
        <f t="shared" si="234"/>
        <v>0</v>
      </c>
      <c r="D485" s="156"/>
      <c r="E485" s="156"/>
      <c r="F485" s="156"/>
      <c r="T485" s="530">
        <v>0</v>
      </c>
      <c r="U485" s="51">
        <f>SUM(U18:U$31)</f>
        <v>99043.400000000009</v>
      </c>
      <c r="V485" s="51">
        <f>SUM(V17:V$31)</f>
        <v>100784.56000000003</v>
      </c>
      <c r="W485" s="51">
        <f>SUM(W16:W$31)</f>
        <v>126443.93</v>
      </c>
      <c r="X485" s="51">
        <f>SUM(X15:X$31)</f>
        <v>164998.76999999996</v>
      </c>
      <c r="Y485" s="51">
        <f>SUM(Y14:Y$31)</f>
        <v>154988.16999999995</v>
      </c>
      <c r="Z485" s="51">
        <f>SUM(Z13:Z$31)</f>
        <v>264998.71000000002</v>
      </c>
      <c r="AA485" s="51">
        <f>SUM(AA12:AA$31)</f>
        <v>234859.19</v>
      </c>
      <c r="AB485" s="51">
        <f>SUM(AB11:AB$31)</f>
        <v>569718.20999999985</v>
      </c>
      <c r="AC485" s="51">
        <f>SUM(AC10:AC$31)</f>
        <v>1516057.6899999988</v>
      </c>
      <c r="AD485" s="51">
        <f>SUM(AD9:AD$31)</f>
        <v>3978513.0999999912</v>
      </c>
      <c r="AE485" s="530">
        <v>0</v>
      </c>
    </row>
    <row r="486" spans="1:56" x14ac:dyDescent="0.2">
      <c r="A486" s="2">
        <f t="shared" si="235"/>
        <v>9</v>
      </c>
      <c r="B486" s="52">
        <f>+Final!A20</f>
        <v>45078</v>
      </c>
      <c r="C486" s="51">
        <f t="shared" si="234"/>
        <v>0</v>
      </c>
      <c r="D486" s="156"/>
      <c r="E486" s="156"/>
      <c r="F486" s="156"/>
      <c r="T486" s="530">
        <v>0</v>
      </c>
      <c r="U486" s="51">
        <f>SUM(U17:U$31)</f>
        <v>110446.76000000001</v>
      </c>
      <c r="V486" s="51">
        <f>SUM(V16:V$31)</f>
        <v>125327.44000000002</v>
      </c>
      <c r="W486" s="51">
        <f>SUM(W15:W$31)</f>
        <v>173845.66</v>
      </c>
      <c r="X486" s="51">
        <f>SUM(X14:X$31)</f>
        <v>221266.12</v>
      </c>
      <c r="Y486" s="51">
        <f>SUM(Y13:Y$31)</f>
        <v>216639.83999999997</v>
      </c>
      <c r="Z486" s="51">
        <f>SUM(Z12:Z$31)</f>
        <v>362004.95</v>
      </c>
      <c r="AA486" s="51">
        <f>SUM(AA11:AA$31)</f>
        <v>468066.82000000007</v>
      </c>
      <c r="AB486" s="51">
        <f>SUM(AB10:AB$31)</f>
        <v>1314915.6399999985</v>
      </c>
      <c r="AC486" s="51">
        <f>SUM(AC9:AC$31)</f>
        <v>4066843.4699999946</v>
      </c>
      <c r="AD486" s="530">
        <v>0</v>
      </c>
      <c r="AM486" s="42">
        <f t="shared" ref="AM486:BD486" si="236">+AM482</f>
        <v>44835</v>
      </c>
      <c r="AN486" s="51">
        <f t="shared" si="236"/>
        <v>1995.8600000000001</v>
      </c>
      <c r="AO486" s="51">
        <f t="shared" si="236"/>
        <v>3643.79</v>
      </c>
      <c r="AP486" s="51">
        <f t="shared" si="236"/>
        <v>14283.790000000003</v>
      </c>
      <c r="AQ486" s="51">
        <f t="shared" si="236"/>
        <v>26843.420000000006</v>
      </c>
      <c r="AR486" s="51">
        <f t="shared" si="236"/>
        <v>42456.920000000006</v>
      </c>
      <c r="AS486" s="51">
        <f t="shared" si="236"/>
        <v>61884.44000000001</v>
      </c>
      <c r="AT486" s="51">
        <f t="shared" si="236"/>
        <v>87856.05</v>
      </c>
      <c r="AU486" s="51">
        <f t="shared" si="236"/>
        <v>99043.400000000009</v>
      </c>
      <c r="AV486" s="51">
        <f t="shared" si="236"/>
        <v>110446.76000000001</v>
      </c>
      <c r="AW486" s="51">
        <f t="shared" si="236"/>
        <v>131828.24</v>
      </c>
      <c r="AX486" s="51">
        <f t="shared" si="236"/>
        <v>162950.05999999997</v>
      </c>
      <c r="AY486" s="51">
        <f t="shared" si="236"/>
        <v>193701.01</v>
      </c>
      <c r="AZ486" s="51">
        <f t="shared" si="236"/>
        <v>231420.01</v>
      </c>
      <c r="BA486" s="51">
        <f t="shared" si="236"/>
        <v>324509.03999999998</v>
      </c>
      <c r="BB486" s="51">
        <f t="shared" si="236"/>
        <v>569228.01999999979</v>
      </c>
      <c r="BC486" s="51">
        <f t="shared" si="236"/>
        <v>1454768.4999999979</v>
      </c>
      <c r="BD486" s="51">
        <f t="shared" si="236"/>
        <v>3685033.1400000085</v>
      </c>
    </row>
    <row r="487" spans="1:56" x14ac:dyDescent="0.2">
      <c r="A487" s="2">
        <f t="shared" si="235"/>
        <v>10</v>
      </c>
      <c r="B487" s="52">
        <f>+Final!A21</f>
        <v>45047</v>
      </c>
      <c r="C487" s="51">
        <f t="shared" si="234"/>
        <v>0</v>
      </c>
      <c r="D487" s="156"/>
      <c r="E487" s="156"/>
      <c r="F487" s="156"/>
      <c r="T487" s="530">
        <v>0</v>
      </c>
      <c r="U487" s="51">
        <f>SUM(U16:U$31)</f>
        <v>131828.24</v>
      </c>
      <c r="V487" s="51">
        <f>SUM(V15:V$31)</f>
        <v>159470.5</v>
      </c>
      <c r="W487" s="51">
        <f>SUM(W14:W$31)</f>
        <v>195719.18</v>
      </c>
      <c r="X487" s="51">
        <f>SUM(X13:X$31)</f>
        <v>248157.5</v>
      </c>
      <c r="Y487" s="51">
        <f>SUM(Y12:Y$31)</f>
        <v>270648.50999999995</v>
      </c>
      <c r="Z487" s="51">
        <f>SUM(Z11:Z$31)</f>
        <v>569777.17999999993</v>
      </c>
      <c r="AA487" s="51">
        <f>SUM(AA10:AA$31)</f>
        <v>1019952.5700000006</v>
      </c>
      <c r="AB487" s="51">
        <f>SUM(AB9:AB$31)</f>
        <v>4067932.6900000013</v>
      </c>
      <c r="AC487" s="530">
        <v>0</v>
      </c>
      <c r="AM487" s="42">
        <f t="shared" ref="AM487:BD487" si="237">+AM481</f>
        <v>44866</v>
      </c>
      <c r="AN487" s="51">
        <f t="shared" si="237"/>
        <v>709.11</v>
      </c>
      <c r="AO487" s="51">
        <f t="shared" si="237"/>
        <v>11175.24</v>
      </c>
      <c r="AP487" s="51">
        <f t="shared" si="237"/>
        <v>18606.79</v>
      </c>
      <c r="AQ487" s="51">
        <f t="shared" si="237"/>
        <v>36074.560000000005</v>
      </c>
      <c r="AR487" s="51">
        <f t="shared" si="237"/>
        <v>54917.47</v>
      </c>
      <c r="AS487" s="51">
        <f t="shared" si="237"/>
        <v>65323.14</v>
      </c>
      <c r="AT487" s="51">
        <f t="shared" si="237"/>
        <v>84840.590000000011</v>
      </c>
      <c r="AU487" s="51">
        <f t="shared" si="237"/>
        <v>100784.56000000003</v>
      </c>
      <c r="AV487" s="51">
        <f t="shared" si="237"/>
        <v>125327.44000000002</v>
      </c>
      <c r="AW487" s="51">
        <f t="shared" si="237"/>
        <v>159470.5</v>
      </c>
      <c r="AX487" s="51">
        <f t="shared" si="237"/>
        <v>218483.80000000005</v>
      </c>
      <c r="AY487" s="51">
        <f t="shared" si="237"/>
        <v>244798.97000000003</v>
      </c>
      <c r="AZ487" s="51">
        <f t="shared" si="237"/>
        <v>316403.11000000004</v>
      </c>
      <c r="BA487" s="51">
        <f t="shared" si="237"/>
        <v>540555.71000000008</v>
      </c>
      <c r="BB487" s="51">
        <f t="shared" si="237"/>
        <v>1197669.8800000008</v>
      </c>
      <c r="BC487" s="51">
        <f t="shared" si="237"/>
        <v>3884402.450000016</v>
      </c>
      <c r="BD487" s="530">
        <f t="shared" si="237"/>
        <v>0</v>
      </c>
    </row>
    <row r="488" spans="1:56" x14ac:dyDescent="0.2">
      <c r="A488" s="2">
        <f t="shared" si="235"/>
        <v>11</v>
      </c>
      <c r="B488" s="52">
        <f>+Final!A22</f>
        <v>45017</v>
      </c>
      <c r="C488" s="51">
        <f t="shared" si="234"/>
        <v>0</v>
      </c>
      <c r="D488" s="156"/>
      <c r="E488" s="156"/>
      <c r="F488" s="156"/>
      <c r="T488" s="530">
        <v>0</v>
      </c>
      <c r="U488" s="51">
        <f>SUM(U15:U$31)</f>
        <v>162950.05999999997</v>
      </c>
      <c r="V488" s="51">
        <f>SUM(V14:V$31)</f>
        <v>218483.80000000005</v>
      </c>
      <c r="W488" s="51">
        <f>SUM(W13:W$31)</f>
        <v>246559.6</v>
      </c>
      <c r="X488" s="51">
        <f>SUM(X12:X$31)</f>
        <v>342166.67999999988</v>
      </c>
      <c r="Y488" s="51">
        <f>SUM(Y11:Y$31)</f>
        <v>486661.69000000024</v>
      </c>
      <c r="Z488" s="51">
        <f>SUM(Z10:Z$31)</f>
        <v>1378683.3399999978</v>
      </c>
      <c r="AA488" s="51">
        <f>SUM(AA9:AA$31)</f>
        <v>3650600.3199999919</v>
      </c>
      <c r="AB488" s="530">
        <v>0</v>
      </c>
      <c r="AM488" s="42">
        <f t="shared" ref="AM488:BD488" si="238">+AM480</f>
        <v>44896</v>
      </c>
      <c r="AN488" s="51">
        <f t="shared" si="238"/>
        <v>7783.3899999999985</v>
      </c>
      <c r="AO488" s="51">
        <f t="shared" si="238"/>
        <v>10836.839999999998</v>
      </c>
      <c r="AP488" s="51">
        <f t="shared" si="238"/>
        <v>21231.24</v>
      </c>
      <c r="AQ488" s="51">
        <f t="shared" si="238"/>
        <v>39542.94</v>
      </c>
      <c r="AR488" s="51">
        <f t="shared" si="238"/>
        <v>47932.789999999994</v>
      </c>
      <c r="AS488" s="51">
        <f t="shared" si="238"/>
        <v>69234.95</v>
      </c>
      <c r="AT488" s="51">
        <f t="shared" si="238"/>
        <v>101321.51999999999</v>
      </c>
      <c r="AU488" s="51">
        <f t="shared" si="238"/>
        <v>126443.93</v>
      </c>
      <c r="AV488" s="51">
        <f t="shared" si="238"/>
        <v>173845.66</v>
      </c>
      <c r="AW488" s="51">
        <f t="shared" si="238"/>
        <v>195719.18</v>
      </c>
      <c r="AX488" s="51">
        <f t="shared" si="238"/>
        <v>246559.6</v>
      </c>
      <c r="AY488" s="51">
        <f t="shared" si="238"/>
        <v>301368.48000000004</v>
      </c>
      <c r="AZ488" s="51">
        <f t="shared" si="238"/>
        <v>515030.3299999999</v>
      </c>
      <c r="BA488" s="51">
        <f t="shared" si="238"/>
        <v>1084587.7999999998</v>
      </c>
      <c r="BB488" s="51">
        <f t="shared" si="238"/>
        <v>3451596.0000000135</v>
      </c>
      <c r="BC488" s="530">
        <f t="shared" si="238"/>
        <v>0</v>
      </c>
      <c r="BD488" s="530">
        <f t="shared" si="238"/>
        <v>0</v>
      </c>
    </row>
    <row r="489" spans="1:56" x14ac:dyDescent="0.2">
      <c r="A489" s="2">
        <f t="shared" si="235"/>
        <v>12</v>
      </c>
      <c r="B489" s="52">
        <f>+Final!A23</f>
        <v>44986</v>
      </c>
      <c r="C489" s="51">
        <f t="shared" si="234"/>
        <v>0</v>
      </c>
      <c r="D489" s="156"/>
      <c r="E489" s="156"/>
      <c r="F489" s="156"/>
      <c r="T489" s="530">
        <v>0</v>
      </c>
      <c r="U489" s="51">
        <f>SUM(U14:U$31)</f>
        <v>193701.01</v>
      </c>
      <c r="V489" s="51">
        <f>SUM(V13:V$31)</f>
        <v>244798.97000000003</v>
      </c>
      <c r="W489" s="51">
        <f>SUM(W12:W$31)</f>
        <v>301368.48000000004</v>
      </c>
      <c r="X489" s="51">
        <f>SUM(X11:X$31)</f>
        <v>511145.98999999982</v>
      </c>
      <c r="Y489" s="51">
        <f>SUM(Y10:Y$31)</f>
        <v>850872.60000000009</v>
      </c>
      <c r="Z489" s="51">
        <f>SUM(Z9:Z$31)</f>
        <v>3647252.889999989</v>
      </c>
      <c r="AA489" s="530">
        <v>0</v>
      </c>
      <c r="AM489" s="42">
        <f t="shared" ref="AM489:BD489" si="239">+AM479</f>
        <v>44927</v>
      </c>
      <c r="AN489" s="51">
        <f t="shared" si="239"/>
        <v>4794.5200000000004</v>
      </c>
      <c r="AO489" s="51">
        <f t="shared" si="239"/>
        <v>16109.910000000002</v>
      </c>
      <c r="AP489" s="51">
        <f t="shared" si="239"/>
        <v>23817.960000000003</v>
      </c>
      <c r="AQ489" s="51">
        <f t="shared" si="239"/>
        <v>36440.25</v>
      </c>
      <c r="AR489" s="51">
        <f t="shared" si="239"/>
        <v>61210.41</v>
      </c>
      <c r="AS489" s="51">
        <f t="shared" si="239"/>
        <v>82151.88</v>
      </c>
      <c r="AT489" s="51">
        <f t="shared" si="239"/>
        <v>125714.29</v>
      </c>
      <c r="AU489" s="51">
        <f t="shared" si="239"/>
        <v>164998.76999999996</v>
      </c>
      <c r="AV489" s="51">
        <f t="shared" si="239"/>
        <v>221266.12</v>
      </c>
      <c r="AW489" s="51">
        <f t="shared" si="239"/>
        <v>248157.5</v>
      </c>
      <c r="AX489" s="51">
        <f t="shared" si="239"/>
        <v>342166.67999999988</v>
      </c>
      <c r="AY489" s="51">
        <f t="shared" si="239"/>
        <v>511145.98999999982</v>
      </c>
      <c r="AZ489" s="51">
        <f t="shared" si="239"/>
        <v>1121377.5199999993</v>
      </c>
      <c r="BA489" s="51">
        <f t="shared" si="239"/>
        <v>3049630.5399999903</v>
      </c>
      <c r="BB489" s="530">
        <f t="shared" si="239"/>
        <v>0</v>
      </c>
      <c r="BC489" s="530">
        <f t="shared" si="239"/>
        <v>0</v>
      </c>
      <c r="BD489" s="530">
        <f t="shared" si="239"/>
        <v>0</v>
      </c>
    </row>
    <row r="490" spans="1:56" x14ac:dyDescent="0.2">
      <c r="A490" s="2">
        <f t="shared" si="235"/>
        <v>13</v>
      </c>
      <c r="B490" s="52">
        <f>+Final!A24</f>
        <v>44958</v>
      </c>
      <c r="C490" s="51">
        <f t="shared" si="234"/>
        <v>0</v>
      </c>
      <c r="D490" s="156"/>
      <c r="E490" s="156"/>
      <c r="F490" s="156"/>
      <c r="T490" s="530">
        <v>0</v>
      </c>
      <c r="U490" s="51">
        <f>SUM(U13:U$31)</f>
        <v>231420.01</v>
      </c>
      <c r="V490" s="51">
        <f>SUM(V12:V$31)</f>
        <v>316403.11000000004</v>
      </c>
      <c r="W490" s="51">
        <f>SUM(W11:W$31)</f>
        <v>515030.3299999999</v>
      </c>
      <c r="X490" s="51">
        <f>SUM(X10:X$31)</f>
        <v>1121377.5199999993</v>
      </c>
      <c r="Y490" s="51">
        <f>SUM(Y9:Y$31)</f>
        <v>3387388.1199999875</v>
      </c>
      <c r="Z490" s="530">
        <v>0</v>
      </c>
      <c r="AM490" s="42">
        <f t="shared" ref="AM490:BD490" si="240">+AM478</f>
        <v>44958</v>
      </c>
      <c r="AN490" s="51">
        <f t="shared" si="240"/>
        <v>4904.6799999999994</v>
      </c>
      <c r="AO490" s="51">
        <f t="shared" si="240"/>
        <v>21317.71</v>
      </c>
      <c r="AP490" s="51">
        <f t="shared" si="240"/>
        <v>28548.920000000002</v>
      </c>
      <c r="AQ490" s="51">
        <f t="shared" si="240"/>
        <v>40227.230000000003</v>
      </c>
      <c r="AR490" s="51">
        <f t="shared" si="240"/>
        <v>55493.06</v>
      </c>
      <c r="AS490" s="51">
        <f t="shared" si="240"/>
        <v>82502.169999999984</v>
      </c>
      <c r="AT490" s="51">
        <f t="shared" si="240"/>
        <v>114128.55999999998</v>
      </c>
      <c r="AU490" s="51">
        <f t="shared" si="240"/>
        <v>154988.16999999995</v>
      </c>
      <c r="AV490" s="51">
        <f t="shared" si="240"/>
        <v>216639.83999999997</v>
      </c>
      <c r="AW490" s="51">
        <f t="shared" si="240"/>
        <v>270648.50999999995</v>
      </c>
      <c r="AX490" s="51">
        <f t="shared" si="240"/>
        <v>486661.69000000024</v>
      </c>
      <c r="AY490" s="51">
        <f t="shared" si="240"/>
        <v>850872.60000000009</v>
      </c>
      <c r="AZ490" s="51">
        <f t="shared" si="240"/>
        <v>3387388.1199999875</v>
      </c>
      <c r="BA490" s="530">
        <f t="shared" si="240"/>
        <v>0</v>
      </c>
      <c r="BB490" s="530">
        <f t="shared" si="240"/>
        <v>0</v>
      </c>
      <c r="BC490" s="530">
        <f t="shared" si="240"/>
        <v>0</v>
      </c>
      <c r="BD490" s="530">
        <f t="shared" si="240"/>
        <v>0</v>
      </c>
    </row>
    <row r="491" spans="1:56" x14ac:dyDescent="0.2">
      <c r="A491" s="2">
        <f t="shared" si="235"/>
        <v>14</v>
      </c>
      <c r="B491" s="52">
        <f>+Final!A25</f>
        <v>44927</v>
      </c>
      <c r="C491" s="51">
        <f t="shared" si="234"/>
        <v>0</v>
      </c>
      <c r="D491" s="156"/>
      <c r="E491" s="156"/>
      <c r="F491" s="156"/>
      <c r="T491" s="530">
        <v>0</v>
      </c>
      <c r="U491" s="51">
        <f>SUM(U12:U$31)</f>
        <v>324509.03999999998</v>
      </c>
      <c r="V491" s="51">
        <f>SUM(V11:V$31)</f>
        <v>540555.71000000008</v>
      </c>
      <c r="W491" s="51">
        <f>SUM(W10:W$31)</f>
        <v>1084587.7999999998</v>
      </c>
      <c r="X491" s="51">
        <f>SUM(X9:X$31)</f>
        <v>3049630.5399999903</v>
      </c>
      <c r="Y491" s="530">
        <v>0</v>
      </c>
      <c r="AM491" s="42">
        <f t="shared" ref="AM491:BD491" si="241">+AM477</f>
        <v>44986</v>
      </c>
      <c r="AN491" s="51">
        <f t="shared" si="241"/>
        <v>10176.650000000001</v>
      </c>
      <c r="AO491" s="51">
        <f t="shared" si="241"/>
        <v>26462.830000000005</v>
      </c>
      <c r="AP491" s="51">
        <f t="shared" si="241"/>
        <v>41491.770000000004</v>
      </c>
      <c r="AQ491" s="51">
        <f t="shared" si="241"/>
        <v>62346.57</v>
      </c>
      <c r="AR491" s="51">
        <f t="shared" si="241"/>
        <v>74536.859999999986</v>
      </c>
      <c r="AS491" s="51">
        <f t="shared" si="241"/>
        <v>115566.58000000002</v>
      </c>
      <c r="AT491" s="51">
        <f t="shared" si="241"/>
        <v>198980.72999999998</v>
      </c>
      <c r="AU491" s="51">
        <f t="shared" si="241"/>
        <v>264998.71000000002</v>
      </c>
      <c r="AV491" s="51">
        <f t="shared" si="241"/>
        <v>362004.95</v>
      </c>
      <c r="AW491" s="51">
        <f t="shared" si="241"/>
        <v>569777.17999999993</v>
      </c>
      <c r="AX491" s="51">
        <f t="shared" si="241"/>
        <v>1378683.3399999978</v>
      </c>
      <c r="AY491" s="51">
        <f t="shared" si="241"/>
        <v>3647252.889999989</v>
      </c>
      <c r="AZ491" s="530">
        <f t="shared" si="241"/>
        <v>0</v>
      </c>
      <c r="BA491" s="530">
        <f t="shared" si="241"/>
        <v>0</v>
      </c>
      <c r="BB491" s="530">
        <f t="shared" si="241"/>
        <v>0</v>
      </c>
      <c r="BC491" s="530">
        <f t="shared" si="241"/>
        <v>0</v>
      </c>
      <c r="BD491" s="530">
        <f t="shared" si="241"/>
        <v>0</v>
      </c>
    </row>
    <row r="492" spans="1:56" x14ac:dyDescent="0.2">
      <c r="A492" s="2">
        <f t="shared" si="235"/>
        <v>15</v>
      </c>
      <c r="B492" s="52">
        <f>+Final!A26</f>
        <v>44896</v>
      </c>
      <c r="C492" s="51">
        <f t="shared" si="234"/>
        <v>3451596.0000000135</v>
      </c>
      <c r="D492" s="156"/>
      <c r="E492" s="156"/>
      <c r="F492" s="156"/>
      <c r="T492" s="530">
        <v>0</v>
      </c>
      <c r="U492" s="51">
        <f>SUM(U11:U$31)</f>
        <v>569228.01999999979</v>
      </c>
      <c r="V492" s="51">
        <f>SUM(V10:V$31)</f>
        <v>1197669.8800000008</v>
      </c>
      <c r="W492" s="51">
        <f>SUM(W9:W$31)</f>
        <v>3451596.0000000135</v>
      </c>
      <c r="X492" s="530">
        <v>0</v>
      </c>
      <c r="AM492" s="42">
        <f t="shared" ref="AM492:BD492" si="242">+AM476</f>
        <v>45017</v>
      </c>
      <c r="AN492" s="51">
        <f t="shared" si="242"/>
        <v>5396.0700000000006</v>
      </c>
      <c r="AO492" s="51">
        <f t="shared" si="242"/>
        <v>17200.080000000002</v>
      </c>
      <c r="AP492" s="51">
        <f t="shared" si="242"/>
        <v>35208.85</v>
      </c>
      <c r="AQ492" s="51">
        <f t="shared" si="242"/>
        <v>52950.869999999995</v>
      </c>
      <c r="AR492" s="51">
        <f t="shared" si="242"/>
        <v>71846.010000000009</v>
      </c>
      <c r="AS492" s="51">
        <f t="shared" si="242"/>
        <v>110431.94000000003</v>
      </c>
      <c r="AT492" s="51">
        <f t="shared" si="242"/>
        <v>162483.24000000002</v>
      </c>
      <c r="AU492" s="51">
        <f t="shared" si="242"/>
        <v>234859.19</v>
      </c>
      <c r="AV492" s="51">
        <f t="shared" si="242"/>
        <v>468066.82000000007</v>
      </c>
      <c r="AW492" s="51">
        <f t="shared" si="242"/>
        <v>1019952.5700000006</v>
      </c>
      <c r="AX492" s="51">
        <f t="shared" si="242"/>
        <v>3650600.3199999919</v>
      </c>
      <c r="AY492" s="530">
        <f t="shared" si="242"/>
        <v>0</v>
      </c>
      <c r="AZ492" s="530">
        <f t="shared" si="242"/>
        <v>0</v>
      </c>
      <c r="BA492" s="530">
        <f t="shared" si="242"/>
        <v>0</v>
      </c>
      <c r="BB492" s="530">
        <f t="shared" si="242"/>
        <v>0</v>
      </c>
      <c r="BC492" s="530">
        <f t="shared" si="242"/>
        <v>0</v>
      </c>
      <c r="BD492" s="530">
        <f t="shared" si="242"/>
        <v>0</v>
      </c>
    </row>
    <row r="493" spans="1:56" x14ac:dyDescent="0.2">
      <c r="A493" s="2">
        <f t="shared" si="235"/>
        <v>16</v>
      </c>
      <c r="B493" s="52">
        <f>+Final!A27</f>
        <v>44866</v>
      </c>
      <c r="C493" s="51">
        <f t="shared" si="234"/>
        <v>1197669.8800000008</v>
      </c>
      <c r="D493" s="156"/>
      <c r="E493" s="156"/>
      <c r="F493" s="156"/>
      <c r="T493" s="530">
        <v>0</v>
      </c>
      <c r="U493" s="51">
        <f>SUM(U10:U$31)</f>
        <v>1454768.4999999979</v>
      </c>
      <c r="V493" s="51">
        <f>SUM(V9:V$31)</f>
        <v>3884402.450000016</v>
      </c>
      <c r="W493" s="530">
        <v>0</v>
      </c>
      <c r="AM493" s="42">
        <f t="shared" ref="AM493:BD493" si="243">+AM475</f>
        <v>45047</v>
      </c>
      <c r="AN493" s="51">
        <f t="shared" si="243"/>
        <v>23773.48</v>
      </c>
      <c r="AO493" s="51">
        <f t="shared" si="243"/>
        <v>44119.779999999992</v>
      </c>
      <c r="AP493" s="51">
        <f t="shared" si="243"/>
        <v>68420.489999999976</v>
      </c>
      <c r="AQ493" s="51">
        <f t="shared" si="243"/>
        <v>138528.09999999998</v>
      </c>
      <c r="AR493" s="51">
        <f t="shared" si="243"/>
        <v>165004.88999999996</v>
      </c>
      <c r="AS493" s="51">
        <f t="shared" si="243"/>
        <v>222720.33</v>
      </c>
      <c r="AT493" s="51">
        <f t="shared" si="243"/>
        <v>340235.59999999992</v>
      </c>
      <c r="AU493" s="51">
        <f t="shared" si="243"/>
        <v>569718.20999999985</v>
      </c>
      <c r="AV493" s="51">
        <f t="shared" si="243"/>
        <v>1314915.6399999985</v>
      </c>
      <c r="AW493" s="51">
        <f t="shared" si="243"/>
        <v>4067932.6900000013</v>
      </c>
      <c r="AX493" s="530">
        <f t="shared" si="243"/>
        <v>0</v>
      </c>
      <c r="AY493" s="530">
        <f t="shared" si="243"/>
        <v>0</v>
      </c>
      <c r="AZ493" s="530">
        <f t="shared" si="243"/>
        <v>0</v>
      </c>
      <c r="BA493" s="530">
        <f t="shared" si="243"/>
        <v>0</v>
      </c>
      <c r="BB493" s="530">
        <f t="shared" si="243"/>
        <v>0</v>
      </c>
      <c r="BC493" s="530">
        <f t="shared" si="243"/>
        <v>0</v>
      </c>
      <c r="BD493" s="530">
        <f t="shared" si="243"/>
        <v>0</v>
      </c>
    </row>
    <row r="494" spans="1:56" x14ac:dyDescent="0.2">
      <c r="A494" s="2">
        <f t="shared" si="235"/>
        <v>17</v>
      </c>
      <c r="B494" s="52">
        <f>+Final!A28</f>
        <v>44835</v>
      </c>
      <c r="C494" s="51">
        <f t="shared" si="234"/>
        <v>569228.01999999979</v>
      </c>
      <c r="D494" s="156"/>
      <c r="E494" s="156"/>
      <c r="F494" s="156"/>
      <c r="T494" s="530">
        <v>0</v>
      </c>
      <c r="U494" s="51">
        <f>SUM(U9:U$31)</f>
        <v>3685033.1400000085</v>
      </c>
      <c r="V494" s="530">
        <v>0</v>
      </c>
      <c r="AM494" s="42">
        <f t="shared" ref="AM494:BD494" si="244">+AM474</f>
        <v>45078</v>
      </c>
      <c r="AN494" s="51">
        <f t="shared" si="244"/>
        <v>7054.3599999999979</v>
      </c>
      <c r="AO494" s="51">
        <f t="shared" si="244"/>
        <v>36577.670000000006</v>
      </c>
      <c r="AP494" s="51">
        <f t="shared" si="244"/>
        <v>56946.29</v>
      </c>
      <c r="AQ494" s="51">
        <f t="shared" si="244"/>
        <v>106664.65000000001</v>
      </c>
      <c r="AR494" s="51">
        <f t="shared" si="244"/>
        <v>173026.43</v>
      </c>
      <c r="AS494" s="51">
        <f t="shared" si="244"/>
        <v>317607.73999999993</v>
      </c>
      <c r="AT494" s="51">
        <f t="shared" si="244"/>
        <v>645352.64999999991</v>
      </c>
      <c r="AU494" s="51">
        <f t="shared" si="244"/>
        <v>1516057.6899999988</v>
      </c>
      <c r="AV494" s="51">
        <f t="shared" si="244"/>
        <v>4066843.4699999946</v>
      </c>
      <c r="AW494" s="530">
        <f t="shared" si="244"/>
        <v>0</v>
      </c>
      <c r="AX494" s="530">
        <f t="shared" si="244"/>
        <v>0</v>
      </c>
      <c r="AY494" s="530">
        <f t="shared" si="244"/>
        <v>0</v>
      </c>
      <c r="AZ494" s="530">
        <f t="shared" si="244"/>
        <v>0</v>
      </c>
      <c r="BA494" s="530">
        <f t="shared" si="244"/>
        <v>0</v>
      </c>
      <c r="BB494" s="530">
        <f t="shared" si="244"/>
        <v>0</v>
      </c>
      <c r="BC494" s="530">
        <f t="shared" si="244"/>
        <v>0</v>
      </c>
      <c r="BD494" s="530">
        <f t="shared" si="244"/>
        <v>0</v>
      </c>
    </row>
    <row r="495" spans="1:56" x14ac:dyDescent="0.2">
      <c r="B495" s="52"/>
      <c r="D495" s="156"/>
      <c r="E495" s="156"/>
      <c r="F495" s="156"/>
      <c r="T495" s="530">
        <v>0</v>
      </c>
      <c r="U495" s="530">
        <v>0</v>
      </c>
      <c r="AM495" s="42">
        <f t="shared" ref="AM495:BD495" si="245">+AM473</f>
        <v>45108</v>
      </c>
      <c r="AN495" s="51">
        <f t="shared" si="245"/>
        <v>11458.970000000001</v>
      </c>
      <c r="AO495" s="51">
        <f t="shared" si="245"/>
        <v>51321.389999999992</v>
      </c>
      <c r="AP495" s="51">
        <f t="shared" si="245"/>
        <v>93077.98000000001</v>
      </c>
      <c r="AQ495" s="51">
        <f t="shared" si="245"/>
        <v>121207.41</v>
      </c>
      <c r="AR495" s="51">
        <f t="shared" si="245"/>
        <v>203734.77</v>
      </c>
      <c r="AS495" s="51">
        <f t="shared" si="245"/>
        <v>490722.69999999995</v>
      </c>
      <c r="AT495" s="51">
        <f t="shared" si="245"/>
        <v>1320514.9599999993</v>
      </c>
      <c r="AU495" s="51">
        <f t="shared" si="245"/>
        <v>3978513.0999999912</v>
      </c>
      <c r="AV495" s="530">
        <f t="shared" si="245"/>
        <v>0</v>
      </c>
      <c r="AW495" s="530">
        <f t="shared" si="245"/>
        <v>0</v>
      </c>
      <c r="AX495" s="530">
        <f t="shared" si="245"/>
        <v>0</v>
      </c>
      <c r="AY495" s="530">
        <f t="shared" si="245"/>
        <v>0</v>
      </c>
      <c r="AZ495" s="530">
        <f t="shared" si="245"/>
        <v>0</v>
      </c>
      <c r="BA495" s="530">
        <f t="shared" si="245"/>
        <v>0</v>
      </c>
      <c r="BB495" s="530">
        <f t="shared" si="245"/>
        <v>0</v>
      </c>
      <c r="BC495" s="530">
        <f t="shared" si="245"/>
        <v>0</v>
      </c>
      <c r="BD495" s="530">
        <f t="shared" si="245"/>
        <v>0</v>
      </c>
    </row>
    <row r="496" spans="1:56" x14ac:dyDescent="0.2">
      <c r="B496" s="52"/>
      <c r="D496" s="156"/>
      <c r="E496" s="156"/>
      <c r="F496" s="156"/>
      <c r="T496" s="530">
        <v>0</v>
      </c>
      <c r="W496" s="51"/>
      <c r="X496" s="51"/>
      <c r="Y496" s="51"/>
      <c r="Z496" s="51"/>
      <c r="AA496" s="51"/>
      <c r="AL496" s="249" t="s">
        <v>952</v>
      </c>
      <c r="AM496" s="42">
        <f t="shared" ref="AM496:BD496" si="246">+AM472</f>
        <v>45139</v>
      </c>
      <c r="AN496" s="51">
        <f t="shared" si="246"/>
        <v>53483.43</v>
      </c>
      <c r="AO496" s="51">
        <f t="shared" si="246"/>
        <v>97938.550000000017</v>
      </c>
      <c r="AP496" s="51">
        <f t="shared" si="246"/>
        <v>141169.68</v>
      </c>
      <c r="AQ496" s="51">
        <f t="shared" si="246"/>
        <v>235822.89</v>
      </c>
      <c r="AR496" s="51">
        <f t="shared" si="246"/>
        <v>602615.16000000027</v>
      </c>
      <c r="AS496" s="51">
        <f t="shared" si="246"/>
        <v>1546918.1699999988</v>
      </c>
      <c r="AT496" s="51">
        <f t="shared" si="246"/>
        <v>4715040.0199999865</v>
      </c>
      <c r="AU496" s="530">
        <f t="shared" si="246"/>
        <v>0</v>
      </c>
      <c r="AV496" s="530">
        <f t="shared" si="246"/>
        <v>0</v>
      </c>
      <c r="AW496" s="530">
        <f t="shared" si="246"/>
        <v>0</v>
      </c>
      <c r="AX496" s="530">
        <f t="shared" si="246"/>
        <v>0</v>
      </c>
      <c r="AY496" s="530">
        <f t="shared" si="246"/>
        <v>0</v>
      </c>
      <c r="AZ496" s="530">
        <f t="shared" si="246"/>
        <v>0</v>
      </c>
      <c r="BA496" s="530">
        <f t="shared" si="246"/>
        <v>0</v>
      </c>
      <c r="BB496" s="530">
        <f t="shared" si="246"/>
        <v>0</v>
      </c>
      <c r="BC496" s="530">
        <f t="shared" si="246"/>
        <v>0</v>
      </c>
      <c r="BD496" s="530">
        <f t="shared" si="246"/>
        <v>0</v>
      </c>
    </row>
    <row r="497" spans="2:56" x14ac:dyDescent="0.2">
      <c r="B497" s="52"/>
      <c r="D497" s="156"/>
      <c r="E497" s="156"/>
      <c r="F497" s="156"/>
      <c r="T497" s="530">
        <v>0</v>
      </c>
      <c r="AC497" s="51"/>
      <c r="AD497" s="51"/>
      <c r="AE497" s="51"/>
      <c r="AG497" s="51"/>
      <c r="AH497" s="51"/>
      <c r="AI497" s="51"/>
      <c r="AK497" s="51"/>
      <c r="AL497" s="51"/>
      <c r="AM497" s="42">
        <f t="shared" ref="AM497:BD497" si="247">+AM471</f>
        <v>45170</v>
      </c>
      <c r="AN497" s="51">
        <f t="shared" si="247"/>
        <v>27907.89000000001</v>
      </c>
      <c r="AO497" s="51">
        <f t="shared" si="247"/>
        <v>82901.170000000027</v>
      </c>
      <c r="AP497" s="51">
        <f t="shared" si="247"/>
        <v>163502.95000000001</v>
      </c>
      <c r="AQ497" s="51">
        <f t="shared" si="247"/>
        <v>423105.92000000016</v>
      </c>
      <c r="AR497" s="51">
        <f t="shared" si="247"/>
        <v>1193779.71</v>
      </c>
      <c r="AS497" s="51">
        <f t="shared" si="247"/>
        <v>4355241.2399999937</v>
      </c>
      <c r="AT497" s="530">
        <f t="shared" si="247"/>
        <v>0</v>
      </c>
      <c r="AU497" s="530">
        <f t="shared" si="247"/>
        <v>0</v>
      </c>
      <c r="AV497" s="530">
        <f t="shared" si="247"/>
        <v>0</v>
      </c>
      <c r="AW497" s="530">
        <f t="shared" si="247"/>
        <v>0</v>
      </c>
      <c r="AX497" s="530">
        <f t="shared" si="247"/>
        <v>0</v>
      </c>
      <c r="AY497" s="530">
        <f t="shared" si="247"/>
        <v>0</v>
      </c>
      <c r="AZ497" s="530">
        <f t="shared" si="247"/>
        <v>0</v>
      </c>
      <c r="BA497" s="530">
        <f t="shared" si="247"/>
        <v>0</v>
      </c>
      <c r="BB497" s="530">
        <f t="shared" si="247"/>
        <v>0</v>
      </c>
      <c r="BC497" s="530">
        <f t="shared" si="247"/>
        <v>0</v>
      </c>
      <c r="BD497" s="530">
        <f t="shared" si="247"/>
        <v>0</v>
      </c>
    </row>
    <row r="498" spans="2:56" x14ac:dyDescent="0.2">
      <c r="B498" s="52"/>
      <c r="D498" s="156"/>
      <c r="E498" s="156"/>
      <c r="F498" s="156"/>
      <c r="T498" s="530">
        <v>0</v>
      </c>
      <c r="AM498" s="42">
        <f t="shared" ref="AM498:BD498" si="248">+AM470</f>
        <v>45200</v>
      </c>
      <c r="AN498" s="51">
        <f t="shared" si="248"/>
        <v>58795.200000000019</v>
      </c>
      <c r="AO498" s="51">
        <f t="shared" si="248"/>
        <v>234071.83999999991</v>
      </c>
      <c r="AP498" s="51">
        <f t="shared" si="248"/>
        <v>597438.22999999986</v>
      </c>
      <c r="AQ498" s="51">
        <f t="shared" si="248"/>
        <v>1346532.7999999993</v>
      </c>
      <c r="AR498" s="51">
        <f t="shared" si="248"/>
        <v>4502085.8900000099</v>
      </c>
      <c r="AS498" s="530">
        <f t="shared" si="248"/>
        <v>0</v>
      </c>
      <c r="AT498" s="530">
        <f t="shared" si="248"/>
        <v>0</v>
      </c>
      <c r="AU498" s="530">
        <f t="shared" si="248"/>
        <v>0</v>
      </c>
      <c r="AV498" s="530">
        <f t="shared" si="248"/>
        <v>0</v>
      </c>
      <c r="AW498" s="530">
        <f t="shared" si="248"/>
        <v>0</v>
      </c>
      <c r="AX498" s="530">
        <f t="shared" si="248"/>
        <v>0</v>
      </c>
      <c r="AY498" s="530">
        <f t="shared" si="248"/>
        <v>0</v>
      </c>
      <c r="AZ498" s="530">
        <f t="shared" si="248"/>
        <v>0</v>
      </c>
      <c r="BA498" s="530">
        <f t="shared" si="248"/>
        <v>0</v>
      </c>
      <c r="BB498" s="530">
        <f t="shared" si="248"/>
        <v>0</v>
      </c>
      <c r="BC498" s="530">
        <f t="shared" si="248"/>
        <v>0</v>
      </c>
      <c r="BD498" s="530">
        <f t="shared" si="248"/>
        <v>0</v>
      </c>
    </row>
    <row r="499" spans="2:56" x14ac:dyDescent="0.2">
      <c r="B499" s="52"/>
      <c r="D499" s="156"/>
      <c r="E499" s="156"/>
      <c r="F499" s="156"/>
      <c r="T499" s="530">
        <v>0</v>
      </c>
      <c r="Z499" s="51"/>
      <c r="AA499" s="51"/>
      <c r="AB499" s="51"/>
      <c r="AM499" s="42">
        <f t="shared" ref="AM499:BD499" si="249">+AM469</f>
        <v>45231</v>
      </c>
      <c r="AN499" s="51">
        <f t="shared" si="249"/>
        <v>100495.20000000001</v>
      </c>
      <c r="AO499" s="51">
        <f t="shared" si="249"/>
        <v>487974.33999999985</v>
      </c>
      <c r="AP499" s="51">
        <f t="shared" si="249"/>
        <v>1357235.179999999</v>
      </c>
      <c r="AQ499" s="51">
        <f t="shared" si="249"/>
        <v>4435804.6499999883</v>
      </c>
      <c r="AR499" s="530">
        <f t="shared" si="249"/>
        <v>0</v>
      </c>
      <c r="AS499" s="530">
        <f t="shared" si="249"/>
        <v>0</v>
      </c>
      <c r="AT499" s="530">
        <f t="shared" si="249"/>
        <v>0</v>
      </c>
      <c r="AU499" s="530">
        <f t="shared" si="249"/>
        <v>0</v>
      </c>
      <c r="AV499" s="530">
        <f t="shared" si="249"/>
        <v>0</v>
      </c>
      <c r="AW499" s="530">
        <f t="shared" si="249"/>
        <v>0</v>
      </c>
      <c r="AX499" s="530">
        <f t="shared" si="249"/>
        <v>0</v>
      </c>
      <c r="AY499" s="530">
        <f t="shared" si="249"/>
        <v>0</v>
      </c>
      <c r="AZ499" s="530">
        <f t="shared" si="249"/>
        <v>0</v>
      </c>
      <c r="BA499" s="530">
        <f t="shared" si="249"/>
        <v>0</v>
      </c>
      <c r="BB499" s="530">
        <f t="shared" si="249"/>
        <v>0</v>
      </c>
      <c r="BC499" s="530">
        <f t="shared" si="249"/>
        <v>0</v>
      </c>
      <c r="BD499" s="530">
        <f t="shared" si="249"/>
        <v>0</v>
      </c>
    </row>
    <row r="500" spans="2:56" x14ac:dyDescent="0.2">
      <c r="B500" s="52"/>
      <c r="D500" s="156"/>
      <c r="E500" s="156"/>
      <c r="F500" s="156"/>
      <c r="V500" s="51"/>
      <c r="W500" s="51"/>
      <c r="X500" s="51"/>
      <c r="AM500" s="42">
        <f t="shared" ref="AM500:BD500" si="250">+AM468</f>
        <v>45261</v>
      </c>
      <c r="AN500" s="51">
        <f t="shared" si="250"/>
        <v>237196.05</v>
      </c>
      <c r="AO500" s="51">
        <f t="shared" si="250"/>
        <v>1053551.2000000002</v>
      </c>
      <c r="AP500" s="51">
        <f t="shared" si="250"/>
        <v>3998172.4800000004</v>
      </c>
      <c r="AQ500" s="530">
        <f t="shared" si="250"/>
        <v>0</v>
      </c>
      <c r="AR500" s="530">
        <f t="shared" si="250"/>
        <v>0</v>
      </c>
      <c r="AS500" s="530">
        <f t="shared" si="250"/>
        <v>0</v>
      </c>
      <c r="AT500" s="530">
        <f t="shared" si="250"/>
        <v>0</v>
      </c>
      <c r="AU500" s="530">
        <f t="shared" si="250"/>
        <v>0</v>
      </c>
      <c r="AV500" s="530">
        <f t="shared" si="250"/>
        <v>0</v>
      </c>
      <c r="AW500" s="530">
        <f t="shared" si="250"/>
        <v>0</v>
      </c>
      <c r="AX500" s="530">
        <f t="shared" si="250"/>
        <v>0</v>
      </c>
      <c r="AY500" s="530">
        <f t="shared" si="250"/>
        <v>0</v>
      </c>
      <c r="AZ500" s="530">
        <f t="shared" si="250"/>
        <v>0</v>
      </c>
      <c r="BA500" s="530">
        <f t="shared" si="250"/>
        <v>0</v>
      </c>
      <c r="BB500" s="530">
        <f t="shared" si="250"/>
        <v>0</v>
      </c>
      <c r="BC500" s="530">
        <f t="shared" si="250"/>
        <v>0</v>
      </c>
      <c r="BD500" s="530">
        <f t="shared" si="250"/>
        <v>0</v>
      </c>
    </row>
    <row r="501" spans="2:56" x14ac:dyDescent="0.2">
      <c r="B501" s="52"/>
      <c r="D501" s="156"/>
      <c r="E501" s="156"/>
      <c r="F501" s="156"/>
      <c r="AM501" s="42">
        <f t="shared" ref="AM501:BD501" si="251">+AM467</f>
        <v>45292</v>
      </c>
      <c r="AN501" s="51">
        <f t="shared" si="251"/>
        <v>881944.20000000007</v>
      </c>
      <c r="AO501" s="51">
        <f t="shared" si="251"/>
        <v>3737361.959999993</v>
      </c>
      <c r="AP501" s="530">
        <f t="shared" si="251"/>
        <v>0</v>
      </c>
      <c r="AQ501" s="530">
        <f t="shared" si="251"/>
        <v>0</v>
      </c>
      <c r="AR501" s="530">
        <f t="shared" si="251"/>
        <v>0</v>
      </c>
      <c r="AS501" s="530">
        <f t="shared" si="251"/>
        <v>0</v>
      </c>
      <c r="AT501" s="530">
        <f t="shared" si="251"/>
        <v>0</v>
      </c>
      <c r="AU501" s="530">
        <f t="shared" si="251"/>
        <v>0</v>
      </c>
      <c r="AV501" s="530">
        <f t="shared" si="251"/>
        <v>0</v>
      </c>
      <c r="AW501" s="530">
        <f t="shared" si="251"/>
        <v>0</v>
      </c>
      <c r="AX501" s="530">
        <f t="shared" si="251"/>
        <v>0</v>
      </c>
      <c r="AY501" s="530">
        <f t="shared" si="251"/>
        <v>0</v>
      </c>
      <c r="AZ501" s="530">
        <f t="shared" si="251"/>
        <v>0</v>
      </c>
      <c r="BA501" s="530">
        <f t="shared" si="251"/>
        <v>0</v>
      </c>
      <c r="BB501" s="530">
        <f t="shared" si="251"/>
        <v>0</v>
      </c>
      <c r="BC501" s="530">
        <f t="shared" si="251"/>
        <v>0</v>
      </c>
      <c r="BD501" s="530">
        <f t="shared" si="251"/>
        <v>0</v>
      </c>
    </row>
    <row r="502" spans="2:56" x14ac:dyDescent="0.2">
      <c r="B502" s="52"/>
      <c r="D502" s="156"/>
      <c r="E502" s="156"/>
      <c r="F502" s="156"/>
      <c r="AM502" s="42">
        <f t="shared" ref="AM502:BD502" si="252">+AM466</f>
        <v>45323</v>
      </c>
      <c r="AN502" s="51">
        <f t="shared" si="252"/>
        <v>2855332.7500000061</v>
      </c>
      <c r="AO502" s="530">
        <f t="shared" si="252"/>
        <v>0</v>
      </c>
      <c r="AP502" s="530">
        <f t="shared" si="252"/>
        <v>0</v>
      </c>
      <c r="AQ502" s="530">
        <f t="shared" si="252"/>
        <v>0</v>
      </c>
      <c r="AR502" s="530">
        <f t="shared" si="252"/>
        <v>0</v>
      </c>
      <c r="AS502" s="530">
        <f t="shared" si="252"/>
        <v>0</v>
      </c>
      <c r="AT502" s="530">
        <f t="shared" si="252"/>
        <v>0</v>
      </c>
      <c r="AU502" s="530">
        <f t="shared" si="252"/>
        <v>0</v>
      </c>
      <c r="AV502" s="530">
        <f t="shared" si="252"/>
        <v>0</v>
      </c>
      <c r="AW502" s="530">
        <f t="shared" si="252"/>
        <v>0</v>
      </c>
      <c r="AX502" s="530">
        <f t="shared" si="252"/>
        <v>0</v>
      </c>
      <c r="AY502" s="530">
        <f t="shared" si="252"/>
        <v>0</v>
      </c>
      <c r="AZ502" s="530">
        <f t="shared" si="252"/>
        <v>0</v>
      </c>
      <c r="BA502" s="530">
        <f t="shared" si="252"/>
        <v>0</v>
      </c>
      <c r="BB502" s="530">
        <f t="shared" si="252"/>
        <v>0</v>
      </c>
      <c r="BC502" s="530">
        <f t="shared" si="252"/>
        <v>0</v>
      </c>
      <c r="BD502" s="530">
        <f t="shared" si="252"/>
        <v>0</v>
      </c>
    </row>
    <row r="503" spans="2:56" x14ac:dyDescent="0.2">
      <c r="B503" s="52"/>
      <c r="D503" s="156"/>
      <c r="E503" s="156"/>
      <c r="F503" s="156"/>
      <c r="AM503" s="42">
        <f t="shared" ref="AM503:BD503" si="253">+AM465</f>
        <v>45352</v>
      </c>
      <c r="AN503">
        <f t="shared" si="253"/>
        <v>0</v>
      </c>
      <c r="AO503">
        <f t="shared" si="253"/>
        <v>0</v>
      </c>
      <c r="AP503">
        <f t="shared" si="253"/>
        <v>0</v>
      </c>
      <c r="AQ503">
        <f t="shared" si="253"/>
        <v>0</v>
      </c>
      <c r="AR503">
        <f t="shared" si="253"/>
        <v>0</v>
      </c>
      <c r="AS503">
        <f t="shared" si="253"/>
        <v>0</v>
      </c>
      <c r="AT503">
        <f t="shared" si="253"/>
        <v>0</v>
      </c>
      <c r="AU503">
        <f t="shared" si="253"/>
        <v>0</v>
      </c>
      <c r="AV503">
        <f t="shared" si="253"/>
        <v>0</v>
      </c>
      <c r="AW503">
        <f t="shared" si="253"/>
        <v>0</v>
      </c>
      <c r="AX503">
        <f t="shared" si="253"/>
        <v>0</v>
      </c>
      <c r="AY503">
        <f t="shared" si="253"/>
        <v>0</v>
      </c>
      <c r="AZ503">
        <f t="shared" si="253"/>
        <v>0</v>
      </c>
      <c r="BA503">
        <f t="shared" si="253"/>
        <v>0</v>
      </c>
      <c r="BB503">
        <f t="shared" si="253"/>
        <v>0</v>
      </c>
      <c r="BC503">
        <f t="shared" si="253"/>
        <v>0</v>
      </c>
      <c r="BD503">
        <f t="shared" si="253"/>
        <v>0</v>
      </c>
    </row>
    <row r="504" spans="2:56" x14ac:dyDescent="0.2">
      <c r="B504" s="52"/>
      <c r="D504" s="156"/>
      <c r="E504" s="156"/>
      <c r="F504" s="156"/>
    </row>
    <row r="505" spans="2:56" x14ac:dyDescent="0.2">
      <c r="B505" s="52"/>
      <c r="D505" s="156"/>
      <c r="E505" s="156"/>
      <c r="F505" s="156"/>
    </row>
    <row r="506" spans="2:56" x14ac:dyDescent="0.2">
      <c r="B506" s="52"/>
      <c r="D506" s="156"/>
      <c r="E506" s="156"/>
      <c r="F506" s="156"/>
    </row>
  </sheetData>
  <sortState xmlns:xlrd2="http://schemas.microsoft.com/office/spreadsheetml/2017/richdata2" ref="AC350:AC384">
    <sortCondition ref="AC350"/>
  </sortState>
  <phoneticPr fontId="0" type="noConversion"/>
  <conditionalFormatting sqref="AB17 C32:AL43">
    <cfRule type="cellIs" dxfId="35" priority="1" operator="lessThan">
      <formula>0</formula>
    </cfRule>
  </conditionalFormatting>
  <conditionalFormatting sqref="C8:AL43">
    <cfRule type="cellIs" dxfId="34" priority="2" operator="lessThan">
      <formula>0</formula>
    </cfRule>
  </conditionalFormatting>
  <pageMargins left="0.75" right="0.75" top="0.75" bottom="0.75" header="0.5" footer="0.5"/>
  <pageSetup firstPageNumber="8" orientation="landscape" useFirstPageNumber="1" horizontalDpi="4294967293" verticalDpi="300" r:id="rId1"/>
  <headerFooter alignWithMargins="0">
    <oddFooter>&amp;L&amp;D  &amp;F:  &amp;A    Page &amp;P</oddFooter>
  </headerFooter>
  <rowBreaks count="1" manualBreakCount="1">
    <brk id="186" min="26" max="37" man="1"/>
  </rowBreaks>
  <ignoredErrors>
    <ignoredError sqref="C149:G149" unlockedFormula="1"/>
    <ignoredError sqref="C150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PrintBox">
                <anchor moveWithCells="1" sizeWithCells="1">
                  <from>
                    <xdr:col>7</xdr:col>
                    <xdr:colOff>504825</xdr:colOff>
                    <xdr:row>0</xdr:row>
                    <xdr:rowOff>38100</xdr:rowOff>
                  </from>
                  <to>
                    <xdr:col>9</xdr:col>
                    <xdr:colOff>180975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5" name="Button 4">
              <controlPr defaultSize="0" print="0" autoFill="0" autoPict="0" macro="[0]!PrintBox">
                <anchor moveWithCells="1" sizeWithCells="1">
                  <from>
                    <xdr:col>19</xdr:col>
                    <xdr:colOff>504825</xdr:colOff>
                    <xdr:row>0</xdr:row>
                    <xdr:rowOff>38100</xdr:rowOff>
                  </from>
                  <to>
                    <xdr:col>21</xdr:col>
                    <xdr:colOff>180975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6" name="Button 5">
              <controlPr defaultSize="0" print="0" autoFill="0" autoPict="0" macro="[0]!PrintBox">
                <anchor moveWithCells="1" sizeWithCells="1">
                  <from>
                    <xdr:col>31</xdr:col>
                    <xdr:colOff>504825</xdr:colOff>
                    <xdr:row>0</xdr:row>
                    <xdr:rowOff>38100</xdr:rowOff>
                  </from>
                  <to>
                    <xdr:col>33</xdr:col>
                    <xdr:colOff>180975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7" name="Button 6">
              <controlPr defaultSize="0" print="0" autoFill="0" autoPict="0" macro="[0]!PrintBox">
                <anchor moveWithCells="1" sizeWithCells="1">
                  <from>
                    <xdr:col>44</xdr:col>
                    <xdr:colOff>504825</xdr:colOff>
                    <xdr:row>0</xdr:row>
                    <xdr:rowOff>38100</xdr:rowOff>
                  </from>
                  <to>
                    <xdr:col>46</xdr:col>
                    <xdr:colOff>209550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8" name="Button 7">
              <controlPr defaultSize="0" print="0" autoFill="0" autoPict="0" macro="[0]!PrintBox">
                <anchor moveWithCells="1" sizeWithCells="1">
                  <from>
                    <xdr:col>8</xdr:col>
                    <xdr:colOff>504825</xdr:colOff>
                    <xdr:row>328</xdr:row>
                    <xdr:rowOff>38100</xdr:rowOff>
                  </from>
                  <to>
                    <xdr:col>10</xdr:col>
                    <xdr:colOff>180975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3" r:id="rId9" name="Button 11">
              <controlPr defaultSize="0" print="0" autoFill="0" autoPict="0" macro="[0]!PrintBox">
                <anchor moveWithCells="1" sizeWithCells="1">
                  <from>
                    <xdr:col>7</xdr:col>
                    <xdr:colOff>504825</xdr:colOff>
                    <xdr:row>424</xdr:row>
                    <xdr:rowOff>38100</xdr:rowOff>
                  </from>
                  <to>
                    <xdr:col>9</xdr:col>
                    <xdr:colOff>180975</xdr:colOff>
                    <xdr:row>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4" r:id="rId10" name="Button 32">
              <controlPr defaultSize="0" print="0" autoFill="0" autoPict="0" macro="[0]!PrintBox">
                <anchor moveWithCells="1" sizeWithCells="1">
                  <from>
                    <xdr:col>8</xdr:col>
                    <xdr:colOff>504825</xdr:colOff>
                    <xdr:row>388</xdr:row>
                    <xdr:rowOff>38100</xdr:rowOff>
                  </from>
                  <to>
                    <xdr:col>10</xdr:col>
                    <xdr:colOff>180975</xdr:colOff>
                    <xdr:row>391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transitionEntry="1" codeName="Sheet5">
    <tabColor indexed="39"/>
  </sheetPr>
  <dimension ref="A1:AO263"/>
  <sheetViews>
    <sheetView zoomScaleNormal="100" zoomScaleSheetLayoutView="110" workbookViewId="0">
      <selection activeCell="E11" sqref="E11"/>
    </sheetView>
  </sheetViews>
  <sheetFormatPr defaultRowHeight="11.25" x14ac:dyDescent="0.2"/>
  <cols>
    <col min="1" max="2" width="11.6640625" customWidth="1"/>
    <col min="3" max="3" width="16.5" bestFit="1" customWidth="1"/>
    <col min="4" max="4" width="11.6640625" customWidth="1"/>
    <col min="5" max="5" width="13.33203125" customWidth="1"/>
    <col min="6" max="6" width="9.6640625" customWidth="1"/>
    <col min="7" max="7" width="12.6640625" customWidth="1"/>
    <col min="8" max="8" width="13.33203125" customWidth="1"/>
    <col min="9" max="11" width="12.6640625" customWidth="1"/>
    <col min="12" max="12" width="15.33203125" customWidth="1"/>
    <col min="13" max="13" width="7.6640625" customWidth="1"/>
    <col min="14" max="14" width="11.33203125" customWidth="1"/>
    <col min="15" max="15" width="12.6640625" customWidth="1"/>
    <col min="16" max="16" width="12.33203125" customWidth="1"/>
    <col min="18" max="18" width="23" bestFit="1" customWidth="1"/>
    <col min="19" max="19" width="10.1640625" bestFit="1" customWidth="1"/>
    <col min="20" max="20" width="14.5" customWidth="1"/>
    <col min="21" max="21" width="11.5" bestFit="1" customWidth="1"/>
    <col min="22" max="22" width="13.33203125" customWidth="1"/>
    <col min="23" max="23" width="11.5" customWidth="1"/>
    <col min="24" max="24" width="13" customWidth="1"/>
    <col min="25" max="25" width="13.6640625" customWidth="1"/>
    <col min="26" max="26" width="9.6640625" customWidth="1"/>
    <col min="27" max="27" width="10.83203125" customWidth="1"/>
    <col min="28" max="28" width="11.83203125" bestFit="1" customWidth="1"/>
    <col min="29" max="29" width="18.5" customWidth="1"/>
    <col min="30" max="30" width="13.1640625" customWidth="1"/>
    <col min="31" max="31" width="13.33203125" customWidth="1"/>
    <col min="32" max="32" width="11.83203125" bestFit="1" customWidth="1"/>
    <col min="33" max="33" width="10.83203125" customWidth="1"/>
    <col min="34" max="34" width="20.83203125" customWidth="1"/>
    <col min="35" max="35" width="13.6640625" customWidth="1"/>
    <col min="38" max="38" width="13.83203125" customWidth="1"/>
  </cols>
  <sheetData>
    <row r="1" spans="1:41" ht="12.75" x14ac:dyDescent="0.2">
      <c r="A1" s="34" t="str">
        <f>Data!$C$1</f>
        <v>Allied Pacific (APC Commerical)</v>
      </c>
      <c r="C1" s="178"/>
      <c r="D1" s="178"/>
      <c r="E1" s="178"/>
      <c r="F1" s="178"/>
      <c r="G1" s="178"/>
      <c r="H1" s="182"/>
      <c r="I1" s="205"/>
      <c r="J1" s="178"/>
      <c r="K1" s="206"/>
      <c r="L1" s="207"/>
      <c r="M1" s="376" t="s">
        <v>1062</v>
      </c>
      <c r="N1" s="178"/>
      <c r="O1" s="178"/>
      <c r="Q1" s="178"/>
      <c r="R1" s="178"/>
      <c r="AH1" s="3" t="s">
        <v>440</v>
      </c>
    </row>
    <row r="2" spans="1:41" ht="11.25" customHeight="1" x14ac:dyDescent="0.2">
      <c r="A2" s="3" t="s">
        <v>338</v>
      </c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AA2" s="9"/>
      <c r="AB2" s="453"/>
      <c r="AC2" s="524" t="s">
        <v>936</v>
      </c>
      <c r="AD2" s="453"/>
      <c r="AE2" s="453"/>
      <c r="AF2" s="11"/>
    </row>
    <row r="3" spans="1:41" ht="11.25" customHeight="1" x14ac:dyDescent="0.2">
      <c r="A3" s="7" t="s">
        <v>124</v>
      </c>
      <c r="B3" s="7"/>
      <c r="C3" s="160">
        <f>DATE([0]!ResYear,[0]!ResMonth+1,1)-1</f>
        <v>45382</v>
      </c>
      <c r="D3" s="521"/>
      <c r="E3" s="178"/>
      <c r="F3" s="178"/>
      <c r="G3" s="178"/>
      <c r="H3" s="178"/>
      <c r="I3" s="178"/>
      <c r="J3" s="178"/>
      <c r="K3" s="178"/>
      <c r="L3" s="178"/>
      <c r="M3" s="178"/>
      <c r="N3" s="178"/>
      <c r="O3" s="178"/>
      <c r="P3" s="178"/>
      <c r="AA3" t="s">
        <v>225</v>
      </c>
      <c r="AH3" s="9" t="s">
        <v>340</v>
      </c>
      <c r="AI3" s="11"/>
    </row>
    <row r="4" spans="1:41" ht="11.25" customHeight="1" x14ac:dyDescent="0.2">
      <c r="A4" s="117" t="s">
        <v>429</v>
      </c>
      <c r="B4" s="10"/>
      <c r="C4" s="10"/>
      <c r="J4" s="30" t="s">
        <v>64</v>
      </c>
      <c r="K4" s="30"/>
      <c r="L4" s="30"/>
      <c r="M4" s="622">
        <v>1</v>
      </c>
      <c r="AA4" s="47" t="s">
        <v>88</v>
      </c>
      <c r="AB4" s="48">
        <f>C62</f>
        <v>45291</v>
      </c>
      <c r="AC4" s="47" t="s">
        <v>89</v>
      </c>
      <c r="AD4" s="43">
        <f ca="1">VLOOKUP(AB4,$AA$10:$AD$28,4)</f>
        <v>8915630.5253595058</v>
      </c>
      <c r="AH4" t="s">
        <v>427</v>
      </c>
      <c r="AI4" t="s">
        <v>426</v>
      </c>
    </row>
    <row r="5" spans="1:41" ht="11.25" customHeight="1" x14ac:dyDescent="0.2">
      <c r="A5" s="146" t="s">
        <v>435</v>
      </c>
      <c r="B5" s="30"/>
      <c r="C5" s="30"/>
      <c r="J5" s="30" t="s">
        <v>87</v>
      </c>
      <c r="K5" s="30"/>
      <c r="L5" s="30"/>
      <c r="M5" s="118">
        <v>0</v>
      </c>
      <c r="U5" s="9"/>
      <c r="V5" s="453"/>
      <c r="W5" s="524" t="s">
        <v>936</v>
      </c>
      <c r="X5" s="453"/>
      <c r="Y5" s="11"/>
      <c r="AA5" s="47" t="s">
        <v>91</v>
      </c>
      <c r="AB5" s="48">
        <f>C56</f>
        <v>45291</v>
      </c>
      <c r="AC5" s="47" t="s">
        <v>89</v>
      </c>
      <c r="AD5" s="43">
        <f ca="1">VLOOKUP(AB5,$AA$10:$AD$28,4)</f>
        <v>8915630.5253595058</v>
      </c>
      <c r="AH5" s="1" t="s">
        <v>132</v>
      </c>
      <c r="AM5" s="1"/>
      <c r="AO5" s="1"/>
    </row>
    <row r="6" spans="1:41" ht="11.25" customHeight="1" x14ac:dyDescent="0.2">
      <c r="A6" s="146" t="s">
        <v>165</v>
      </c>
      <c r="B6" s="30"/>
      <c r="C6" s="30"/>
      <c r="J6" s="130" t="s">
        <v>941</v>
      </c>
      <c r="AA6" s="2"/>
      <c r="AB6" s="2"/>
      <c r="AC6" s="2"/>
      <c r="AD6" s="2" t="s">
        <v>92</v>
      </c>
      <c r="AH6" s="1" t="s">
        <v>131</v>
      </c>
      <c r="AM6" s="1"/>
      <c r="AO6" s="1"/>
    </row>
    <row r="7" spans="1:41" ht="12" customHeight="1" x14ac:dyDescent="0.2">
      <c r="C7" s="228"/>
      <c r="H7" s="254"/>
      <c r="M7" s="178"/>
      <c r="N7" s="178"/>
      <c r="O7" s="178"/>
      <c r="P7" s="178"/>
      <c r="U7" s="1" t="s">
        <v>224</v>
      </c>
      <c r="Y7" s="254"/>
      <c r="AA7" s="2" t="s">
        <v>83</v>
      </c>
      <c r="AB7" s="2"/>
      <c r="AC7" s="2"/>
      <c r="AD7" s="2" t="s">
        <v>86</v>
      </c>
      <c r="AE7" s="2" t="s">
        <v>93</v>
      </c>
      <c r="AF7" s="2" t="s">
        <v>94</v>
      </c>
      <c r="AH7" s="1" t="s">
        <v>130</v>
      </c>
      <c r="AM7" s="1"/>
      <c r="AO7" s="1"/>
    </row>
    <row r="8" spans="1:41" ht="11.25" customHeight="1" x14ac:dyDescent="0.2">
      <c r="A8" s="2"/>
      <c r="B8" s="2"/>
      <c r="C8" s="254" t="s">
        <v>1063</v>
      </c>
      <c r="D8" s="228" t="s">
        <v>931</v>
      </c>
      <c r="E8" s="2" t="s">
        <v>17</v>
      </c>
      <c r="F8" s="2" t="s">
        <v>96</v>
      </c>
      <c r="G8" s="2"/>
      <c r="H8" s="2" t="s">
        <v>187</v>
      </c>
      <c r="I8" s="2"/>
      <c r="J8" s="2"/>
      <c r="K8" s="2"/>
      <c r="L8" s="2"/>
      <c r="M8" s="187"/>
      <c r="N8" s="178"/>
      <c r="O8" s="187"/>
      <c r="P8" s="178"/>
      <c r="R8" s="2" t="s">
        <v>99</v>
      </c>
      <c r="S8" s="2" t="s">
        <v>17</v>
      </c>
      <c r="V8" s="2">
        <v>1</v>
      </c>
      <c r="W8" s="2">
        <v>2</v>
      </c>
      <c r="X8" s="2">
        <f>InitMethod</f>
        <v>1</v>
      </c>
      <c r="Y8" s="2" t="s">
        <v>227</v>
      </c>
      <c r="AA8" s="8" t="s">
        <v>95</v>
      </c>
      <c r="AB8" s="8" t="s">
        <v>96</v>
      </c>
      <c r="AC8" s="8" t="s">
        <v>97</v>
      </c>
      <c r="AD8" s="8" t="s">
        <v>83</v>
      </c>
      <c r="AE8" s="8" t="s">
        <v>83</v>
      </c>
      <c r="AF8" s="8" t="s">
        <v>98</v>
      </c>
      <c r="AH8" s="1" t="s">
        <v>425</v>
      </c>
      <c r="AM8" s="1"/>
      <c r="AO8" s="1"/>
    </row>
    <row r="9" spans="1:41" ht="11.25" customHeight="1" x14ac:dyDescent="0.2">
      <c r="A9" s="2" t="s">
        <v>96</v>
      </c>
      <c r="B9" s="2"/>
      <c r="C9" s="2" t="s">
        <v>96</v>
      </c>
      <c r="D9" s="254" t="s">
        <v>933</v>
      </c>
      <c r="E9" s="2" t="s">
        <v>96</v>
      </c>
      <c r="F9" s="2" t="s">
        <v>85</v>
      </c>
      <c r="G9" s="2"/>
      <c r="H9" s="2" t="s">
        <v>188</v>
      </c>
      <c r="I9" s="249" t="s">
        <v>1066</v>
      </c>
      <c r="J9" s="2" t="s">
        <v>189</v>
      </c>
      <c r="K9" s="2"/>
      <c r="L9" s="2" t="s">
        <v>190</v>
      </c>
      <c r="M9" s="187"/>
      <c r="O9" s="187"/>
      <c r="P9" s="178"/>
      <c r="R9" s="29" t="s">
        <v>101</v>
      </c>
      <c r="S9" s="29" t="s">
        <v>662</v>
      </c>
      <c r="V9" s="2" t="s">
        <v>101</v>
      </c>
      <c r="W9" s="37" t="s">
        <v>223</v>
      </c>
      <c r="X9" s="254" t="s">
        <v>959</v>
      </c>
      <c r="Y9" s="254" t="s">
        <v>937</v>
      </c>
      <c r="AA9" s="48"/>
      <c r="AH9" s="1" t="s">
        <v>741</v>
      </c>
      <c r="AM9" s="1"/>
      <c r="AO9" s="1"/>
    </row>
    <row r="10" spans="1:41" ht="11.25" customHeight="1" x14ac:dyDescent="0.2">
      <c r="A10" s="29" t="s">
        <v>41</v>
      </c>
      <c r="B10" s="29" t="s">
        <v>78</v>
      </c>
      <c r="C10" s="29" t="s">
        <v>85</v>
      </c>
      <c r="D10" s="17" t="s">
        <v>1064</v>
      </c>
      <c r="E10" s="29" t="s">
        <v>85</v>
      </c>
      <c r="F10" s="29" t="s">
        <v>101</v>
      </c>
      <c r="G10" s="2"/>
      <c r="H10" s="49">
        <f>+C3</f>
        <v>45382</v>
      </c>
      <c r="I10" s="227" t="s">
        <v>1065</v>
      </c>
      <c r="J10" s="29" t="s">
        <v>141</v>
      </c>
      <c r="K10" s="2"/>
      <c r="L10" s="29" t="s">
        <v>191</v>
      </c>
      <c r="M10" s="187"/>
      <c r="N10" s="9"/>
      <c r="O10" s="524" t="s">
        <v>100</v>
      </c>
      <c r="P10" s="230"/>
      <c r="V10" s="8" t="s">
        <v>221</v>
      </c>
      <c r="W10" s="8" t="s">
        <v>221</v>
      </c>
      <c r="X10" s="8" t="s">
        <v>226</v>
      </c>
      <c r="Y10" s="254" t="s">
        <v>938</v>
      </c>
      <c r="AA10" s="610">
        <f t="shared" ref="AA10:AA27" si="0">DATE(YEAR(AA11),MONTH(AA11),1)-1</f>
        <v>44804</v>
      </c>
      <c r="AB10" s="51"/>
      <c r="AC10" s="51"/>
      <c r="AD10" s="43" t="e">
        <f>NA()</f>
        <v>#N/A</v>
      </c>
      <c r="AE10" s="43" t="e">
        <f>NA()</f>
        <v>#N/A</v>
      </c>
      <c r="AF10" s="43" t="e">
        <f>NA()</f>
        <v>#N/A</v>
      </c>
      <c r="AH10" s="1" t="s">
        <v>430</v>
      </c>
      <c r="AM10" s="1"/>
      <c r="AO10" s="1"/>
    </row>
    <row r="11" spans="1:41" ht="11.1" customHeight="1" x14ac:dyDescent="0.2">
      <c r="A11" s="52">
        <f>Data!$AN8</f>
        <v>45352</v>
      </c>
      <c r="B11" s="35">
        <f>+Data!AO8</f>
        <v>164912</v>
      </c>
      <c r="C11" s="53">
        <f ca="1">X11</f>
        <v>6901567</v>
      </c>
      <c r="D11" s="53">
        <f>-Data!BZ8</f>
        <v>0</v>
      </c>
      <c r="E11" s="53">
        <f ca="1">C11+D11</f>
        <v>6901567</v>
      </c>
      <c r="F11" s="54">
        <f ca="1">IF(B11=0,0,E11/B11)</f>
        <v>41.849998787231975</v>
      </c>
      <c r="G11" s="30"/>
      <c r="H11" s="53">
        <f>+Data!$CA8</f>
        <v>1157133.2399999991</v>
      </c>
      <c r="I11" s="30"/>
      <c r="J11" s="55">
        <f ca="1">IF(B11=0,0,H11/E11)</f>
        <v>0.16766239319273421</v>
      </c>
      <c r="K11" s="30"/>
      <c r="L11" s="53">
        <f ca="1">E11-H11</f>
        <v>5744433.7600000007</v>
      </c>
      <c r="M11" s="178" t="str">
        <f ca="1">IF(L11&lt;0,"CHECK","")</f>
        <v/>
      </c>
      <c r="O11" s="178"/>
      <c r="P11" s="178"/>
      <c r="Q11" s="52">
        <f t="shared" ref="Q11:Q22" si="1">A11</f>
        <v>45352</v>
      </c>
      <c r="R11" s="54">
        <f t="shared" ref="R11:R22" ca="1" si="2">L11/B11</f>
        <v>34.833327835451641</v>
      </c>
      <c r="S11" s="325">
        <f>IF(YEAR(Q11)=YEAR(Q$11),1,0)</f>
        <v>1</v>
      </c>
      <c r="T11" s="66"/>
      <c r="U11" s="115">
        <f t="shared" ref="U11:U28" si="3">A11</f>
        <v>45352</v>
      </c>
      <c r="V11" s="53">
        <f ca="1">+PMPM!R31</f>
        <v>6901567</v>
      </c>
      <c r="W11" s="53">
        <f>Log!$N40</f>
        <v>0</v>
      </c>
      <c r="X11" s="53">
        <f t="shared" ref="X11:X22" ca="1" si="4">IF(X$8=1,V11,W11)</f>
        <v>6901567</v>
      </c>
      <c r="Y11" s="53">
        <f ca="1">X11</f>
        <v>6901567</v>
      </c>
      <c r="AA11" s="610">
        <f t="shared" si="0"/>
        <v>44834</v>
      </c>
      <c r="AB11" s="51">
        <f ca="1">$Y28</f>
        <v>100581750.46450323</v>
      </c>
      <c r="AC11" s="51">
        <f>SUM(Data!U$142:'Data'!$AL$142)</f>
        <v>97043486.969999954</v>
      </c>
      <c r="AD11" s="43">
        <f t="shared" ref="AD11:AD27" ca="1" si="5">$L$47-AB11+AC11</f>
        <v>7599437.160856232</v>
      </c>
      <c r="AE11" s="43">
        <f ca="1">AE12-L28</f>
        <v>144462.02085621329</v>
      </c>
      <c r="AF11" s="43">
        <f t="shared" ref="AF11:AF29" ca="1" si="6">AD11-AE11</f>
        <v>7454975.1400000192</v>
      </c>
      <c r="AH11" s="1" t="s">
        <v>648</v>
      </c>
      <c r="AM11" s="1"/>
      <c r="AO11" s="1"/>
    </row>
    <row r="12" spans="1:41" ht="11.1" customHeight="1" x14ac:dyDescent="0.2">
      <c r="A12" s="52">
        <f>Data!$AN9</f>
        <v>45323</v>
      </c>
      <c r="B12" s="35">
        <f>+Data!AO9</f>
        <v>164591</v>
      </c>
      <c r="C12" s="53">
        <f t="shared" ref="C12:C46" ca="1" si="7">X12</f>
        <v>6178865</v>
      </c>
      <c r="D12" s="53">
        <f>-Data!BZ9</f>
        <v>0</v>
      </c>
      <c r="E12" s="53">
        <f t="shared" ref="E12:E28" ca="1" si="8">C12+D12</f>
        <v>6178865</v>
      </c>
      <c r="F12" s="54">
        <f t="shared" ref="F12:F28" ca="1" si="9">IF(B12=0,0,E12/B12)</f>
        <v>37.540722153702205</v>
      </c>
      <c r="G12" s="30"/>
      <c r="H12" s="53">
        <f>+Data!$CA9</f>
        <v>3917198.8800000069</v>
      </c>
      <c r="I12" s="30"/>
      <c r="J12" s="55">
        <f t="shared" ref="J12:J46" ca="1" si="10">IF(B12=0,0,H12/E12)</f>
        <v>0.6339673839774792</v>
      </c>
      <c r="K12" s="30"/>
      <c r="L12" s="53">
        <f t="shared" ref="L12:L46" ca="1" si="11">E12-H12</f>
        <v>2261666.1199999931</v>
      </c>
      <c r="M12" s="178" t="str">
        <f t="shared" ref="M12:M47" ca="1" si="12">IF(L12&lt;0,"CHECK","")</f>
        <v/>
      </c>
      <c r="N12" s="249" t="s">
        <v>872</v>
      </c>
      <c r="O12" s="178"/>
      <c r="P12" s="178"/>
      <c r="Q12" s="52">
        <f t="shared" si="1"/>
        <v>45323</v>
      </c>
      <c r="R12" s="54">
        <f t="shared" ca="1" si="2"/>
        <v>13.74112873729422</v>
      </c>
      <c r="S12" s="325">
        <f t="shared" ref="S12:S22" si="13">IF(YEAR(Q12)=YEAR(Q$11),1,0)</f>
        <v>1</v>
      </c>
      <c r="T12" s="66"/>
      <c r="U12" s="115">
        <f t="shared" si="3"/>
        <v>45323</v>
      </c>
      <c r="V12" s="53">
        <f ca="1">+PMPM!R32</f>
        <v>6178865</v>
      </c>
      <c r="W12" s="53">
        <f>Log!$N41</f>
        <v>0</v>
      </c>
      <c r="X12" s="53">
        <f t="shared" ca="1" si="4"/>
        <v>6178865</v>
      </c>
      <c r="Y12" s="53">
        <f ca="1">SUM(X$11:X12)</f>
        <v>13080432</v>
      </c>
      <c r="AA12" s="610">
        <f t="shared" si="0"/>
        <v>44865</v>
      </c>
      <c r="AB12" s="51">
        <f ca="1">$Y27</f>
        <v>95235234.018196687</v>
      </c>
      <c r="AC12" s="51">
        <f>SUM(Data!V$142:'Data'!$AL$142)</f>
        <v>91947532.579999924</v>
      </c>
      <c r="AD12" s="43">
        <f t="shared" ca="1" si="5"/>
        <v>7849999.2171627432</v>
      </c>
      <c r="AE12" s="43">
        <f ca="1">AE13-L27</f>
        <v>176632.10716273403</v>
      </c>
      <c r="AF12" s="43">
        <f t="shared" ca="1" si="6"/>
        <v>7673367.1100000087</v>
      </c>
      <c r="AH12" s="1" t="s">
        <v>649</v>
      </c>
      <c r="AI12" s="178"/>
      <c r="AM12" s="1"/>
      <c r="AO12" s="1"/>
    </row>
    <row r="13" spans="1:41" ht="11.1" customHeight="1" x14ac:dyDescent="0.2">
      <c r="A13" s="52">
        <f>Data!$AN10</f>
        <v>45292</v>
      </c>
      <c r="B13" s="35">
        <f>+Data!AO10</f>
        <v>164688</v>
      </c>
      <c r="C13" s="53">
        <f t="shared" ca="1" si="7"/>
        <v>6102795</v>
      </c>
      <c r="D13" s="53">
        <f>-Data!BZ10</f>
        <v>0</v>
      </c>
      <c r="E13" s="53">
        <f t="shared" ca="1" si="8"/>
        <v>6102795</v>
      </c>
      <c r="F13" s="54">
        <f t="shared" ca="1" si="9"/>
        <v>37.056707228213348</v>
      </c>
      <c r="G13" s="30"/>
      <c r="H13" s="53">
        <f>+Data!$CA10</f>
        <v>5174161.2699999912</v>
      </c>
      <c r="I13" s="30"/>
      <c r="J13" s="55">
        <f t="shared" ca="1" si="10"/>
        <v>0.84783468394399475</v>
      </c>
      <c r="K13" s="30"/>
      <c r="L13" s="53">
        <f t="shared" ca="1" si="11"/>
        <v>928633.73000000883</v>
      </c>
      <c r="M13" s="178" t="str">
        <f t="shared" ca="1" si="12"/>
        <v/>
      </c>
      <c r="N13" s="249" t="s">
        <v>873</v>
      </c>
      <c r="O13" s="178"/>
      <c r="P13" s="178"/>
      <c r="Q13" s="52">
        <f t="shared" si="1"/>
        <v>45292</v>
      </c>
      <c r="R13" s="54">
        <f t="shared" ca="1" si="2"/>
        <v>5.6387455673759401</v>
      </c>
      <c r="S13" s="325">
        <f t="shared" si="13"/>
        <v>1</v>
      </c>
      <c r="T13" s="66"/>
      <c r="U13" s="115">
        <f t="shared" si="3"/>
        <v>45292</v>
      </c>
      <c r="V13" s="53">
        <f ca="1">+PMPM!R33</f>
        <v>6102795</v>
      </c>
      <c r="W13" s="53">
        <f>Log!$N42</f>
        <v>0</v>
      </c>
      <c r="X13" s="53">
        <f t="shared" ca="1" si="4"/>
        <v>6102795</v>
      </c>
      <c r="Y13" s="53">
        <f ca="1">SUM(X$11:X13)</f>
        <v>19183227</v>
      </c>
      <c r="Z13" s="66"/>
      <c r="AA13" s="610">
        <f t="shared" si="0"/>
        <v>44895</v>
      </c>
      <c r="AB13" s="51">
        <f ca="1">$Y26</f>
        <v>90188182.965654016</v>
      </c>
      <c r="AC13" s="51">
        <f>SUM(Data!W$142:'Data'!$AL$142)</f>
        <v>87082018.409999907</v>
      </c>
      <c r="AD13" s="43">
        <f t="shared" ca="1" si="5"/>
        <v>8031536.0997053981</v>
      </c>
      <c r="AE13" s="43">
        <f ca="1">AE14-L26</f>
        <v>211850.92970538372</v>
      </c>
      <c r="AF13" s="43">
        <f t="shared" ca="1" si="6"/>
        <v>7819685.1700000148</v>
      </c>
      <c r="AH13" s="1" t="s">
        <v>742</v>
      </c>
      <c r="AM13" s="1"/>
      <c r="AO13" s="1"/>
    </row>
    <row r="14" spans="1:41" ht="11.1" customHeight="1" x14ac:dyDescent="0.2">
      <c r="A14" s="52">
        <f>Data!$AN11</f>
        <v>45261</v>
      </c>
      <c r="B14" s="35">
        <f>+Data!AO11</f>
        <v>143536</v>
      </c>
      <c r="C14" s="53">
        <f t="shared" ca="1" si="7"/>
        <v>5703064</v>
      </c>
      <c r="D14" s="53">
        <f>-Data!BZ11</f>
        <v>0</v>
      </c>
      <c r="E14" s="53">
        <f t="shared" ca="1" si="8"/>
        <v>5703064</v>
      </c>
      <c r="F14" s="54">
        <f t="shared" ca="1" si="9"/>
        <v>39.732638501839261</v>
      </c>
      <c r="G14" s="30"/>
      <c r="H14" s="53">
        <f>+Data!$CA11</f>
        <v>5294588.3699999973</v>
      </c>
      <c r="I14" s="30"/>
      <c r="J14" s="55">
        <f t="shared" ca="1" si="10"/>
        <v>0.92837610975433504</v>
      </c>
      <c r="K14" s="30"/>
      <c r="L14" s="53">
        <f t="shared" ca="1" si="11"/>
        <v>408475.63000000268</v>
      </c>
      <c r="M14" s="178" t="str">
        <f t="shared" ca="1" si="12"/>
        <v/>
      </c>
      <c r="N14" t="s">
        <v>823</v>
      </c>
      <c r="O14" s="178"/>
      <c r="P14" s="178"/>
      <c r="Q14" s="52">
        <f t="shared" si="1"/>
        <v>45261</v>
      </c>
      <c r="R14" s="54">
        <f t="shared" ca="1" si="2"/>
        <v>2.8458061392264149</v>
      </c>
      <c r="S14" s="325">
        <f t="shared" si="13"/>
        <v>0</v>
      </c>
      <c r="T14" s="66"/>
      <c r="U14" s="115">
        <f t="shared" si="3"/>
        <v>45261</v>
      </c>
      <c r="V14" s="53">
        <f ca="1">+PMPM!R34</f>
        <v>5703064</v>
      </c>
      <c r="W14" s="53">
        <f ca="1">Log!$N43</f>
        <v>1425766</v>
      </c>
      <c r="X14" s="53">
        <f t="shared" ca="1" si="4"/>
        <v>5703064</v>
      </c>
      <c r="Y14" s="53">
        <f ca="1">SUM(X$11:X14)</f>
        <v>24886291</v>
      </c>
      <c r="Z14" s="66"/>
      <c r="AA14" s="610">
        <f t="shared" si="0"/>
        <v>44926</v>
      </c>
      <c r="AB14" s="51">
        <f ca="1">$Y25</f>
        <v>85067687.816901207</v>
      </c>
      <c r="AC14" s="51">
        <f>SUM(Data!X$142:'Data'!$AL$142)</f>
        <v>81272907.849999875</v>
      </c>
      <c r="AD14" s="43">
        <f t="shared" ca="1" si="5"/>
        <v>7342920.6884581745</v>
      </c>
      <c r="AE14" s="43">
        <f ca="1">AE15-L25</f>
        <v>250438.47845817311</v>
      </c>
      <c r="AF14" s="43">
        <f t="shared" ca="1" si="6"/>
        <v>7092482.2100000009</v>
      </c>
      <c r="AH14" s="1" t="s">
        <v>743</v>
      </c>
      <c r="AM14" s="1"/>
      <c r="AO14" s="1"/>
    </row>
    <row r="15" spans="1:41" ht="11.1" customHeight="1" x14ac:dyDescent="0.2">
      <c r="A15" s="52">
        <f>Data!$AN12</f>
        <v>45231</v>
      </c>
      <c r="B15" s="35">
        <f>+Data!AO12</f>
        <v>142616</v>
      </c>
      <c r="C15" s="53">
        <f t="shared" ca="1" si="7"/>
        <v>6005202</v>
      </c>
      <c r="D15" s="53">
        <f>-Data!BZ12</f>
        <v>0</v>
      </c>
      <c r="E15" s="53">
        <f t="shared" ca="1" si="8"/>
        <v>6005202</v>
      </c>
      <c r="F15" s="54">
        <f t="shared" ca="1" si="9"/>
        <v>42.107491445560107</v>
      </c>
      <c r="G15" s="30"/>
      <c r="H15" s="53">
        <f>+Data!$CA12</f>
        <v>5691598.2099999804</v>
      </c>
      <c r="I15" s="30"/>
      <c r="J15" s="55">
        <f t="shared" ca="1" si="10"/>
        <v>0.94777797815959908</v>
      </c>
      <c r="K15" s="30"/>
      <c r="L15" s="53">
        <f t="shared" ca="1" si="11"/>
        <v>313603.7900000196</v>
      </c>
      <c r="M15" s="178" t="str">
        <f t="shared" ca="1" si="12"/>
        <v/>
      </c>
      <c r="N15" t="s">
        <v>824</v>
      </c>
      <c r="O15" s="178"/>
      <c r="P15" s="178"/>
      <c r="Q15" s="52">
        <f t="shared" si="1"/>
        <v>45231</v>
      </c>
      <c r="R15" s="54">
        <f t="shared" ca="1" si="2"/>
        <v>2.1989383379145369</v>
      </c>
      <c r="S15" s="325">
        <f t="shared" si="13"/>
        <v>0</v>
      </c>
      <c r="T15" s="66"/>
      <c r="U15" s="115">
        <f t="shared" si="3"/>
        <v>45231</v>
      </c>
      <c r="V15" s="53">
        <f ca="1">+PMPM!R35</f>
        <v>6005202</v>
      </c>
      <c r="W15" s="53">
        <f ca="1">Log!$N44</f>
        <v>5939064</v>
      </c>
      <c r="X15" s="53">
        <f t="shared" ca="1" si="4"/>
        <v>6005202</v>
      </c>
      <c r="Y15" s="53">
        <f ca="1">SUM(X$11:X15)</f>
        <v>30891493</v>
      </c>
      <c r="AA15" s="610">
        <f t="shared" si="0"/>
        <v>44957</v>
      </c>
      <c r="AB15" s="51">
        <f ca="1">$Y24</f>
        <v>80447305.522578344</v>
      </c>
      <c r="AC15" s="51">
        <f>SUM(Data!Y$142:'Data'!$AL$142)</f>
        <v>76141230.539999858</v>
      </c>
      <c r="AD15" s="43">
        <f t="shared" ca="1" si="5"/>
        <v>6831625.6727810204</v>
      </c>
      <c r="AE15" s="43">
        <f ca="1">AE16-L24</f>
        <v>292367.2327810456</v>
      </c>
      <c r="AF15" s="43">
        <f t="shared" ca="1" si="6"/>
        <v>6539258.4399999753</v>
      </c>
      <c r="AH15" s="1" t="s">
        <v>745</v>
      </c>
      <c r="AM15" s="1"/>
      <c r="AO15" s="1"/>
    </row>
    <row r="16" spans="1:41" ht="11.1" customHeight="1" x14ac:dyDescent="0.2">
      <c r="A16" s="52">
        <f>Data!$AN13</f>
        <v>45200</v>
      </c>
      <c r="B16" s="35">
        <f>+Data!AO13</f>
        <v>140994</v>
      </c>
      <c r="C16" s="53">
        <f t="shared" ca="1" si="7"/>
        <v>6394678</v>
      </c>
      <c r="D16" s="53">
        <f>-Data!BZ13</f>
        <v>0</v>
      </c>
      <c r="E16" s="53">
        <f t="shared" ca="1" si="8"/>
        <v>6394678</v>
      </c>
      <c r="F16" s="54">
        <f t="shared" ca="1" si="9"/>
        <v>45.354256209484092</v>
      </c>
      <c r="G16" s="30"/>
      <c r="H16" s="53">
        <f>+Data!$CA13</f>
        <v>6118778.3800000018</v>
      </c>
      <c r="I16" s="30"/>
      <c r="J16" s="55">
        <f t="shared" ca="1" si="10"/>
        <v>0.95685480644998888</v>
      </c>
      <c r="K16" s="30"/>
      <c r="L16" s="53">
        <f t="shared" ca="1" si="11"/>
        <v>275899.61999999825</v>
      </c>
      <c r="M16" s="178" t="str">
        <f t="shared" ca="1" si="12"/>
        <v/>
      </c>
      <c r="O16" s="178"/>
      <c r="P16" s="178"/>
      <c r="Q16" s="52">
        <f t="shared" si="1"/>
        <v>45200</v>
      </c>
      <c r="R16" s="54">
        <f t="shared" ca="1" si="2"/>
        <v>1.9568181624749865</v>
      </c>
      <c r="S16" s="325">
        <f t="shared" si="13"/>
        <v>0</v>
      </c>
      <c r="T16" s="66"/>
      <c r="U16" s="115">
        <f t="shared" si="3"/>
        <v>45200</v>
      </c>
      <c r="V16" s="53">
        <f ca="1">+PMPM!R36</f>
        <v>6394678</v>
      </c>
      <c r="W16" s="53">
        <f ca="1">Log!$N45</f>
        <v>6088421</v>
      </c>
      <c r="X16" s="53">
        <f t="shared" ca="1" si="4"/>
        <v>6394678</v>
      </c>
      <c r="Y16" s="53">
        <f ca="1">SUM(X$11:X16)</f>
        <v>37286171</v>
      </c>
      <c r="Z16" s="66"/>
      <c r="AA16" s="610">
        <f t="shared" si="0"/>
        <v>44985</v>
      </c>
      <c r="AB16" s="51">
        <f ca="1">$Y23</f>
        <v>75625463.57406722</v>
      </c>
      <c r="AC16" s="51">
        <f>SUM(Data!Z$142:'Data'!$AL$142)</f>
        <v>71554890.109999865</v>
      </c>
      <c r="AD16" s="43">
        <f t="shared" ca="1" si="5"/>
        <v>7067127.1912921593</v>
      </c>
      <c r="AE16" s="43">
        <f ca="1">AE17-L23</f>
        <v>342545.21129218256</v>
      </c>
      <c r="AF16" s="43">
        <f t="shared" ca="1" si="6"/>
        <v>6724581.9799999762</v>
      </c>
      <c r="AH16" s="1" t="s">
        <v>747</v>
      </c>
      <c r="AM16" s="1"/>
      <c r="AO16" s="1"/>
    </row>
    <row r="17" spans="1:41" ht="11.1" customHeight="1" x14ac:dyDescent="0.2">
      <c r="A17" s="52">
        <f>Data!$AN14</f>
        <v>45170</v>
      </c>
      <c r="B17" s="35">
        <f>+Data!AO14</f>
        <v>138164</v>
      </c>
      <c r="C17" s="53">
        <f t="shared" ca="1" si="7"/>
        <v>5476271</v>
      </c>
      <c r="D17" s="53">
        <f>-Data!BZ14</f>
        <v>0</v>
      </c>
      <c r="E17" s="53">
        <f t="shared" ca="1" si="8"/>
        <v>5476271</v>
      </c>
      <c r="F17" s="54">
        <f t="shared" ca="1" si="9"/>
        <v>39.63601951304247</v>
      </c>
      <c r="G17" s="30"/>
      <c r="H17" s="53">
        <f>+Data!$CA14</f>
        <v>5279025.1699999934</v>
      </c>
      <c r="I17" s="30"/>
      <c r="J17" s="55">
        <f t="shared" ca="1" si="10"/>
        <v>0.96398172588609898</v>
      </c>
      <c r="K17" s="30"/>
      <c r="L17" s="53">
        <f t="shared" ca="1" si="11"/>
        <v>197245.83000000659</v>
      </c>
      <c r="M17" s="178" t="str">
        <f t="shared" ca="1" si="12"/>
        <v/>
      </c>
      <c r="N17" s="1" t="s">
        <v>825</v>
      </c>
      <c r="O17" s="178"/>
      <c r="P17" s="178"/>
      <c r="Q17" s="52">
        <f t="shared" si="1"/>
        <v>45170</v>
      </c>
      <c r="R17" s="54">
        <f t="shared" ca="1" si="2"/>
        <v>1.4276210156046916</v>
      </c>
      <c r="S17" s="325">
        <f t="shared" si="13"/>
        <v>0</v>
      </c>
      <c r="T17" s="66"/>
      <c r="U17" s="115">
        <f t="shared" si="3"/>
        <v>45170</v>
      </c>
      <c r="V17" s="53">
        <f ca="1">+PMPM!R37</f>
        <v>5476271</v>
      </c>
      <c r="W17" s="53">
        <f ca="1">Log!$N46</f>
        <v>5425425</v>
      </c>
      <c r="X17" s="53">
        <f t="shared" ca="1" si="4"/>
        <v>5476271</v>
      </c>
      <c r="Y17" s="53">
        <f ca="1">SUM(X$11:X17)</f>
        <v>42762442</v>
      </c>
      <c r="Z17" s="66"/>
      <c r="AA17" s="610">
        <f t="shared" si="0"/>
        <v>45016</v>
      </c>
      <c r="AB17" s="51">
        <f ca="1">$Y22</f>
        <v>69790482</v>
      </c>
      <c r="AC17" s="51">
        <f>SUM(Data!AA$142:'Data'!$AL$142)</f>
        <v>65774824.909999892</v>
      </c>
      <c r="AD17" s="43">
        <f t="shared" ca="1" si="5"/>
        <v>7122043.5653594062</v>
      </c>
      <c r="AE17" s="43">
        <f ca="1">AE18-L22</f>
        <v>415861.83535942668</v>
      </c>
      <c r="AF17" s="43">
        <f t="shared" ca="1" si="6"/>
        <v>6706181.72999998</v>
      </c>
      <c r="AH17" s="1" t="s">
        <v>744</v>
      </c>
      <c r="AM17" s="1"/>
      <c r="AO17" s="1"/>
    </row>
    <row r="18" spans="1:41" ht="11.1" customHeight="1" x14ac:dyDescent="0.2">
      <c r="A18" s="52">
        <f>Data!$AN15</f>
        <v>45139</v>
      </c>
      <c r="B18" s="35">
        <f>+Data!AO15</f>
        <v>136843</v>
      </c>
      <c r="C18" s="53">
        <f t="shared" ca="1" si="7"/>
        <v>6008618</v>
      </c>
      <c r="D18" s="53">
        <f>-Data!BZ15</f>
        <v>0</v>
      </c>
      <c r="E18" s="53">
        <f t="shared" ca="1" si="8"/>
        <v>6008618</v>
      </c>
      <c r="F18" s="54">
        <f t="shared" ca="1" si="9"/>
        <v>43.908844442170953</v>
      </c>
      <c r="G18" s="30"/>
      <c r="H18" s="53">
        <f>+Data!$CA15</f>
        <v>5836334.2899999823</v>
      </c>
      <c r="I18" s="30"/>
      <c r="J18" s="55">
        <f t="shared" ca="1" si="10"/>
        <v>0.97132723198578819</v>
      </c>
      <c r="K18" s="30"/>
      <c r="L18" s="53">
        <f t="shared" ca="1" si="11"/>
        <v>172283.71000001766</v>
      </c>
      <c r="M18" s="178" t="str">
        <f t="shared" ca="1" si="12"/>
        <v/>
      </c>
      <c r="N18" s="1" t="s">
        <v>826</v>
      </c>
      <c r="Q18" s="52">
        <f t="shared" si="1"/>
        <v>45139</v>
      </c>
      <c r="R18" s="54">
        <f t="shared" ca="1" si="2"/>
        <v>1.2589881104624836</v>
      </c>
      <c r="S18" s="325">
        <f t="shared" si="13"/>
        <v>0</v>
      </c>
      <c r="T18" s="66"/>
      <c r="U18" s="115">
        <f t="shared" si="3"/>
        <v>45139</v>
      </c>
      <c r="V18" s="53">
        <f ca="1">+PMPM!R38</f>
        <v>6008618</v>
      </c>
      <c r="W18" s="53">
        <f ca="1">Log!$N47</f>
        <v>5919749</v>
      </c>
      <c r="X18" s="53">
        <f t="shared" ca="1" si="4"/>
        <v>6008618</v>
      </c>
      <c r="Y18" s="53">
        <f ca="1">SUM(X$11:X18)</f>
        <v>48771060</v>
      </c>
      <c r="AA18" s="610">
        <f t="shared" si="0"/>
        <v>45046</v>
      </c>
      <c r="AB18" s="51">
        <f ca="1">$Y21</f>
        <v>64951806</v>
      </c>
      <c r="AC18" s="51">
        <f>SUM(Data!AB$142:'Data'!$AL$142)</f>
        <v>61575616.759999901</v>
      </c>
      <c r="AD18" s="43">
        <f t="shared" ca="1" si="5"/>
        <v>7761511.4153594151</v>
      </c>
      <c r="AE18" s="43">
        <f ca="1">AE19-L21</f>
        <v>490984.93535943748</v>
      </c>
      <c r="AF18" s="43">
        <f t="shared" ca="1" si="6"/>
        <v>7270526.4799999781</v>
      </c>
      <c r="AH18" s="1" t="s">
        <v>746</v>
      </c>
      <c r="AM18" s="1"/>
      <c r="AO18" s="1"/>
    </row>
    <row r="19" spans="1:41" ht="11.1" customHeight="1" x14ac:dyDescent="0.2">
      <c r="A19" s="52">
        <f>Data!$AN16</f>
        <v>45108</v>
      </c>
      <c r="B19" s="35">
        <f>+Data!AO16</f>
        <v>136235</v>
      </c>
      <c r="C19" s="53">
        <f t="shared" ca="1" si="7"/>
        <v>5220777</v>
      </c>
      <c r="D19" s="53">
        <f>-Data!BZ16</f>
        <v>0</v>
      </c>
      <c r="E19" s="53">
        <f t="shared" ca="1" si="8"/>
        <v>5220777</v>
      </c>
      <c r="F19" s="54">
        <f t="shared" ca="1" si="9"/>
        <v>38.321848276874519</v>
      </c>
      <c r="G19" s="30"/>
      <c r="H19" s="53">
        <f>+Data!$CA16</f>
        <v>5091384.0599999884</v>
      </c>
      <c r="I19" s="30"/>
      <c r="J19" s="55">
        <f t="shared" ca="1" si="10"/>
        <v>0.97521576960670575</v>
      </c>
      <c r="K19" s="30"/>
      <c r="L19" s="53">
        <f t="shared" ca="1" si="11"/>
        <v>129392.94000001159</v>
      </c>
      <c r="M19" s="178" t="str">
        <f t="shared" ca="1" si="12"/>
        <v/>
      </c>
      <c r="N19" s="1" t="s">
        <v>827</v>
      </c>
      <c r="Q19" s="52">
        <f t="shared" si="1"/>
        <v>45108</v>
      </c>
      <c r="R19" s="54">
        <f t="shared" ca="1" si="2"/>
        <v>0.94977751679092437</v>
      </c>
      <c r="S19" s="325">
        <f t="shared" si="13"/>
        <v>0</v>
      </c>
      <c r="T19" s="66"/>
      <c r="U19" s="115">
        <f t="shared" si="3"/>
        <v>45108</v>
      </c>
      <c r="V19" s="53">
        <f ca="1">+PMPM!R39</f>
        <v>5220777</v>
      </c>
      <c r="W19" s="53">
        <f ca="1">Log!$N48</f>
        <v>5238362</v>
      </c>
      <c r="X19" s="53">
        <f t="shared" ca="1" si="4"/>
        <v>5220777</v>
      </c>
      <c r="Y19" s="53">
        <f ca="1">SUM(X$11:X19)</f>
        <v>53991837</v>
      </c>
      <c r="Z19" s="66"/>
      <c r="AA19" s="610">
        <f t="shared" si="0"/>
        <v>45077</v>
      </c>
      <c r="AB19" s="51">
        <f ca="1">$Y20</f>
        <v>59539323</v>
      </c>
      <c r="AC19" s="51">
        <f>SUM(Data!AC$142:'Data'!$AL$142)</f>
        <v>56306137.549999923</v>
      </c>
      <c r="AD19" s="43">
        <f t="shared" ca="1" si="5"/>
        <v>7904515.2053594366</v>
      </c>
      <c r="AE19" s="43">
        <f ca="1">AE20-L20</f>
        <v>587459.82535943994</v>
      </c>
      <c r="AF19" s="43">
        <f t="shared" ca="1" si="6"/>
        <v>7317055.3799999971</v>
      </c>
      <c r="AH19" s="28" t="s">
        <v>428</v>
      </c>
      <c r="AI19" s="178">
        <v>2</v>
      </c>
      <c r="AL19" s="129"/>
      <c r="AM19" s="3"/>
      <c r="AN19" s="181"/>
      <c r="AO19" s="181"/>
    </row>
    <row r="20" spans="1:41" ht="11.1" customHeight="1" x14ac:dyDescent="0.2">
      <c r="A20" s="52">
        <f>Data!$AN17</f>
        <v>45078</v>
      </c>
      <c r="B20" s="35">
        <f>+Data!AO17</f>
        <v>135415</v>
      </c>
      <c r="C20" s="53">
        <f t="shared" ca="1" si="7"/>
        <v>5547486</v>
      </c>
      <c r="D20" s="53">
        <f>-Data!BZ17</f>
        <v>0</v>
      </c>
      <c r="E20" s="53">
        <f t="shared" ca="1" si="8"/>
        <v>5547486</v>
      </c>
      <c r="F20" s="54">
        <f t="shared" ca="1" si="9"/>
        <v>40.966554665288186</v>
      </c>
      <c r="G20" s="30"/>
      <c r="H20" s="53">
        <f>+Data!$CA17</f>
        <v>5428880.2999999868</v>
      </c>
      <c r="I20" s="30"/>
      <c r="J20" s="55">
        <f t="shared" ca="1" si="10"/>
        <v>0.97861991900475043</v>
      </c>
      <c r="K20" s="30"/>
      <c r="L20" s="53">
        <f t="shared" ca="1" si="11"/>
        <v>118605.70000001322</v>
      </c>
      <c r="M20" s="178" t="str">
        <f t="shared" ca="1" si="12"/>
        <v/>
      </c>
      <c r="N20" s="1" t="s">
        <v>828</v>
      </c>
      <c r="Q20" s="52">
        <f t="shared" si="1"/>
        <v>45078</v>
      </c>
      <c r="R20" s="54">
        <f t="shared" ca="1" si="2"/>
        <v>0.87586825684018188</v>
      </c>
      <c r="S20" s="325">
        <f t="shared" si="13"/>
        <v>0</v>
      </c>
      <c r="T20" s="66"/>
      <c r="U20" s="115">
        <f t="shared" si="3"/>
        <v>45078</v>
      </c>
      <c r="V20" s="53">
        <f ca="1">+PMPM!R40</f>
        <v>5547486</v>
      </c>
      <c r="W20" s="53">
        <f ca="1">Log!$N49</f>
        <v>5505064</v>
      </c>
      <c r="X20" s="53">
        <f t="shared" ca="1" si="4"/>
        <v>5547486</v>
      </c>
      <c r="Y20" s="53">
        <f ca="1">SUM(X$11:X20)</f>
        <v>59539323</v>
      </c>
      <c r="Z20" s="66"/>
      <c r="AA20" s="610">
        <f t="shared" si="0"/>
        <v>45107</v>
      </c>
      <c r="AB20" s="51">
        <f ca="1">$Y19</f>
        <v>53991837</v>
      </c>
      <c r="AC20" s="51">
        <f>SUM(Data!AD$142:'Data'!$AL$142)</f>
        <v>51144153.569999933</v>
      </c>
      <c r="AD20" s="43">
        <f t="shared" ca="1" si="5"/>
        <v>8290017.2253594473</v>
      </c>
      <c r="AE20" s="43">
        <f ca="1">AE21-L19</f>
        <v>706065.52535945317</v>
      </c>
      <c r="AF20" s="43">
        <f t="shared" ca="1" si="6"/>
        <v>7583951.6999999937</v>
      </c>
      <c r="AI20" t="str">
        <f>CHOOSE(AI19,AH5,AH6,AH7,AH8,AH9,AH10,AH11,AH12,AH13,AH14,AH15,AH16,AH17,AH18)</f>
        <v>6 Month Method</v>
      </c>
    </row>
    <row r="21" spans="1:41" ht="11.1" customHeight="1" x14ac:dyDescent="0.2">
      <c r="A21" s="52">
        <f>Data!$AN18</f>
        <v>45047</v>
      </c>
      <c r="B21" s="35">
        <f>+Data!AO18</f>
        <v>134465</v>
      </c>
      <c r="C21" s="53">
        <f t="shared" ca="1" si="7"/>
        <v>5412483</v>
      </c>
      <c r="D21" s="53">
        <f>-Data!BZ18</f>
        <v>0</v>
      </c>
      <c r="E21" s="53">
        <f t="shared" ca="1" si="8"/>
        <v>5412483</v>
      </c>
      <c r="F21" s="54">
        <f t="shared" ca="1" si="9"/>
        <v>40.251983787602725</v>
      </c>
      <c r="G21" s="30"/>
      <c r="H21" s="53">
        <f>+Data!$CA18</f>
        <v>5316008.1099999975</v>
      </c>
      <c r="I21" s="30"/>
      <c r="J21" s="55">
        <f t="shared" ca="1" si="10"/>
        <v>0.98217548396918708</v>
      </c>
      <c r="K21" s="30"/>
      <c r="L21" s="53">
        <f t="shared" ca="1" si="11"/>
        <v>96474.890000002459</v>
      </c>
      <c r="M21" s="178" t="str">
        <f t="shared" ca="1" si="12"/>
        <v/>
      </c>
      <c r="Q21" s="52">
        <f t="shared" si="1"/>
        <v>45047</v>
      </c>
      <c r="R21" s="54">
        <f t="shared" ca="1" si="2"/>
        <v>0.71747213029414691</v>
      </c>
      <c r="S21" s="325">
        <f t="shared" si="13"/>
        <v>0</v>
      </c>
      <c r="T21" s="66"/>
      <c r="U21" s="115">
        <f t="shared" si="3"/>
        <v>45047</v>
      </c>
      <c r="V21" s="53">
        <f ca="1">+PMPM!R41</f>
        <v>5412483</v>
      </c>
      <c r="W21" s="116">
        <f ca="1">V21</f>
        <v>5412483</v>
      </c>
      <c r="X21" s="53">
        <f t="shared" ca="1" si="4"/>
        <v>5412483</v>
      </c>
      <c r="Y21" s="53">
        <f ca="1">SUM(X$11:X21)</f>
        <v>64951806</v>
      </c>
      <c r="AA21" s="610">
        <f t="shared" si="0"/>
        <v>45138</v>
      </c>
      <c r="AB21" s="51">
        <f ca="1">$Y18</f>
        <v>48771060</v>
      </c>
      <c r="AC21" s="51">
        <f>SUM(Data!AE$142:'Data'!$AL$142)</f>
        <v>46119855.459999934</v>
      </c>
      <c r="AD21" s="43">
        <f t="shared" ca="1" si="5"/>
        <v>8486496.1153594479</v>
      </c>
      <c r="AE21" s="43">
        <f ca="1">AE22-L18</f>
        <v>835458.46535946475</v>
      </c>
      <c r="AF21" s="43">
        <f t="shared" ca="1" si="6"/>
        <v>7651037.6499999836</v>
      </c>
    </row>
    <row r="22" spans="1:41" ht="11.1" customHeight="1" x14ac:dyDescent="0.2">
      <c r="A22" s="52">
        <f>Data!$AN19</f>
        <v>45017</v>
      </c>
      <c r="B22" s="35">
        <f>+Data!AO19</f>
        <v>134470</v>
      </c>
      <c r="C22" s="53">
        <f t="shared" ca="1" si="7"/>
        <v>4838676</v>
      </c>
      <c r="D22" s="53">
        <f>-Data!BZ19</f>
        <v>0</v>
      </c>
      <c r="E22" s="53">
        <f t="shared" ca="1" si="8"/>
        <v>4838676</v>
      </c>
      <c r="F22" s="54">
        <f t="shared" ca="1" si="9"/>
        <v>35.983312262958279</v>
      </c>
      <c r="G22" s="30"/>
      <c r="H22" s="53">
        <f>+Data!$CA19</f>
        <v>4763552.8999999892</v>
      </c>
      <c r="I22" s="30"/>
      <c r="J22" s="55">
        <f t="shared" ca="1" si="10"/>
        <v>0.98447445127551203</v>
      </c>
      <c r="K22" s="30"/>
      <c r="L22" s="53">
        <f t="shared" ca="1" si="11"/>
        <v>75123.100000010803</v>
      </c>
      <c r="M22" s="178" t="str">
        <f t="shared" ca="1" si="12"/>
        <v/>
      </c>
      <c r="N22" s="193"/>
      <c r="O22" s="226" t="s">
        <v>495</v>
      </c>
      <c r="P22" s="196"/>
      <c r="Q22" s="52">
        <f t="shared" si="1"/>
        <v>45017</v>
      </c>
      <c r="R22" s="54">
        <f t="shared" ca="1" si="2"/>
        <v>0.55866066780702617</v>
      </c>
      <c r="S22" s="325">
        <f t="shared" si="13"/>
        <v>0</v>
      </c>
      <c r="T22" s="66"/>
      <c r="U22" s="115">
        <f t="shared" si="3"/>
        <v>45017</v>
      </c>
      <c r="V22" s="53">
        <f ca="1">+PMPM!R42</f>
        <v>4838676</v>
      </c>
      <c r="W22" s="116">
        <f ca="1">V22</f>
        <v>4838676</v>
      </c>
      <c r="X22" s="53">
        <f t="shared" ca="1" si="4"/>
        <v>4838676</v>
      </c>
      <c r="Y22" s="53">
        <f ca="1">SUM(X$11:X22)</f>
        <v>69790482</v>
      </c>
      <c r="Z22" s="66"/>
      <c r="AA22" s="610">
        <f t="shared" si="0"/>
        <v>45169</v>
      </c>
      <c r="AB22" s="51">
        <f ca="1">$Y17</f>
        <v>42762442</v>
      </c>
      <c r="AC22" s="51">
        <f>SUM(Data!AF$142:'Data'!$AL$142)</f>
        <v>40850190.699999958</v>
      </c>
      <c r="AD22" s="43">
        <f t="shared" ca="1" si="5"/>
        <v>9225449.3553594723</v>
      </c>
      <c r="AE22" s="43">
        <f ca="1">AE23-L17</f>
        <v>1007742.1753594824</v>
      </c>
      <c r="AF22" s="43">
        <f t="shared" ca="1" si="6"/>
        <v>8217707.1799999904</v>
      </c>
    </row>
    <row r="23" spans="1:41" ht="11.1" customHeight="1" x14ac:dyDescent="0.2">
      <c r="A23" s="52">
        <f>Data!$AN20</f>
        <v>44986</v>
      </c>
      <c r="B23" s="35">
        <f>+Data!AO20</f>
        <v>134844</v>
      </c>
      <c r="C23" s="53">
        <f t="shared" si="7"/>
        <v>5834981.5740672164</v>
      </c>
      <c r="D23" s="53">
        <f>-Data!BZ20</f>
        <v>0</v>
      </c>
      <c r="E23" s="53">
        <f t="shared" si="8"/>
        <v>5834981.5740672164</v>
      </c>
      <c r="F23" s="54">
        <f t="shared" si="9"/>
        <v>43.272089036718107</v>
      </c>
      <c r="G23" s="30"/>
      <c r="H23" s="53">
        <f>+Data!$CA20</f>
        <v>5761664.9499999722</v>
      </c>
      <c r="I23" s="30"/>
      <c r="J23" s="55">
        <f t="shared" si="10"/>
        <v>0.98743498618863002</v>
      </c>
      <c r="K23" s="30"/>
      <c r="L23" s="53">
        <f t="shared" si="11"/>
        <v>73316.62406724412</v>
      </c>
      <c r="M23" s="178" t="str">
        <f t="shared" si="12"/>
        <v/>
      </c>
      <c r="N23" s="203"/>
      <c r="O23" s="98" t="s">
        <v>496</v>
      </c>
      <c r="P23" s="204"/>
      <c r="Q23" s="219"/>
      <c r="R23" s="66"/>
      <c r="S23" s="66"/>
      <c r="T23" s="66"/>
      <c r="U23" s="115">
        <f t="shared" si="3"/>
        <v>44986</v>
      </c>
      <c r="V23" s="53"/>
      <c r="W23" s="116"/>
      <c r="X23" s="116">
        <f>Data!$BO20</f>
        <v>5834981.5740672164</v>
      </c>
      <c r="Y23" s="53">
        <f ca="1">SUM(X$11:X23)</f>
        <v>75625463.57406722</v>
      </c>
      <c r="Z23" s="66"/>
      <c r="AA23" s="610">
        <f t="shared" si="0"/>
        <v>45199</v>
      </c>
      <c r="AB23" s="51">
        <f ca="1">$Y16</f>
        <v>37286171</v>
      </c>
      <c r="AC23" s="51">
        <f>SUM(Data!AG$142:'Data'!$AL$142)</f>
        <v>35095888.589999959</v>
      </c>
      <c r="AD23" s="43">
        <f t="shared" ca="1" si="5"/>
        <v>8947418.2453594729</v>
      </c>
      <c r="AE23" s="43">
        <f ca="1">AE24-L16</f>
        <v>1204988.005359489</v>
      </c>
      <c r="AF23" s="43">
        <f t="shared" ca="1" si="6"/>
        <v>7742430.2399999835</v>
      </c>
      <c r="AH23" s="9" t="s">
        <v>435</v>
      </c>
      <c r="AI23" s="11"/>
    </row>
    <row r="24" spans="1:41" ht="11.1" customHeight="1" x14ac:dyDescent="0.2">
      <c r="A24" s="52">
        <f>Data!$AN21</f>
        <v>44958</v>
      </c>
      <c r="B24" s="35">
        <f>+Data!AO21</f>
        <v>135481</v>
      </c>
      <c r="C24" s="53">
        <f t="shared" si="7"/>
        <v>4821841.9485111265</v>
      </c>
      <c r="D24" s="53">
        <f>-Data!BZ21</f>
        <v>0</v>
      </c>
      <c r="E24" s="53">
        <f t="shared" si="8"/>
        <v>4821841.9485111265</v>
      </c>
      <c r="F24" s="54">
        <f t="shared" si="9"/>
        <v>35.59053999092955</v>
      </c>
      <c r="G24" s="30"/>
      <c r="H24" s="53">
        <f>+Data!$CA21</f>
        <v>4771663.9699999895</v>
      </c>
      <c r="I24" s="30"/>
      <c r="J24" s="55">
        <f t="shared" si="10"/>
        <v>0.98959360778579009</v>
      </c>
      <c r="K24" s="30"/>
      <c r="L24" s="53">
        <f t="shared" si="11"/>
        <v>50177.978511136957</v>
      </c>
      <c r="M24" s="178" t="str">
        <f t="shared" si="12"/>
        <v/>
      </c>
      <c r="Q24" s="219"/>
      <c r="R24" s="66"/>
      <c r="S24" s="66"/>
      <c r="T24" s="66"/>
      <c r="U24" s="115">
        <f t="shared" si="3"/>
        <v>44958</v>
      </c>
      <c r="V24" s="53"/>
      <c r="W24" s="116"/>
      <c r="X24" s="116">
        <f>Data!$BO21</f>
        <v>4821841.9485111265</v>
      </c>
      <c r="Y24" s="53">
        <f ca="1">SUM(X$11:X24)</f>
        <v>80447305.522578344</v>
      </c>
      <c r="Z24" s="66"/>
      <c r="AA24" s="610">
        <f t="shared" si="0"/>
        <v>45230</v>
      </c>
      <c r="AB24" s="51">
        <f ca="1">$Y15</f>
        <v>30891493</v>
      </c>
      <c r="AC24" s="51">
        <f>SUM(Data!AH$142:'Data'!$AL$142)</f>
        <v>28659394.46999998</v>
      </c>
      <c r="AD24" s="43">
        <f t="shared" ca="1" si="5"/>
        <v>8905602.1253594942</v>
      </c>
      <c r="AE24" s="43">
        <f ca="1">AE25-L15</f>
        <v>1480887.6253594873</v>
      </c>
      <c r="AF24" s="43">
        <f t="shared" ca="1" si="6"/>
        <v>7424714.5000000075</v>
      </c>
      <c r="AH24" t="s">
        <v>427</v>
      </c>
      <c r="AI24" t="s">
        <v>426</v>
      </c>
      <c r="AM24" s="1"/>
    </row>
    <row r="25" spans="1:41" ht="11.1" customHeight="1" x14ac:dyDescent="0.2">
      <c r="A25" s="52">
        <f>Data!$AN22</f>
        <v>44927</v>
      </c>
      <c r="B25" s="35">
        <f>+Data!AO22</f>
        <v>134089</v>
      </c>
      <c r="C25" s="53">
        <f t="shared" si="7"/>
        <v>4620382.2943228586</v>
      </c>
      <c r="D25" s="53">
        <f>-Data!BZ22</f>
        <v>0</v>
      </c>
      <c r="E25" s="53">
        <f t="shared" si="8"/>
        <v>4620382.2943228586</v>
      </c>
      <c r="F25" s="54">
        <f t="shared" si="9"/>
        <v>34.457578879124007</v>
      </c>
      <c r="G25" s="30"/>
      <c r="H25" s="53">
        <f>+Data!$CA22</f>
        <v>4578453.5399999861</v>
      </c>
      <c r="I25" s="30"/>
      <c r="J25" s="55">
        <f t="shared" si="10"/>
        <v>0.99092526296484362</v>
      </c>
      <c r="K25" s="30"/>
      <c r="L25" s="53">
        <f t="shared" si="11"/>
        <v>41928.754322872497</v>
      </c>
      <c r="M25" s="178" t="str">
        <f t="shared" si="12"/>
        <v/>
      </c>
      <c r="N25" s="59" t="str">
        <f ca="1">"IBNR Estimate =  "&amp;FIXED(+L47/SUM(C11:C13)*3,2,TRUE)&amp;"  Months"</f>
        <v>IBNR Estimate =  1.74  Months</v>
      </c>
      <c r="Q25" s="219"/>
      <c r="R25" s="66"/>
      <c r="S25" s="66"/>
      <c r="T25" s="66"/>
      <c r="U25" s="115">
        <f t="shared" si="3"/>
        <v>44927</v>
      </c>
      <c r="V25" s="53"/>
      <c r="W25" s="116"/>
      <c r="X25" s="116">
        <f>Data!$BO22</f>
        <v>4620382.2943228586</v>
      </c>
      <c r="Y25" s="53">
        <f ca="1">SUM(X$11:X25)</f>
        <v>85067687.816901207</v>
      </c>
      <c r="Z25" s="66"/>
      <c r="AA25" s="610">
        <f t="shared" si="0"/>
        <v>45260</v>
      </c>
      <c r="AB25" s="51">
        <f ca="1">$Y14</f>
        <v>24886291</v>
      </c>
      <c r="AC25" s="51">
        <f>SUM(Data!AI$142:'Data'!$AL$142)</f>
        <v>22739074.849999975</v>
      </c>
      <c r="AD25" s="43">
        <f t="shared" ca="1" si="5"/>
        <v>8990484.5053594876</v>
      </c>
      <c r="AE25" s="43">
        <f ca="1">AE26-L14</f>
        <v>1794491.4153595068</v>
      </c>
      <c r="AF25" s="43">
        <f t="shared" ca="1" si="6"/>
        <v>7195993.0899999812</v>
      </c>
      <c r="AH25" s="1" t="s">
        <v>432</v>
      </c>
      <c r="AM25" s="1"/>
    </row>
    <row r="26" spans="1:41" ht="11.1" customHeight="1" x14ac:dyDescent="0.2">
      <c r="A26" s="52">
        <f>Data!$AN23</f>
        <v>44896</v>
      </c>
      <c r="B26" s="35">
        <f>+Data!AO23</f>
        <v>128156</v>
      </c>
      <c r="C26" s="53">
        <f t="shared" si="7"/>
        <v>5120495.1487528142</v>
      </c>
      <c r="D26" s="53">
        <f>-Data!BZ23</f>
        <v>0</v>
      </c>
      <c r="E26" s="53">
        <f t="shared" si="8"/>
        <v>5120495.1487528142</v>
      </c>
      <c r="F26" s="54">
        <f t="shared" si="9"/>
        <v>39.955172982558864</v>
      </c>
      <c r="G26" s="30"/>
      <c r="H26" s="53">
        <f>+Data!$CA23</f>
        <v>5081907.6000000248</v>
      </c>
      <c r="I26" s="30"/>
      <c r="J26" s="55">
        <f t="shared" si="10"/>
        <v>0.99246409817179726</v>
      </c>
      <c r="K26" s="30"/>
      <c r="L26" s="53">
        <f t="shared" si="11"/>
        <v>38587.548752789386</v>
      </c>
      <c r="M26" s="178" t="str">
        <f t="shared" si="12"/>
        <v/>
      </c>
      <c r="N26" t="s">
        <v>103</v>
      </c>
      <c r="Q26" s="219"/>
      <c r="R26" s="66"/>
      <c r="S26" s="66"/>
      <c r="T26" s="66"/>
      <c r="U26" s="115">
        <f t="shared" si="3"/>
        <v>44896</v>
      </c>
      <c r="V26" s="53"/>
      <c r="W26" s="116"/>
      <c r="X26" s="116">
        <f>Data!$BO23</f>
        <v>5120495.1487528142</v>
      </c>
      <c r="Y26" s="53">
        <f ca="1">SUM(X$11:X26)</f>
        <v>90188182.965654016</v>
      </c>
      <c r="Z26" s="66"/>
      <c r="AA26" s="610">
        <f t="shared" si="0"/>
        <v>45291</v>
      </c>
      <c r="AB26" s="51">
        <f ca="1">$Y13</f>
        <v>19183227</v>
      </c>
      <c r="AC26" s="51">
        <f>SUM(Data!AJ$142:'Data'!$AL$142)</f>
        <v>16961156.869999994</v>
      </c>
      <c r="AD26" s="43">
        <f t="shared" ca="1" si="5"/>
        <v>8915630.5253595058</v>
      </c>
      <c r="AE26" s="43">
        <f ca="1">AE27-L13</f>
        <v>2202967.0453595095</v>
      </c>
      <c r="AF26" s="43">
        <f t="shared" ca="1" si="6"/>
        <v>6712663.4799999967</v>
      </c>
      <c r="AH26" s="1" t="s">
        <v>433</v>
      </c>
    </row>
    <row r="27" spans="1:41" ht="11.1" customHeight="1" x14ac:dyDescent="0.2">
      <c r="A27" s="52">
        <f>Data!$AN24</f>
        <v>44866</v>
      </c>
      <c r="B27" s="35">
        <f>+Data!AO24</f>
        <v>128447</v>
      </c>
      <c r="C27" s="53">
        <f t="shared" si="7"/>
        <v>5047051.0525426669</v>
      </c>
      <c r="D27" s="53">
        <f>-Data!BZ24</f>
        <v>0</v>
      </c>
      <c r="E27" s="53">
        <f t="shared" si="8"/>
        <v>5047051.0525426669</v>
      </c>
      <c r="F27" s="54">
        <f t="shared" si="9"/>
        <v>39.292868284527216</v>
      </c>
      <c r="G27" s="30"/>
      <c r="H27" s="53">
        <f>+Data!$CA24</f>
        <v>5011832.2300000172</v>
      </c>
      <c r="I27" s="30"/>
      <c r="J27" s="55">
        <f t="shared" si="10"/>
        <v>0.99302190087320263</v>
      </c>
      <c r="K27" s="30"/>
      <c r="L27" s="53">
        <f t="shared" si="11"/>
        <v>35218.822542649694</v>
      </c>
      <c r="M27" s="178" t="str">
        <f t="shared" si="12"/>
        <v/>
      </c>
      <c r="N27" t="s">
        <v>104</v>
      </c>
      <c r="Q27" s="219"/>
      <c r="R27" s="66"/>
      <c r="S27" s="66"/>
      <c r="T27" s="66"/>
      <c r="U27" s="115">
        <f t="shared" si="3"/>
        <v>44866</v>
      </c>
      <c r="V27" s="53"/>
      <c r="W27" s="116"/>
      <c r="X27" s="116">
        <f>Data!$BO24</f>
        <v>5047051.0525426669</v>
      </c>
      <c r="Y27" s="53">
        <f ca="1">SUM(X$11:X27)</f>
        <v>95235234.018196687</v>
      </c>
      <c r="Z27" s="66"/>
      <c r="AA27" s="610">
        <f t="shared" si="0"/>
        <v>45322</v>
      </c>
      <c r="AB27" s="51">
        <f ca="1">$Y12</f>
        <v>13080432</v>
      </c>
      <c r="AC27" s="51">
        <f>SUM(Data!AK$142:'Data'!$AL$142)</f>
        <v>11037818.369999995</v>
      </c>
      <c r="AD27" s="43">
        <f t="shared" ca="1" si="5"/>
        <v>9095087.0253595077</v>
      </c>
      <c r="AE27" s="43">
        <f ca="1">AE28-L12</f>
        <v>3131600.7753595184</v>
      </c>
      <c r="AF27" s="43">
        <f t="shared" ca="1" si="6"/>
        <v>5963486.2499999888</v>
      </c>
    </row>
    <row r="28" spans="1:41" ht="11.1" customHeight="1" x14ac:dyDescent="0.2">
      <c r="A28" s="52">
        <f>Data!$AN25</f>
        <v>44835</v>
      </c>
      <c r="B28" s="35">
        <f>+Data!AO25</f>
        <v>128887</v>
      </c>
      <c r="C28" s="53">
        <f t="shared" si="7"/>
        <v>5346516.4463065388</v>
      </c>
      <c r="D28" s="53">
        <f>-Data!BZ25</f>
        <v>0</v>
      </c>
      <c r="E28" s="53">
        <f t="shared" si="8"/>
        <v>5346516.4463065388</v>
      </c>
      <c r="F28" s="54">
        <f t="shared" si="9"/>
        <v>41.482201046704006</v>
      </c>
      <c r="G28" s="30"/>
      <c r="H28" s="53">
        <f>+Data!$CA25</f>
        <v>5314346.360000018</v>
      </c>
      <c r="I28" s="30"/>
      <c r="J28" s="55">
        <f t="shared" si="10"/>
        <v>0.99398298188557066</v>
      </c>
      <c r="K28" s="30"/>
      <c r="L28" s="53">
        <f t="shared" si="11"/>
        <v>32170.086306520738</v>
      </c>
      <c r="M28" s="178" t="str">
        <f t="shared" si="12"/>
        <v/>
      </c>
      <c r="Q28" s="219"/>
      <c r="R28" s="66"/>
      <c r="S28" s="66"/>
      <c r="T28" s="66"/>
      <c r="U28" s="115">
        <f t="shared" si="3"/>
        <v>44835</v>
      </c>
      <c r="V28" s="53"/>
      <c r="W28" s="116"/>
      <c r="X28" s="116">
        <f>Data!$BO25</f>
        <v>5346516.4463065388</v>
      </c>
      <c r="Y28" s="53">
        <f ca="1">SUM(X$11:X28)</f>
        <v>100581750.46450323</v>
      </c>
      <c r="Z28" s="66"/>
      <c r="AA28" s="610">
        <f t="shared" ref="AA28" si="14">DATE(YEAR(AA29),MONTH(AA29),1)-1</f>
        <v>45351</v>
      </c>
      <c r="AB28" s="51">
        <f ca="1">$Y11</f>
        <v>6901567</v>
      </c>
      <c r="AC28" s="51">
        <f>Data!$AL$142</f>
        <v>5452454.4600000046</v>
      </c>
      <c r="AD28" s="43">
        <f ca="1">$L$47-AB28+AC28</f>
        <v>9688588.1153595168</v>
      </c>
      <c r="AE28" s="43">
        <f ca="1">AE29-L11</f>
        <v>5393266.8953595115</v>
      </c>
      <c r="AF28" s="43">
        <f t="shared" ca="1" si="6"/>
        <v>4295321.2200000053</v>
      </c>
      <c r="AH28" t="s">
        <v>428</v>
      </c>
      <c r="AI28" s="178">
        <v>1</v>
      </c>
      <c r="AL28" s="3"/>
      <c r="AM28" s="3"/>
    </row>
    <row r="29" spans="1:41" ht="11.1" customHeight="1" x14ac:dyDescent="0.2">
      <c r="A29" s="52">
        <f>Data!$AN26</f>
        <v>44805</v>
      </c>
      <c r="B29" s="35">
        <f>+Data!AO26</f>
        <v>129309</v>
      </c>
      <c r="C29" s="53">
        <f t="shared" si="7"/>
        <v>5274149.7107594796</v>
      </c>
      <c r="D29" s="53">
        <f>-Data!BZ26</f>
        <v>0</v>
      </c>
      <c r="E29" s="53">
        <f t="shared" ref="E29:E46" si="15">C29+D29</f>
        <v>5274149.7107594796</v>
      </c>
      <c r="F29" s="54">
        <f t="shared" ref="F29:F46" si="16">IF(B29=0,0,E29/B29)</f>
        <v>40.787181949898923</v>
      </c>
      <c r="G29" s="30"/>
      <c r="H29" s="53">
        <f>+Data!$CA26</f>
        <v>5247006.4900000235</v>
      </c>
      <c r="I29" s="30"/>
      <c r="J29" s="55">
        <f t="shared" si="10"/>
        <v>0.99485353616260019</v>
      </c>
      <c r="K29" s="30"/>
      <c r="L29" s="53">
        <f t="shared" si="11"/>
        <v>27143.220759456046</v>
      </c>
      <c r="M29" s="178"/>
      <c r="N29" s="193"/>
      <c r="O29" s="445" t="s">
        <v>1060</v>
      </c>
      <c r="P29" s="196"/>
      <c r="Q29" s="219"/>
      <c r="R29" s="66"/>
      <c r="S29" s="66"/>
      <c r="T29" s="66"/>
      <c r="U29" s="115">
        <f t="shared" ref="U29:U44" si="17">A29</f>
        <v>44805</v>
      </c>
      <c r="V29" s="53"/>
      <c r="W29" s="116"/>
      <c r="X29" s="116">
        <f>Data!$BO26</f>
        <v>5274149.7107594796</v>
      </c>
      <c r="Y29" s="53">
        <f ca="1">SUM(X$11:X29)</f>
        <v>105855900.1752627</v>
      </c>
      <c r="Z29" s="66"/>
      <c r="AA29" s="100">
        <f>C3</f>
        <v>45382</v>
      </c>
      <c r="AD29" s="43">
        <f ca="1">L47</f>
        <v>11137700.655359512</v>
      </c>
      <c r="AE29" s="43">
        <f ca="1">L47</f>
        <v>11137700.655359512</v>
      </c>
      <c r="AF29" s="43">
        <f t="shared" ca="1" si="6"/>
        <v>0</v>
      </c>
      <c r="AH29" t="s">
        <v>431</v>
      </c>
      <c r="AI29" s="46">
        <f>AI28</f>
        <v>1</v>
      </c>
      <c r="AJ29" t="str">
        <f>CHOOSE(AI28,AH25,AH26)</f>
        <v>PMPM Method for Initial Estimate</v>
      </c>
      <c r="AL29" s="3"/>
      <c r="AM29" s="3"/>
    </row>
    <row r="30" spans="1:41" ht="11.1" customHeight="1" x14ac:dyDescent="0.2">
      <c r="A30" s="52">
        <f>Data!$AN27</f>
        <v>44774</v>
      </c>
      <c r="B30" s="35">
        <f>+Data!AO27</f>
        <v>130970</v>
      </c>
      <c r="C30" s="53">
        <f t="shared" si="7"/>
        <v>5856107.2622254128</v>
      </c>
      <c r="D30" s="53">
        <f>-Data!BZ27</f>
        <v>0</v>
      </c>
      <c r="E30" s="53">
        <f t="shared" si="15"/>
        <v>5856107.2622254128</v>
      </c>
      <c r="F30" s="54">
        <f t="shared" si="16"/>
        <v>44.71334857009554</v>
      </c>
      <c r="G30" s="30"/>
      <c r="H30" s="53">
        <f>+Data!$CA27</f>
        <v>5828321.8600000264</v>
      </c>
      <c r="I30" s="30"/>
      <c r="J30" s="55">
        <f t="shared" si="10"/>
        <v>0.99525531193654615</v>
      </c>
      <c r="K30" s="30"/>
      <c r="L30" s="53">
        <f t="shared" si="11"/>
        <v>27785.402225386351</v>
      </c>
      <c r="M30" s="178"/>
      <c r="N30" s="197"/>
      <c r="O30" s="254" t="s">
        <v>872</v>
      </c>
      <c r="P30" s="200"/>
      <c r="Q30" s="219"/>
      <c r="R30" s="66"/>
      <c r="S30" s="66"/>
      <c r="T30" s="66"/>
      <c r="U30" s="115">
        <f t="shared" si="17"/>
        <v>44774</v>
      </c>
      <c r="V30" s="53"/>
      <c r="W30" s="116"/>
      <c r="X30" s="116">
        <f>Data!$BO27</f>
        <v>5856107.2622254128</v>
      </c>
      <c r="Y30" s="53">
        <f ca="1">SUM(X$11:X30)</f>
        <v>111712007.43748812</v>
      </c>
      <c r="Z30" s="66"/>
      <c r="AA30" s="609">
        <f>1+AA29</f>
        <v>45383</v>
      </c>
      <c r="AD30" s="43" t="e">
        <f>NA()</f>
        <v>#N/A</v>
      </c>
      <c r="AE30" s="43" t="e">
        <f>NA()</f>
        <v>#N/A</v>
      </c>
      <c r="AF30" s="43" t="e">
        <f>NA()</f>
        <v>#N/A</v>
      </c>
      <c r="AL30" s="3"/>
      <c r="AM30" s="3"/>
    </row>
    <row r="31" spans="1:41" ht="11.1" customHeight="1" x14ac:dyDescent="0.2">
      <c r="A31" s="52">
        <f>Data!$AN28</f>
        <v>44743</v>
      </c>
      <c r="B31" s="35">
        <f>+Data!AO28</f>
        <v>131723</v>
      </c>
      <c r="C31" s="53">
        <f t="shared" si="7"/>
        <v>5003656.6841914151</v>
      </c>
      <c r="D31" s="53">
        <f>-Data!BZ28</f>
        <v>0</v>
      </c>
      <c r="E31" s="53">
        <f t="shared" si="15"/>
        <v>5003656.6841914151</v>
      </c>
      <c r="F31" s="54">
        <f t="shared" si="16"/>
        <v>37.986203504258292</v>
      </c>
      <c r="G31" s="30"/>
      <c r="H31" s="53">
        <f>+Data!$CA28</f>
        <v>4982746.6900000153</v>
      </c>
      <c r="I31" s="30"/>
      <c r="J31" s="55">
        <f t="shared" si="10"/>
        <v>0.9958210573764058</v>
      </c>
      <c r="K31" s="30"/>
      <c r="L31" s="53">
        <f t="shared" si="11"/>
        <v>20909.994191399775</v>
      </c>
      <c r="M31" s="178"/>
      <c r="N31" s="203"/>
      <c r="O31" s="98" t="s">
        <v>408</v>
      </c>
      <c r="P31" s="204"/>
      <c r="Q31" s="219"/>
      <c r="R31" s="66"/>
      <c r="S31" s="66"/>
      <c r="T31" s="66"/>
      <c r="U31" s="115">
        <f t="shared" si="17"/>
        <v>44743</v>
      </c>
      <c r="V31" s="53"/>
      <c r="W31" s="116"/>
      <c r="X31" s="116">
        <f>Data!$BO28</f>
        <v>5003656.6841914151</v>
      </c>
      <c r="Y31" s="53">
        <f ca="1">SUM(X$11:X31)</f>
        <v>116715664.12167954</v>
      </c>
      <c r="Z31" s="66"/>
      <c r="AH31" s="9" t="s">
        <v>436</v>
      </c>
      <c r="AI31" s="11"/>
      <c r="AL31" s="3"/>
      <c r="AM31" s="3"/>
    </row>
    <row r="32" spans="1:41" ht="11.1" customHeight="1" x14ac:dyDescent="0.2">
      <c r="A32" s="52">
        <f>Data!$AN29</f>
        <v>44713</v>
      </c>
      <c r="B32" s="35">
        <f>+Data!AO29</f>
        <v>131777</v>
      </c>
      <c r="C32" s="53">
        <f t="shared" si="7"/>
        <v>5190331.2046734244</v>
      </c>
      <c r="D32" s="53">
        <f>-Data!BZ29</f>
        <v>0</v>
      </c>
      <c r="E32" s="53">
        <f t="shared" si="15"/>
        <v>5190331.2046734244</v>
      </c>
      <c r="F32" s="54">
        <f t="shared" si="16"/>
        <v>39.387231494672243</v>
      </c>
      <c r="G32" s="30"/>
      <c r="H32" s="53">
        <f>+Data!$CA29</f>
        <v>5173808.2900000196</v>
      </c>
      <c r="I32" s="30"/>
      <c r="J32" s="55">
        <f t="shared" si="10"/>
        <v>0.99681659724170835</v>
      </c>
      <c r="K32" s="30"/>
      <c r="L32" s="53">
        <f t="shared" si="11"/>
        <v>16522.914673404768</v>
      </c>
      <c r="M32" s="178"/>
      <c r="Q32" s="219"/>
      <c r="R32" s="66"/>
      <c r="S32" s="66"/>
      <c r="T32" s="66"/>
      <c r="U32" s="115">
        <f t="shared" si="17"/>
        <v>44713</v>
      </c>
      <c r="V32" s="53"/>
      <c r="W32" s="116"/>
      <c r="X32" s="116">
        <f>Data!$BO29</f>
        <v>5190331.2046734244</v>
      </c>
      <c r="Y32" s="53">
        <f ca="1">SUM(X$11:X32)</f>
        <v>121905995.32635297</v>
      </c>
      <c r="Z32" s="66"/>
      <c r="AH32" t="s">
        <v>437</v>
      </c>
    </row>
    <row r="33" spans="1:39" ht="11.1" customHeight="1" x14ac:dyDescent="0.2">
      <c r="A33" s="52">
        <f>Data!$AN30</f>
        <v>44682</v>
      </c>
      <c r="B33" s="35">
        <f>+Data!AO30</f>
        <v>132389</v>
      </c>
      <c r="C33" s="53">
        <f t="shared" si="7"/>
        <v>5192428.6033042753</v>
      </c>
      <c r="D33" s="53">
        <f>-Data!BZ30</f>
        <v>0</v>
      </c>
      <c r="E33" s="53">
        <f t="shared" si="15"/>
        <v>5192428.6033042753</v>
      </c>
      <c r="F33" s="54">
        <f t="shared" si="16"/>
        <v>39.220997237718201</v>
      </c>
      <c r="G33" s="30"/>
      <c r="H33" s="53">
        <f>+Data!$CA30</f>
        <v>5184205.140000008</v>
      </c>
      <c r="I33" s="30"/>
      <c r="J33" s="55">
        <f t="shared" si="10"/>
        <v>0.99841625876203011</v>
      </c>
      <c r="K33" s="30"/>
      <c r="L33" s="53">
        <f t="shared" si="11"/>
        <v>8223.4633042672649</v>
      </c>
      <c r="M33" s="178"/>
      <c r="Q33" s="219"/>
      <c r="R33" s="66"/>
      <c r="S33" s="66"/>
      <c r="T33" s="66"/>
      <c r="U33" s="115">
        <f t="shared" si="17"/>
        <v>44682</v>
      </c>
      <c r="V33" s="53"/>
      <c r="W33" s="116"/>
      <c r="X33" s="116">
        <f>Data!$BO30</f>
        <v>5192428.6033042753</v>
      </c>
      <c r="Y33" s="53">
        <f ca="1">SUM(X$11:X33)</f>
        <v>127098423.92965725</v>
      </c>
      <c r="Z33" s="66"/>
      <c r="AH33" t="s">
        <v>438</v>
      </c>
    </row>
    <row r="34" spans="1:39" ht="11.1" customHeight="1" x14ac:dyDescent="0.2">
      <c r="A34" s="52">
        <f>Data!$AN31</f>
        <v>44652</v>
      </c>
      <c r="B34" s="35">
        <f>+Data!AO31</f>
        <v>132272</v>
      </c>
      <c r="C34" s="53">
        <f t="shared" si="7"/>
        <v>4954750.1166342366</v>
      </c>
      <c r="D34" s="53">
        <f>-Data!BZ31</f>
        <v>0</v>
      </c>
      <c r="E34" s="53">
        <f t="shared" si="15"/>
        <v>4954750.1166342366</v>
      </c>
      <c r="F34" s="54">
        <f t="shared" si="16"/>
        <v>37.458797906089245</v>
      </c>
      <c r="G34" s="30"/>
      <c r="H34" s="53">
        <f>+Data!$CA31</f>
        <v>4947613.3400000166</v>
      </c>
      <c r="I34" s="30"/>
      <c r="J34" s="55">
        <f t="shared" si="10"/>
        <v>0.99855960916974196</v>
      </c>
      <c r="K34" s="30"/>
      <c r="L34" s="53">
        <f t="shared" si="11"/>
        <v>7136.7766342200339</v>
      </c>
      <c r="M34" s="178"/>
      <c r="Q34" s="219"/>
      <c r="R34" s="66"/>
      <c r="S34" s="66"/>
      <c r="T34" s="66"/>
      <c r="U34" s="115">
        <f t="shared" si="17"/>
        <v>44652</v>
      </c>
      <c r="V34" s="53"/>
      <c r="W34" s="116"/>
      <c r="X34" s="116">
        <f>Data!$BO31</f>
        <v>4954750.1166342366</v>
      </c>
      <c r="Y34" s="53">
        <f ca="1">SUM(X$11:X34)</f>
        <v>132053174.04629149</v>
      </c>
      <c r="Z34" s="66"/>
      <c r="AH34" t="s">
        <v>439</v>
      </c>
    </row>
    <row r="35" spans="1:39" ht="11.1" customHeight="1" x14ac:dyDescent="0.2">
      <c r="A35" s="52">
        <f>Data!$AN32</f>
        <v>44621</v>
      </c>
      <c r="B35" s="35">
        <f>+Data!AO32</f>
        <v>131999</v>
      </c>
      <c r="C35" s="53">
        <f t="shared" si="7"/>
        <v>5154050.0130951665</v>
      </c>
      <c r="D35" s="53">
        <f>-Data!BZ32</f>
        <v>0</v>
      </c>
      <c r="E35" s="53">
        <f t="shared" si="15"/>
        <v>5154050.0130951665</v>
      </c>
      <c r="F35" s="54">
        <f t="shared" si="16"/>
        <v>39.046129236548509</v>
      </c>
      <c r="G35" s="30"/>
      <c r="H35" s="53">
        <f>+Data!$CA32</f>
        <v>5147624.0600000061</v>
      </c>
      <c r="I35" s="30"/>
      <c r="J35" s="55">
        <f t="shared" si="10"/>
        <v>0.99875322259604904</v>
      </c>
      <c r="K35" s="30"/>
      <c r="L35" s="53">
        <f t="shared" si="11"/>
        <v>6425.9530951604247</v>
      </c>
      <c r="M35" s="178"/>
      <c r="Q35" s="219"/>
      <c r="R35" s="66"/>
      <c r="S35" s="66"/>
      <c r="T35" s="66"/>
      <c r="U35" s="115">
        <f t="shared" si="17"/>
        <v>44621</v>
      </c>
      <c r="V35" s="53"/>
      <c r="W35" s="116"/>
      <c r="X35" s="116">
        <f>Data!$BO32</f>
        <v>5154050.0130951665</v>
      </c>
      <c r="Y35" s="53">
        <f ca="1">SUM(X$11:X35)</f>
        <v>137207224.05938664</v>
      </c>
      <c r="Z35" s="66"/>
      <c r="AH35" s="1" t="s">
        <v>650</v>
      </c>
      <c r="AM35" s="1"/>
    </row>
    <row r="36" spans="1:39" ht="11.1" customHeight="1" x14ac:dyDescent="0.2">
      <c r="A36" s="52">
        <f>Data!$AN33</f>
        <v>44593</v>
      </c>
      <c r="B36" s="35">
        <f>+Data!AO33</f>
        <v>132944</v>
      </c>
      <c r="C36" s="53">
        <f t="shared" si="7"/>
        <v>4143877.1564043867</v>
      </c>
      <c r="D36" s="53">
        <f>-Data!BZ33</f>
        <v>0</v>
      </c>
      <c r="E36" s="53">
        <f t="shared" si="15"/>
        <v>4143877.1564043867</v>
      </c>
      <c r="F36" s="54">
        <f t="shared" si="16"/>
        <v>31.17009535145916</v>
      </c>
      <c r="G36" s="30"/>
      <c r="H36" s="53">
        <f>+Data!$CA33</f>
        <v>4139015.1400000034</v>
      </c>
      <c r="I36" s="30"/>
      <c r="J36" s="55">
        <f t="shared" si="10"/>
        <v>0.99882669871213026</v>
      </c>
      <c r="K36" s="30"/>
      <c r="L36" s="53">
        <f t="shared" si="11"/>
        <v>4862.0164043833502</v>
      </c>
      <c r="M36" s="178"/>
      <c r="Q36" s="219"/>
      <c r="R36" s="66"/>
      <c r="S36" s="66"/>
      <c r="T36" s="66"/>
      <c r="U36" s="115">
        <f t="shared" si="17"/>
        <v>44593</v>
      </c>
      <c r="V36" s="53"/>
      <c r="W36" s="116"/>
      <c r="X36" s="116">
        <f>Data!$BO33</f>
        <v>4143877.1564043867</v>
      </c>
      <c r="Y36" s="53">
        <f ca="1">SUM(X$11:X36)</f>
        <v>141351101.21579102</v>
      </c>
      <c r="Z36" s="66"/>
      <c r="AI36" s="178"/>
      <c r="AL36" s="3"/>
      <c r="AM36" s="3"/>
    </row>
    <row r="37" spans="1:39" ht="11.1" customHeight="1" x14ac:dyDescent="0.2">
      <c r="A37" s="52">
        <f>Data!$AN34</f>
        <v>44562</v>
      </c>
      <c r="B37" s="35">
        <f>+Data!AO34</f>
        <v>129231</v>
      </c>
      <c r="C37" s="53">
        <f t="shared" si="7"/>
        <v>4237746.0763013521</v>
      </c>
      <c r="D37" s="53">
        <f>-Data!BZ34</f>
        <v>0</v>
      </c>
      <c r="E37" s="53">
        <f t="shared" si="15"/>
        <v>4237746.0763013521</v>
      </c>
      <c r="F37" s="54">
        <f t="shared" si="16"/>
        <v>32.792024176098245</v>
      </c>
      <c r="G37" s="30"/>
      <c r="H37" s="53">
        <f>+Data!$CA34</f>
        <v>4233060.1300000073</v>
      </c>
      <c r="I37" s="30"/>
      <c r="J37" s="55">
        <f t="shared" si="10"/>
        <v>0.99889423617720985</v>
      </c>
      <c r="K37" s="30"/>
      <c r="L37" s="53">
        <f t="shared" si="11"/>
        <v>4685.9463013447821</v>
      </c>
      <c r="M37" s="178"/>
      <c r="Q37" s="219"/>
      <c r="R37" s="66"/>
      <c r="S37" s="66"/>
      <c r="T37" s="66"/>
      <c r="U37" s="115">
        <f t="shared" si="17"/>
        <v>44562</v>
      </c>
      <c r="V37" s="53"/>
      <c r="W37" s="116"/>
      <c r="X37" s="116">
        <f>Data!$BO34</f>
        <v>4237746.0763013521</v>
      </c>
      <c r="Y37" s="53">
        <f ca="1">SUM(X$11:X37)</f>
        <v>145588847.29209238</v>
      </c>
      <c r="Z37" s="66"/>
      <c r="AH37" t="s">
        <v>428</v>
      </c>
      <c r="AI37" s="178">
        <v>1</v>
      </c>
      <c r="AL37" s="181"/>
      <c r="AM37" s="181"/>
    </row>
    <row r="38" spans="1:39" ht="11.1" customHeight="1" x14ac:dyDescent="0.2">
      <c r="A38" s="52">
        <f>Data!$AN35</f>
        <v>44531</v>
      </c>
      <c r="B38" s="35">
        <f>+Data!AO35</f>
        <v>110175</v>
      </c>
      <c r="C38" s="53">
        <f t="shared" si="7"/>
        <v>5395061.2713707471</v>
      </c>
      <c r="D38" s="53">
        <f>-Data!BZ35</f>
        <v>0</v>
      </c>
      <c r="E38" s="53">
        <f t="shared" si="15"/>
        <v>5395061.2713707471</v>
      </c>
      <c r="F38" s="54">
        <f t="shared" si="16"/>
        <v>48.96810775013158</v>
      </c>
      <c r="G38" s="30"/>
      <c r="H38" s="53">
        <f>+Data!$CA35</f>
        <v>5389396.6899999995</v>
      </c>
      <c r="I38" s="30"/>
      <c r="J38" s="55">
        <f t="shared" si="10"/>
        <v>0.99895004318100944</v>
      </c>
      <c r="K38" s="30"/>
      <c r="L38" s="53">
        <f t="shared" si="11"/>
        <v>5664.5813707476482</v>
      </c>
      <c r="M38" s="178"/>
      <c r="Q38" s="219"/>
      <c r="R38" s="66"/>
      <c r="S38" s="66"/>
      <c r="T38" s="66"/>
      <c r="U38" s="115">
        <f t="shared" si="17"/>
        <v>44531</v>
      </c>
      <c r="V38" s="53"/>
      <c r="W38" s="116"/>
      <c r="X38" s="116">
        <f>Data!$BO35</f>
        <v>5395061.2713707471</v>
      </c>
      <c r="Y38" s="53">
        <f ca="1">SUM(X$11:X38)</f>
        <v>150983908.56346312</v>
      </c>
      <c r="Z38" s="66"/>
      <c r="AI38" s="178"/>
      <c r="AL38" s="3"/>
      <c r="AM38" s="3"/>
    </row>
    <row r="39" spans="1:39" ht="11.1" customHeight="1" x14ac:dyDescent="0.2">
      <c r="A39" s="52">
        <f>Data!$AN36</f>
        <v>44501</v>
      </c>
      <c r="B39" s="35">
        <f>+Data!AO36</f>
        <v>108297</v>
      </c>
      <c r="C39" s="53">
        <f t="shared" si="7"/>
        <v>5114575.4109997768</v>
      </c>
      <c r="D39" s="53">
        <f>-Data!BZ36</f>
        <v>0</v>
      </c>
      <c r="E39" s="53">
        <f t="shared" si="15"/>
        <v>5114575.4109997768</v>
      </c>
      <c r="F39" s="54">
        <f t="shared" si="16"/>
        <v>47.227304643709218</v>
      </c>
      <c r="G39" s="30"/>
      <c r="H39" s="53">
        <f>+Data!$CA36</f>
        <v>5109764.6199999982</v>
      </c>
      <c r="I39" s="30"/>
      <c r="J39" s="55">
        <f t="shared" si="10"/>
        <v>0.99905939582209857</v>
      </c>
      <c r="K39" s="30"/>
      <c r="L39" s="53">
        <f t="shared" si="11"/>
        <v>4810.7909997785464</v>
      </c>
      <c r="M39" s="178"/>
      <c r="Q39" s="219"/>
      <c r="R39" s="66"/>
      <c r="S39" s="66"/>
      <c r="T39" s="66"/>
      <c r="U39" s="115">
        <f t="shared" si="17"/>
        <v>44501</v>
      </c>
      <c r="V39" s="53"/>
      <c r="W39" s="116"/>
      <c r="X39" s="116">
        <f>Data!$BO36</f>
        <v>5114575.4109997768</v>
      </c>
      <c r="Y39" s="53">
        <f ca="1">SUM(X$11:X39)</f>
        <v>156098483.9744629</v>
      </c>
      <c r="Z39" s="66"/>
      <c r="AI39" s="178"/>
      <c r="AL39" s="3"/>
      <c r="AM39" s="3"/>
    </row>
    <row r="40" spans="1:39" ht="11.1" customHeight="1" x14ac:dyDescent="0.2">
      <c r="A40" s="52">
        <f>Data!$AN37</f>
        <v>44470</v>
      </c>
      <c r="B40" s="35">
        <f>+Data!AO37</f>
        <v>107747</v>
      </c>
      <c r="C40" s="53">
        <f t="shared" si="7"/>
        <v>5131141.1637510406</v>
      </c>
      <c r="D40" s="53">
        <f>-Data!BZ37</f>
        <v>0</v>
      </c>
      <c r="E40" s="53">
        <f t="shared" si="15"/>
        <v>5131141.1637510406</v>
      </c>
      <c r="F40" s="54">
        <f t="shared" si="16"/>
        <v>47.622125569631088</v>
      </c>
      <c r="G40" s="30"/>
      <c r="H40" s="53">
        <f>+Data!$CA37</f>
        <v>5127093.0199999968</v>
      </c>
      <c r="I40" s="30"/>
      <c r="J40" s="55">
        <f t="shared" si="10"/>
        <v>0.99921106365585066</v>
      </c>
      <c r="K40" s="30"/>
      <c r="L40" s="53">
        <f t="shared" si="11"/>
        <v>4048.1437510438263</v>
      </c>
      <c r="M40" s="178"/>
      <c r="Q40" s="219"/>
      <c r="R40" s="66"/>
      <c r="S40" s="66"/>
      <c r="T40" s="66"/>
      <c r="U40" s="115">
        <f t="shared" si="17"/>
        <v>44470</v>
      </c>
      <c r="V40" s="53"/>
      <c r="W40" s="116"/>
      <c r="X40" s="116">
        <f>Data!$BO37</f>
        <v>5131141.1637510406</v>
      </c>
      <c r="Y40" s="53">
        <f ca="1">SUM(X$11:X40)</f>
        <v>161229625.13821393</v>
      </c>
      <c r="Z40" s="66"/>
      <c r="AI40" s="178"/>
      <c r="AL40" s="3"/>
      <c r="AM40" s="3"/>
    </row>
    <row r="41" spans="1:39" ht="11.1" customHeight="1" x14ac:dyDescent="0.2">
      <c r="A41" s="52">
        <f>Data!$AN38</f>
        <v>44440</v>
      </c>
      <c r="B41" s="35">
        <f>+Data!AO38</f>
        <v>107756</v>
      </c>
      <c r="C41" s="53">
        <f t="shared" si="7"/>
        <v>4982399.3777596075</v>
      </c>
      <c r="D41" s="53">
        <f>-Data!BZ38</f>
        <v>0</v>
      </c>
      <c r="E41" s="53">
        <f t="shared" si="15"/>
        <v>4982399.3777596075</v>
      </c>
      <c r="F41" s="54">
        <f t="shared" si="16"/>
        <v>46.237790728679677</v>
      </c>
      <c r="G41" s="30"/>
      <c r="H41" s="53">
        <f>+Data!$CA38</f>
        <v>4979252.309999994</v>
      </c>
      <c r="I41" s="30"/>
      <c r="J41" s="55">
        <f t="shared" si="10"/>
        <v>0.99936836300725684</v>
      </c>
      <c r="K41" s="30"/>
      <c r="L41" s="53">
        <f t="shared" si="11"/>
        <v>3147.0677596135065</v>
      </c>
      <c r="M41" s="178"/>
      <c r="Q41" s="219"/>
      <c r="R41" s="66"/>
      <c r="S41" s="66"/>
      <c r="T41" s="66"/>
      <c r="U41" s="115">
        <f t="shared" si="17"/>
        <v>44440</v>
      </c>
      <c r="V41" s="53"/>
      <c r="W41" s="116"/>
      <c r="X41" s="116">
        <f>Data!$BO38</f>
        <v>4982399.3777596075</v>
      </c>
      <c r="Y41" s="53">
        <f ca="1">SUM(X$11:X41)</f>
        <v>166212024.51597354</v>
      </c>
      <c r="Z41" s="66"/>
      <c r="AI41" s="178"/>
      <c r="AL41" s="3"/>
      <c r="AM41" s="3"/>
    </row>
    <row r="42" spans="1:39" ht="11.1" customHeight="1" x14ac:dyDescent="0.2">
      <c r="A42" s="52">
        <f>Data!$AN39</f>
        <v>44409</v>
      </c>
      <c r="B42" s="35">
        <f>+Data!AO39</f>
        <v>107513</v>
      </c>
      <c r="C42" s="53">
        <f t="shared" si="7"/>
        <v>5138973.5657334104</v>
      </c>
      <c r="D42" s="53">
        <f>-Data!BZ39</f>
        <v>0</v>
      </c>
      <c r="E42" s="53">
        <f t="shared" si="15"/>
        <v>5138973.5657334104</v>
      </c>
      <c r="F42" s="54">
        <f t="shared" si="16"/>
        <v>47.798624963803547</v>
      </c>
      <c r="G42" s="30"/>
      <c r="H42" s="53">
        <f>+Data!$CA39</f>
        <v>5136808.9499999993</v>
      </c>
      <c r="I42" s="30"/>
      <c r="J42" s="55">
        <f t="shared" si="10"/>
        <v>0.99957878441954928</v>
      </c>
      <c r="K42" s="30"/>
      <c r="L42" s="53">
        <f t="shared" si="11"/>
        <v>2164.6157334111631</v>
      </c>
      <c r="M42" s="178"/>
      <c r="Q42" s="219"/>
      <c r="R42" s="66"/>
      <c r="S42" s="66"/>
      <c r="T42" s="66"/>
      <c r="U42" s="115">
        <f t="shared" si="17"/>
        <v>44409</v>
      </c>
      <c r="V42" s="53"/>
      <c r="W42" s="116"/>
      <c r="X42" s="116">
        <f>Data!$BO39</f>
        <v>5138973.5657334104</v>
      </c>
      <c r="Y42" s="53">
        <f ca="1">SUM(X$11:X42)</f>
        <v>171350998.08170694</v>
      </c>
      <c r="Z42" s="66"/>
      <c r="AI42" s="178"/>
      <c r="AL42" s="3"/>
      <c r="AM42" s="3"/>
    </row>
    <row r="43" spans="1:39" ht="11.1" customHeight="1" x14ac:dyDescent="0.2">
      <c r="A43" s="52">
        <f>Data!$AN40</f>
        <v>44378</v>
      </c>
      <c r="B43" s="35">
        <f>+Data!AO40</f>
        <v>107241</v>
      </c>
      <c r="C43" s="53">
        <f t="shared" si="7"/>
        <v>4327216.0260074185</v>
      </c>
      <c r="D43" s="53">
        <f>-Data!BZ40</f>
        <v>0</v>
      </c>
      <c r="E43" s="53">
        <f t="shared" si="15"/>
        <v>4327216.0260074185</v>
      </c>
      <c r="F43" s="54">
        <f t="shared" si="16"/>
        <v>40.350388620093234</v>
      </c>
      <c r="G43" s="30"/>
      <c r="H43" s="53">
        <f>+Data!$CA40</f>
        <v>4326591.57</v>
      </c>
      <c r="I43" s="30"/>
      <c r="J43" s="55">
        <f t="shared" si="10"/>
        <v>0.99985569104854832</v>
      </c>
      <c r="K43" s="30"/>
      <c r="L43" s="53">
        <f t="shared" si="11"/>
        <v>624.45600741822273</v>
      </c>
      <c r="M43" s="178"/>
      <c r="Q43" s="219"/>
      <c r="R43" s="66"/>
      <c r="S43" s="66"/>
      <c r="T43" s="66"/>
      <c r="U43" s="115">
        <f t="shared" si="17"/>
        <v>44378</v>
      </c>
      <c r="V43" s="53"/>
      <c r="W43" s="116"/>
      <c r="X43" s="116">
        <f>Data!$BO40</f>
        <v>4327216.0260074185</v>
      </c>
      <c r="Y43" s="53">
        <f ca="1">SUM(X$11:X43)</f>
        <v>175678214.10771435</v>
      </c>
      <c r="Z43" s="66"/>
      <c r="AI43" s="178"/>
      <c r="AL43" s="3"/>
      <c r="AM43" s="3"/>
    </row>
    <row r="44" spans="1:39" ht="11.1" customHeight="1" x14ac:dyDescent="0.2">
      <c r="A44" s="52">
        <f>Data!$AN41</f>
        <v>44348</v>
      </c>
      <c r="B44" s="35">
        <f>+Data!AO41</f>
        <v>107140</v>
      </c>
      <c r="C44" s="53">
        <f t="shared" si="7"/>
        <v>4156017.5334047913</v>
      </c>
      <c r="D44" s="53">
        <f>-Data!BZ41</f>
        <v>0</v>
      </c>
      <c r="E44" s="53">
        <f t="shared" si="15"/>
        <v>4156017.5334047913</v>
      </c>
      <c r="F44" s="54">
        <f t="shared" si="16"/>
        <v>38.790531392615186</v>
      </c>
      <c r="G44" s="30"/>
      <c r="H44" s="53">
        <f>+Data!$CA41</f>
        <v>4155811.3399999961</v>
      </c>
      <c r="I44" s="30"/>
      <c r="J44" s="55">
        <f t="shared" si="10"/>
        <v>0.99995038678178383</v>
      </c>
      <c r="K44" s="30"/>
      <c r="L44" s="53">
        <f t="shared" si="11"/>
        <v>206.1934047951363</v>
      </c>
      <c r="M44" s="178"/>
      <c r="Q44" s="219"/>
      <c r="R44" s="66"/>
      <c r="S44" s="66"/>
      <c r="T44" s="66"/>
      <c r="U44" s="115">
        <f t="shared" si="17"/>
        <v>44348</v>
      </c>
      <c r="V44" s="53"/>
      <c r="W44" s="116"/>
      <c r="X44" s="116">
        <f>Data!$BO41</f>
        <v>4156017.5334047913</v>
      </c>
      <c r="Y44" s="53">
        <f ca="1">SUM(X$11:X44)</f>
        <v>179834231.64111915</v>
      </c>
      <c r="Z44" s="66"/>
      <c r="AI44" s="178"/>
      <c r="AL44" s="3"/>
      <c r="AM44" s="3"/>
    </row>
    <row r="45" spans="1:39" ht="11.1" customHeight="1" x14ac:dyDescent="0.2">
      <c r="A45" s="52">
        <f>Data!$AN42</f>
        <v>44317</v>
      </c>
      <c r="B45" s="35">
        <f>+Data!AO42</f>
        <v>107146</v>
      </c>
      <c r="C45" s="53">
        <f t="shared" si="7"/>
        <v>3920682.8142403895</v>
      </c>
      <c r="D45" s="53">
        <f>-Data!BZ42</f>
        <v>0</v>
      </c>
      <c r="E45" s="53">
        <f t="shared" si="15"/>
        <v>3920682.8142403895</v>
      </c>
      <c r="F45" s="54">
        <f t="shared" si="16"/>
        <v>36.591966235234068</v>
      </c>
      <c r="G45" s="30"/>
      <c r="H45" s="53">
        <f>+Data!$CA42</f>
        <v>3920582.3300000024</v>
      </c>
      <c r="I45" s="30"/>
      <c r="J45" s="55">
        <f t="shared" si="10"/>
        <v>0.99997437072950102</v>
      </c>
      <c r="K45" s="30"/>
      <c r="L45" s="53">
        <f t="shared" si="11"/>
        <v>100.48424038710073</v>
      </c>
      <c r="M45" s="178"/>
      <c r="Q45" s="219"/>
      <c r="R45" s="66"/>
      <c r="S45" s="66"/>
      <c r="T45" s="66"/>
      <c r="U45" s="115">
        <f t="shared" ref="U45:U46" si="18">A45</f>
        <v>44317</v>
      </c>
      <c r="V45" s="53"/>
      <c r="W45" s="116"/>
      <c r="X45" s="116">
        <f>Data!$BO42</f>
        <v>3920682.8142403895</v>
      </c>
      <c r="Y45" s="53">
        <f ca="1">SUM(X$11:X45)</f>
        <v>183754914.45535955</v>
      </c>
      <c r="Z45" s="66"/>
      <c r="AI45" s="178"/>
      <c r="AL45" s="3"/>
      <c r="AM45" s="3"/>
    </row>
    <row r="46" spans="1:39" ht="11.1" customHeight="1" x14ac:dyDescent="0.2">
      <c r="A46" s="52">
        <f>Data!$AN43</f>
        <v>44287</v>
      </c>
      <c r="B46" s="35">
        <f>+Data!AO43</f>
        <v>107101</v>
      </c>
      <c r="C46" s="53">
        <f t="shared" si="7"/>
        <v>3841701.2300000014</v>
      </c>
      <c r="D46" s="53">
        <f>-Data!BZ43</f>
        <v>0</v>
      </c>
      <c r="E46" s="53">
        <f t="shared" si="15"/>
        <v>3841701.2300000014</v>
      </c>
      <c r="F46" s="54">
        <f t="shared" si="16"/>
        <v>35.869891317541402</v>
      </c>
      <c r="G46" s="30"/>
      <c r="H46" s="53">
        <f>+Data!$CA43</f>
        <v>3841701.2300000014</v>
      </c>
      <c r="I46" s="30"/>
      <c r="J46" s="55">
        <f t="shared" si="10"/>
        <v>1</v>
      </c>
      <c r="K46" s="30"/>
      <c r="L46" s="53">
        <f t="shared" si="11"/>
        <v>0</v>
      </c>
      <c r="M46" s="178"/>
      <c r="Q46" s="219"/>
      <c r="R46" s="66"/>
      <c r="S46" s="66"/>
      <c r="T46" s="66"/>
      <c r="U46" s="115">
        <f t="shared" si="18"/>
        <v>44287</v>
      </c>
      <c r="V46" s="53"/>
      <c r="W46" s="116"/>
      <c r="X46" s="116">
        <f>Data!$BO43</f>
        <v>3841701.2300000014</v>
      </c>
      <c r="Y46" s="53">
        <f ca="1">SUM(X$11:X46)</f>
        <v>187596615.68535954</v>
      </c>
      <c r="Z46" s="66"/>
      <c r="AI46" s="178"/>
      <c r="AL46" s="3"/>
      <c r="AM46" s="3"/>
    </row>
    <row r="47" spans="1:39" ht="11.1" customHeight="1" x14ac:dyDescent="0.2">
      <c r="A47" s="30" t="s">
        <v>336</v>
      </c>
      <c r="B47" s="35">
        <f>SUM(B11:B46)</f>
        <v>4679563</v>
      </c>
      <c r="C47" s="30"/>
      <c r="D47" s="30"/>
      <c r="E47" s="30"/>
      <c r="F47" s="30"/>
      <c r="G47" s="30"/>
      <c r="H47" s="30"/>
      <c r="I47" s="30"/>
      <c r="J47" s="30"/>
      <c r="K47" s="30"/>
      <c r="L47" s="53">
        <f ca="1">SUM(L11:L46)</f>
        <v>11137700.655359512</v>
      </c>
      <c r="M47" s="178" t="str">
        <f t="shared" ca="1" si="12"/>
        <v/>
      </c>
    </row>
    <row r="48" spans="1:39" ht="11.25" customHeight="1" x14ac:dyDescent="0.2">
      <c r="A48" s="34" t="str">
        <f>Data!$C$1</f>
        <v>Allied Pacific (APC Commerical)</v>
      </c>
      <c r="C48" s="178"/>
      <c r="L48" s="43"/>
      <c r="M48" s="376" t="s">
        <v>1061</v>
      </c>
      <c r="R48" s="427"/>
      <c r="S48" s="380"/>
      <c r="T48" s="381"/>
      <c r="V48" s="380"/>
      <c r="W48" s="380"/>
      <c r="X48" s="381"/>
    </row>
    <row r="49" spans="1:30" ht="11.25" customHeight="1" x14ac:dyDescent="0.2">
      <c r="A49" s="3" t="s">
        <v>338</v>
      </c>
      <c r="C49" s="178"/>
      <c r="L49" s="43"/>
      <c r="M49" s="178"/>
      <c r="R49" s="380"/>
      <c r="S49" s="428"/>
      <c r="T49" s="381"/>
      <c r="V49" s="380"/>
      <c r="W49" s="380"/>
      <c r="X49" s="381"/>
    </row>
    <row r="50" spans="1:30" ht="11.25" customHeight="1" x14ac:dyDescent="0.2">
      <c r="A50" s="7" t="s">
        <v>124</v>
      </c>
      <c r="B50" s="7"/>
      <c r="C50" s="160">
        <f>DATE([0]!ResYear,[0]!ResMonth+1,1)-1</f>
        <v>45382</v>
      </c>
      <c r="L50" s="43"/>
      <c r="M50" s="178"/>
      <c r="R50" s="427"/>
      <c r="S50" s="380"/>
      <c r="T50" s="381"/>
      <c r="V50" s="380"/>
      <c r="W50" s="383"/>
      <c r="X50" s="381"/>
    </row>
    <row r="51" spans="1:30" ht="11.25" customHeight="1" x14ac:dyDescent="0.2">
      <c r="B51" s="51"/>
      <c r="L51" s="43"/>
      <c r="M51" s="178"/>
      <c r="T51" s="43"/>
      <c r="V51" s="380"/>
      <c r="W51" s="380"/>
      <c r="X51" s="381"/>
    </row>
    <row r="52" spans="1:30" ht="10.15" customHeight="1" x14ac:dyDescent="0.2">
      <c r="B52" s="51"/>
      <c r="L52" s="43"/>
      <c r="M52" s="178"/>
    </row>
    <row r="53" spans="1:30" ht="11.25" customHeight="1" x14ac:dyDescent="0.2">
      <c r="B53" s="51"/>
      <c r="L53" s="43"/>
      <c r="M53" s="178"/>
      <c r="R53" s="427"/>
      <c r="S53" s="382"/>
      <c r="T53" s="381"/>
    </row>
    <row r="54" spans="1:30" ht="11.25" customHeight="1" x14ac:dyDescent="0.2">
      <c r="R54" s="427"/>
      <c r="S54" s="380"/>
      <c r="T54" s="381"/>
    </row>
    <row r="55" spans="1:30" ht="11.25" customHeight="1" x14ac:dyDescent="0.2">
      <c r="A55" s="9"/>
      <c r="B55" s="225" t="s">
        <v>491</v>
      </c>
      <c r="C55" s="11"/>
      <c r="E55" s="224">
        <f>A11</f>
        <v>45352</v>
      </c>
      <c r="F55" s="10" t="s">
        <v>494</v>
      </c>
      <c r="G55" s="11"/>
      <c r="I55" s="9"/>
      <c r="J55" s="225" t="s">
        <v>660</v>
      </c>
      <c r="K55" s="11"/>
      <c r="R55" s="380"/>
      <c r="S55" s="429"/>
      <c r="T55" s="381"/>
    </row>
    <row r="56" spans="1:30" ht="11.25" customHeight="1" x14ac:dyDescent="0.2">
      <c r="A56" s="10" t="s">
        <v>493</v>
      </c>
      <c r="B56" s="10"/>
      <c r="C56" s="220">
        <f>DATE((YEAR(A11)-1900)-1,12,31)</f>
        <v>45291</v>
      </c>
      <c r="D56" s="522"/>
      <c r="E56" s="30" t="s">
        <v>107</v>
      </c>
      <c r="F56" s="30"/>
      <c r="G56" s="53">
        <f>Data!$AL$142</f>
        <v>5452454.4600000046</v>
      </c>
      <c r="I56" s="324" t="s">
        <v>663</v>
      </c>
      <c r="J56" s="222"/>
      <c r="K56" s="223">
        <f ca="1">SUMPRODUCT(L11:L22,S11:S22)</f>
        <v>8934733.6100000031</v>
      </c>
      <c r="R56" s="427"/>
      <c r="S56" s="380"/>
      <c r="T56" s="381"/>
      <c r="U56" s="51"/>
      <c r="V56" s="51"/>
      <c r="W56" s="51"/>
      <c r="X56" s="51"/>
      <c r="Y56" s="51"/>
      <c r="Z56" s="51"/>
      <c r="AA56" s="51"/>
      <c r="AB56" s="51"/>
    </row>
    <row r="57" spans="1:30" ht="10.15" customHeight="1" x14ac:dyDescent="0.2">
      <c r="A57" s="221" t="s">
        <v>109</v>
      </c>
      <c r="B57" s="222">
        <f>H10</f>
        <v>45382</v>
      </c>
      <c r="C57" s="223">
        <f ca="1">VLOOKUP($C$56,$AA$10:$AF$28,6)</f>
        <v>6712663.4799999967</v>
      </c>
      <c r="D57" s="43"/>
      <c r="E57" s="53" t="s">
        <v>111</v>
      </c>
      <c r="F57" s="30"/>
      <c r="G57" s="53">
        <f ca="1">L47</f>
        <v>11137700.655359512</v>
      </c>
      <c r="I57" s="146" t="s">
        <v>661</v>
      </c>
      <c r="J57" s="30"/>
      <c r="K57" s="53">
        <f ca="1">L47-K56</f>
        <v>2202967.0453595091</v>
      </c>
    </row>
    <row r="58" spans="1:30" ht="13.15" customHeight="1" x14ac:dyDescent="0.2">
      <c r="A58" s="30" t="s">
        <v>113</v>
      </c>
      <c r="B58" s="30"/>
      <c r="C58" s="53">
        <f ca="1">VLOOKUP($C$56,$AA$10:$AF$28,5)</f>
        <v>2202967.0453595095</v>
      </c>
      <c r="D58" s="43"/>
      <c r="E58" s="30" t="s">
        <v>115</v>
      </c>
      <c r="F58" s="30"/>
      <c r="G58" s="179" t="e">
        <f>NA()</f>
        <v>#N/A</v>
      </c>
      <c r="K58" s="43"/>
    </row>
    <row r="59" spans="1:30" ht="11.25" customHeight="1" x14ac:dyDescent="0.2">
      <c r="A59" s="30" t="s">
        <v>117</v>
      </c>
      <c r="B59" s="30"/>
      <c r="C59" s="53">
        <f ca="1">SUM(C57:C58)</f>
        <v>8915630.5253595058</v>
      </c>
      <c r="D59" s="43"/>
      <c r="E59" s="30" t="s">
        <v>119</v>
      </c>
      <c r="F59" s="30"/>
      <c r="G59" s="53" t="e">
        <f ca="1">G56+G57-G58</f>
        <v>#N/A</v>
      </c>
      <c r="I59" s="30" t="s">
        <v>659</v>
      </c>
      <c r="J59" s="30"/>
      <c r="K59" s="53">
        <f ca="1">SUM(K56:K58)</f>
        <v>11137700.655359512</v>
      </c>
    </row>
    <row r="60" spans="1:30" ht="11.25" customHeight="1" x14ac:dyDescent="0.2">
      <c r="D60" s="43"/>
      <c r="Q60" s="227" t="s">
        <v>944</v>
      </c>
    </row>
    <row r="61" spans="1:30" ht="11.25" customHeight="1" x14ac:dyDescent="0.2">
      <c r="A61" s="9"/>
      <c r="B61" s="13" t="s">
        <v>492</v>
      </c>
      <c r="C61" s="11"/>
      <c r="E61" s="224">
        <f>E55</f>
        <v>45352</v>
      </c>
      <c r="F61" s="10" t="s">
        <v>494</v>
      </c>
      <c r="G61" s="11"/>
      <c r="I61" s="555" t="s">
        <v>963</v>
      </c>
      <c r="J61" s="525"/>
      <c r="K61" s="453"/>
      <c r="L61" s="230"/>
      <c r="M61" s="206"/>
      <c r="R61" s="227" t="s">
        <v>41</v>
      </c>
      <c r="S61">
        <f>D71</f>
        <v>12</v>
      </c>
    </row>
    <row r="62" spans="1:30" ht="11.25" customHeight="1" x14ac:dyDescent="0.2">
      <c r="A62" t="s">
        <v>493</v>
      </c>
      <c r="C62" s="48">
        <f>C56</f>
        <v>45291</v>
      </c>
      <c r="D62" s="43"/>
      <c r="E62" s="30" t="s">
        <v>108</v>
      </c>
      <c r="F62" s="30"/>
      <c r="G62" s="53">
        <f ca="1">C11</f>
        <v>6901567</v>
      </c>
      <c r="I62" s="178"/>
      <c r="J62" s="527" t="s">
        <v>939</v>
      </c>
      <c r="K62" s="8" t="s">
        <v>97</v>
      </c>
      <c r="L62" s="528" t="s">
        <v>86</v>
      </c>
      <c r="R62" s="227" t="s">
        <v>42</v>
      </c>
      <c r="S62">
        <f>D72</f>
        <v>2022</v>
      </c>
    </row>
    <row r="63" spans="1:30" ht="11.25" customHeight="1" x14ac:dyDescent="0.2">
      <c r="A63" s="30" t="s">
        <v>110</v>
      </c>
      <c r="B63" s="44">
        <f>H10</f>
        <v>45382</v>
      </c>
      <c r="C63" s="53">
        <f ca="1">AD4</f>
        <v>8915630.5253595058</v>
      </c>
      <c r="D63" s="43"/>
      <c r="E63" s="53" t="s">
        <v>112</v>
      </c>
      <c r="F63" s="30"/>
      <c r="G63" s="53" t="e">
        <f ca="1">G59-G62</f>
        <v>#N/A</v>
      </c>
      <c r="I63" s="547" t="s">
        <v>99</v>
      </c>
      <c r="J63" s="551">
        <f ca="1">L47</f>
        <v>11137700.655359512</v>
      </c>
      <c r="K63" s="551">
        <v>0</v>
      </c>
      <c r="L63" s="551">
        <f ca="1">L47</f>
        <v>11137700.655359512</v>
      </c>
      <c r="R63" s="227" t="s">
        <v>92</v>
      </c>
      <c r="S63" s="4">
        <f>DATE(S62,S61+1,1)-1</f>
        <v>44926</v>
      </c>
      <c r="T63" s="4"/>
    </row>
    <row r="64" spans="1:30" ht="11.25" customHeight="1" x14ac:dyDescent="0.2">
      <c r="A64" s="30" t="s">
        <v>114</v>
      </c>
      <c r="B64" s="377">
        <f>DATE(2015,12,31)</f>
        <v>42369</v>
      </c>
      <c r="C64" s="104" t="e">
        <f>NA()</f>
        <v>#N/A</v>
      </c>
      <c r="D64" s="43"/>
      <c r="E64" t="s">
        <v>116</v>
      </c>
      <c r="G64" s="57"/>
      <c r="I64" s="554" t="s">
        <v>961</v>
      </c>
      <c r="J64" s="549">
        <v>0.02</v>
      </c>
      <c r="K64" s="549">
        <v>0.02</v>
      </c>
      <c r="L64" s="552">
        <f ca="1">J63*J64+K63*K64</f>
        <v>222754.01310719026</v>
      </c>
      <c r="AD64" s="51">
        <f>SUM(Data!M$142:'Data'!$AL$142)</f>
        <v>141772247.42000008</v>
      </c>
    </row>
    <row r="65" spans="1:30" ht="11.25" customHeight="1" x14ac:dyDescent="0.2">
      <c r="A65" s="30" t="s">
        <v>118</v>
      </c>
      <c r="B65" s="30"/>
      <c r="C65" s="53" t="e">
        <f ca="1">C63-C64</f>
        <v>#N/A</v>
      </c>
      <c r="D65" s="43"/>
      <c r="E65" s="30" t="s">
        <v>120</v>
      </c>
      <c r="F65" s="30"/>
      <c r="G65" s="53" t="e">
        <f ca="1">SUM(G62:G64)</f>
        <v>#N/A</v>
      </c>
      <c r="I65" s="548" t="s">
        <v>962</v>
      </c>
      <c r="J65" s="549">
        <v>0.05</v>
      </c>
      <c r="K65" s="549">
        <v>0</v>
      </c>
      <c r="L65" s="552">
        <f ca="1">J65*J63+K65*K63</f>
        <v>556885.03276797559</v>
      </c>
      <c r="AD65" s="51">
        <f>SUM(Data!N$142:'Data'!$AL$142)</f>
        <v>136163257.24000007</v>
      </c>
    </row>
    <row r="66" spans="1:30" ht="11.25" customHeight="1" x14ac:dyDescent="0.2">
      <c r="I66" s="550" t="s">
        <v>940</v>
      </c>
      <c r="J66" s="553"/>
      <c r="K66" s="553"/>
      <c r="L66" s="553">
        <f ca="1">SUM(L63:L65)</f>
        <v>11917339.701234678</v>
      </c>
    </row>
    <row r="67" spans="1:30" ht="11.25" customHeight="1" x14ac:dyDescent="0.2"/>
    <row r="68" spans="1:30" ht="11.25" customHeight="1" x14ac:dyDescent="0.2">
      <c r="A68" s="34" t="str">
        <f>Data!$C$1</f>
        <v>Allied Pacific (APC Commerical)</v>
      </c>
      <c r="C68" s="178"/>
      <c r="D68" s="178"/>
      <c r="E68" s="178"/>
      <c r="F68" s="178"/>
      <c r="G68" s="178"/>
      <c r="H68" s="182"/>
      <c r="I68" s="205"/>
      <c r="J68" s="178"/>
      <c r="K68" s="206"/>
      <c r="L68" s="207"/>
      <c r="M68" s="376" t="s">
        <v>943</v>
      </c>
    </row>
    <row r="69" spans="1:30" ht="11.25" customHeight="1" x14ac:dyDescent="0.2">
      <c r="A69" s="3" t="s">
        <v>942</v>
      </c>
      <c r="C69" s="178"/>
      <c r="D69" s="178"/>
      <c r="E69" s="178"/>
      <c r="F69" s="178"/>
      <c r="G69" s="178"/>
      <c r="H69" s="178"/>
      <c r="I69" s="178"/>
      <c r="J69" s="178"/>
      <c r="K69" s="178"/>
      <c r="L69" s="178"/>
      <c r="M69" s="178"/>
    </row>
    <row r="70" spans="1:30" ht="11.25" customHeight="1" x14ac:dyDescent="0.2">
      <c r="C70" s="521"/>
      <c r="D70" s="521"/>
      <c r="E70" s="178"/>
      <c r="F70" s="178"/>
      <c r="G70" s="178"/>
      <c r="H70" s="178"/>
      <c r="I70" s="178"/>
      <c r="J70" s="178"/>
      <c r="K70" s="178"/>
      <c r="L70" s="178"/>
      <c r="M70" s="178"/>
    </row>
    <row r="71" spans="1:30" ht="11.25" customHeight="1" x14ac:dyDescent="0.2">
      <c r="A71" s="249" t="s">
        <v>944</v>
      </c>
      <c r="B71" s="178"/>
      <c r="C71" s="556" t="s">
        <v>41</v>
      </c>
      <c r="D71" s="557">
        <v>12</v>
      </c>
      <c r="M71" s="529"/>
      <c r="P71" s="2"/>
    </row>
    <row r="72" spans="1:30" ht="11.25" customHeight="1" x14ac:dyDescent="0.2">
      <c r="B72" s="178"/>
      <c r="C72" s="526" t="s">
        <v>42</v>
      </c>
      <c r="D72" s="558">
        <v>2022</v>
      </c>
      <c r="M72" s="529"/>
      <c r="N72" s="2"/>
      <c r="P72" s="2"/>
    </row>
    <row r="73" spans="1:30" ht="11.25" customHeight="1" x14ac:dyDescent="0.2">
      <c r="A73" s="611"/>
      <c r="J73" s="130"/>
    </row>
    <row r="74" spans="1:30" ht="11.25" customHeight="1" x14ac:dyDescent="0.2">
      <c r="C74" s="228" t="s">
        <v>157</v>
      </c>
      <c r="D74" s="228" t="s">
        <v>931</v>
      </c>
      <c r="H74" s="254" t="s">
        <v>960</v>
      </c>
      <c r="M74" s="178"/>
    </row>
    <row r="75" spans="1:30" ht="11.25" customHeight="1" x14ac:dyDescent="0.2">
      <c r="A75" s="2"/>
      <c r="B75" s="2"/>
      <c r="C75" s="2" t="s">
        <v>17</v>
      </c>
      <c r="D75" s="228" t="s">
        <v>932</v>
      </c>
      <c r="E75" s="2" t="s">
        <v>17</v>
      </c>
      <c r="F75" s="2" t="s">
        <v>96</v>
      </c>
      <c r="G75" s="2"/>
      <c r="H75" s="2" t="s">
        <v>187</v>
      </c>
      <c r="I75" s="537">
        <f>H77</f>
        <v>45382</v>
      </c>
      <c r="J75" s="254" t="s">
        <v>954</v>
      </c>
      <c r="K75" s="2"/>
      <c r="L75" s="537">
        <f>J77</f>
        <v>44926</v>
      </c>
      <c r="M75" s="187"/>
    </row>
    <row r="76" spans="1:30" ht="11.25" customHeight="1" x14ac:dyDescent="0.2">
      <c r="A76" s="2" t="s">
        <v>96</v>
      </c>
      <c r="B76" s="2"/>
      <c r="C76" s="2" t="s">
        <v>96</v>
      </c>
      <c r="D76" s="254" t="s">
        <v>933</v>
      </c>
      <c r="E76" s="2" t="s">
        <v>96</v>
      </c>
      <c r="F76" s="2" t="s">
        <v>85</v>
      </c>
      <c r="G76" s="2"/>
      <c r="H76" s="2" t="s">
        <v>188</v>
      </c>
      <c r="I76" s="228" t="s">
        <v>93</v>
      </c>
      <c r="J76" s="228" t="s">
        <v>953</v>
      </c>
      <c r="K76" s="2"/>
      <c r="L76" s="228" t="s">
        <v>675</v>
      </c>
      <c r="M76" s="187"/>
    </row>
    <row r="77" spans="1:30" ht="11.25" customHeight="1" x14ac:dyDescent="0.2">
      <c r="A77" s="29" t="s">
        <v>41</v>
      </c>
      <c r="B77" s="29" t="s">
        <v>78</v>
      </c>
      <c r="C77" s="29" t="s">
        <v>85</v>
      </c>
      <c r="D77" s="8" t="s">
        <v>136</v>
      </c>
      <c r="E77" s="29" t="s">
        <v>85</v>
      </c>
      <c r="F77" s="29" t="s">
        <v>101</v>
      </c>
      <c r="G77" s="49"/>
      <c r="H77" s="49">
        <f>H10</f>
        <v>45382</v>
      </c>
      <c r="I77" s="8" t="s">
        <v>99</v>
      </c>
      <c r="J77" s="49">
        <f>DATE($D72,$D71+1,1)-1</f>
        <v>44926</v>
      </c>
      <c r="K77" s="2"/>
      <c r="L77" s="8" t="s">
        <v>99</v>
      </c>
      <c r="M77" s="187"/>
    </row>
    <row r="78" spans="1:30" ht="11.25" customHeight="1" x14ac:dyDescent="0.2">
      <c r="A78" s="52" t="str">
        <f t="shared" ref="A78:F78" si="19">IF($A11&lt;$S$63,A11,"")</f>
        <v/>
      </c>
      <c r="B78" s="35" t="str">
        <f t="shared" si="19"/>
        <v/>
      </c>
      <c r="C78" s="53" t="str">
        <f t="shared" si="19"/>
        <v/>
      </c>
      <c r="D78" s="53" t="str">
        <f t="shared" si="19"/>
        <v/>
      </c>
      <c r="E78" s="53" t="str">
        <f t="shared" si="19"/>
        <v/>
      </c>
      <c r="F78" s="54" t="str">
        <f t="shared" si="19"/>
        <v/>
      </c>
      <c r="G78" s="30"/>
      <c r="H78" s="53" t="str">
        <f t="shared" ref="H78:H95" si="20">IF($A11&lt;$S$63,H11,"")</f>
        <v/>
      </c>
      <c r="I78" s="30"/>
      <c r="J78" s="53" t="str">
        <f>IF(Data!C477=0,"",Data!C477)</f>
        <v/>
      </c>
      <c r="K78" s="30"/>
      <c r="L78" s="53" t="str">
        <f>IF(B78="","",SUM(I78:J78))</f>
        <v/>
      </c>
      <c r="M78" s="178" t="str">
        <f>IF(L78&lt;0,"CHECK","")</f>
        <v/>
      </c>
    </row>
    <row r="79" spans="1:30" ht="11.25" customHeight="1" x14ac:dyDescent="0.2">
      <c r="A79" s="52" t="str">
        <f t="shared" ref="A79:A95" si="21">IF(A12&lt;$S$63,A12,"")</f>
        <v/>
      </c>
      <c r="B79" s="35" t="str">
        <f t="shared" ref="B79:F80" si="22">IF($A12&lt;$S$63,B12,"")</f>
        <v/>
      </c>
      <c r="C79" s="53" t="str">
        <f t="shared" si="22"/>
        <v/>
      </c>
      <c r="D79" s="53" t="str">
        <f t="shared" si="22"/>
        <v/>
      </c>
      <c r="E79" s="53" t="str">
        <f t="shared" si="22"/>
        <v/>
      </c>
      <c r="F79" s="54" t="str">
        <f t="shared" si="22"/>
        <v/>
      </c>
      <c r="G79" s="30"/>
      <c r="H79" s="53" t="str">
        <f t="shared" si="20"/>
        <v/>
      </c>
      <c r="I79" s="53" t="str">
        <f t="shared" ref="I79" si="23">IF($A12&lt;$S$63,L12,"")</f>
        <v/>
      </c>
      <c r="J79" s="53" t="str">
        <f>IF(Data!C478=0,"",Data!C478)</f>
        <v/>
      </c>
      <c r="K79" s="30"/>
      <c r="L79" s="53" t="str">
        <f t="shared" ref="L79" si="24">IF(B79="","",SUM(I79:J79))</f>
        <v/>
      </c>
      <c r="M79" s="178" t="str">
        <f>IF(I79&lt;0,"CHECK","")</f>
        <v/>
      </c>
    </row>
    <row r="80" spans="1:30" ht="11.25" customHeight="1" x14ac:dyDescent="0.2">
      <c r="A80" s="52" t="str">
        <f t="shared" si="21"/>
        <v/>
      </c>
      <c r="B80" s="35" t="str">
        <f t="shared" si="22"/>
        <v/>
      </c>
      <c r="C80" s="53" t="str">
        <f t="shared" si="22"/>
        <v/>
      </c>
      <c r="D80" s="53" t="str">
        <f t="shared" si="22"/>
        <v/>
      </c>
      <c r="E80" s="53" t="str">
        <f t="shared" si="22"/>
        <v/>
      </c>
      <c r="F80" s="54" t="str">
        <f t="shared" si="22"/>
        <v/>
      </c>
      <c r="G80" s="30"/>
      <c r="H80" s="53" t="str">
        <f t="shared" si="20"/>
        <v/>
      </c>
      <c r="I80" s="53" t="str">
        <f t="shared" ref="I80:I82" si="25">IF($A13&lt;$S$63,L13,"")</f>
        <v/>
      </c>
      <c r="J80" s="53" t="str">
        <f>IF(Data!C479=0,"",Data!C479)</f>
        <v/>
      </c>
      <c r="K80" s="30"/>
      <c r="L80" s="53" t="str">
        <f t="shared" ref="L80:L82" si="26">IF(B80="","",SUM(I80:J80))</f>
        <v/>
      </c>
      <c r="M80" s="178" t="str">
        <f t="shared" ref="M80:M98" si="27">IF(L80&lt;0,"CHECK","")</f>
        <v/>
      </c>
    </row>
    <row r="81" spans="1:18" ht="11.25" customHeight="1" x14ac:dyDescent="0.2">
      <c r="A81" s="52" t="str">
        <f t="shared" si="21"/>
        <v/>
      </c>
      <c r="B81" s="35" t="str">
        <f t="shared" ref="B81:F81" si="28">IF($A14&lt;$S$63,B14,"")</f>
        <v/>
      </c>
      <c r="C81" s="53" t="str">
        <f t="shared" si="28"/>
        <v/>
      </c>
      <c r="D81" s="53" t="str">
        <f t="shared" si="28"/>
        <v/>
      </c>
      <c r="E81" s="53" t="str">
        <f t="shared" si="28"/>
        <v/>
      </c>
      <c r="F81" s="54" t="str">
        <f t="shared" si="28"/>
        <v/>
      </c>
      <c r="G81" s="30"/>
      <c r="H81" s="53" t="str">
        <f t="shared" si="20"/>
        <v/>
      </c>
      <c r="I81" s="53" t="str">
        <f t="shared" si="25"/>
        <v/>
      </c>
      <c r="J81" s="53" t="str">
        <f>IF(Data!C480=0,"",Data!C480)</f>
        <v/>
      </c>
      <c r="K81" s="30"/>
      <c r="L81" s="53" t="str">
        <f t="shared" si="26"/>
        <v/>
      </c>
      <c r="M81" s="178" t="str">
        <f t="shared" si="27"/>
        <v/>
      </c>
    </row>
    <row r="82" spans="1:18" ht="11.25" customHeight="1" x14ac:dyDescent="0.2">
      <c r="A82" s="52" t="str">
        <f t="shared" si="21"/>
        <v/>
      </c>
      <c r="B82" s="35" t="str">
        <f t="shared" ref="B82:F82" si="29">IF($A15&lt;$S$63,B15,"")</f>
        <v/>
      </c>
      <c r="C82" s="53" t="str">
        <f t="shared" si="29"/>
        <v/>
      </c>
      <c r="D82" s="53" t="str">
        <f t="shared" si="29"/>
        <v/>
      </c>
      <c r="E82" s="53" t="str">
        <f t="shared" si="29"/>
        <v/>
      </c>
      <c r="F82" s="54" t="str">
        <f t="shared" si="29"/>
        <v/>
      </c>
      <c r="G82" s="30"/>
      <c r="H82" s="53" t="str">
        <f t="shared" si="20"/>
        <v/>
      </c>
      <c r="I82" s="53" t="str">
        <f t="shared" si="25"/>
        <v/>
      </c>
      <c r="J82" s="53" t="str">
        <f>IF(Data!C481=0,"",Data!C481)</f>
        <v/>
      </c>
      <c r="K82" s="30"/>
      <c r="L82" s="53" t="str">
        <f t="shared" si="26"/>
        <v/>
      </c>
      <c r="M82" s="178" t="str">
        <f t="shared" si="27"/>
        <v/>
      </c>
      <c r="Q82" s="540" t="s">
        <v>676</v>
      </c>
      <c r="R82" s="541"/>
    </row>
    <row r="83" spans="1:18" ht="11.25" customHeight="1" x14ac:dyDescent="0.2">
      <c r="A83" s="52" t="str">
        <f t="shared" si="21"/>
        <v/>
      </c>
      <c r="B83" s="35" t="str">
        <f t="shared" ref="B83:F88" si="30">IF($A16&lt;$S$63,B16,"")</f>
        <v/>
      </c>
      <c r="C83" s="53" t="str">
        <f t="shared" si="30"/>
        <v/>
      </c>
      <c r="D83" s="53" t="str">
        <f t="shared" si="30"/>
        <v/>
      </c>
      <c r="E83" s="53" t="str">
        <f t="shared" si="30"/>
        <v/>
      </c>
      <c r="F83" s="54" t="str">
        <f t="shared" si="30"/>
        <v/>
      </c>
      <c r="G83" s="30"/>
      <c r="H83" s="53" t="str">
        <f t="shared" si="20"/>
        <v/>
      </c>
      <c r="I83" s="53" t="str">
        <f t="shared" ref="I83:I95" si="31">IF($A16&lt;$S$63,L16,"")</f>
        <v/>
      </c>
      <c r="J83" s="53" t="str">
        <f>IF(Data!C482=0,"",Data!C482)</f>
        <v/>
      </c>
      <c r="K83" s="30"/>
      <c r="L83" s="53" t="str">
        <f t="shared" ref="L83:L95" si="32">IF(B83="","",SUM(I83:J83))</f>
        <v/>
      </c>
      <c r="M83" s="178" t="str">
        <f t="shared" si="27"/>
        <v/>
      </c>
      <c r="Q83" s="542" t="s">
        <v>86</v>
      </c>
      <c r="R83" s="543">
        <f ca="1">VLOOKUP(J77,AA10:AD28,4)</f>
        <v>7342920.6884581745</v>
      </c>
    </row>
    <row r="84" spans="1:18" ht="11.25" customHeight="1" x14ac:dyDescent="0.2">
      <c r="A84" s="52" t="str">
        <f t="shared" si="21"/>
        <v/>
      </c>
      <c r="B84" s="35" t="str">
        <f t="shared" si="30"/>
        <v/>
      </c>
      <c r="C84" s="53" t="str">
        <f t="shared" si="30"/>
        <v/>
      </c>
      <c r="D84" s="53" t="str">
        <f t="shared" si="30"/>
        <v/>
      </c>
      <c r="E84" s="53" t="str">
        <f t="shared" si="30"/>
        <v/>
      </c>
      <c r="F84" s="54" t="str">
        <f t="shared" si="30"/>
        <v/>
      </c>
      <c r="G84" s="30"/>
      <c r="H84" s="53" t="str">
        <f t="shared" si="20"/>
        <v/>
      </c>
      <c r="I84" s="53" t="str">
        <f t="shared" si="31"/>
        <v/>
      </c>
      <c r="J84" s="53" t="str">
        <f>IF(Data!C483=0,"",Data!C483)</f>
        <v/>
      </c>
      <c r="K84" s="30"/>
      <c r="L84" s="53" t="str">
        <f t="shared" si="32"/>
        <v/>
      </c>
      <c r="M84" s="178" t="str">
        <f t="shared" si="27"/>
        <v/>
      </c>
      <c r="Q84" s="197"/>
      <c r="R84" s="200"/>
    </row>
    <row r="85" spans="1:18" ht="11.25" customHeight="1" x14ac:dyDescent="0.2">
      <c r="A85" s="52" t="str">
        <f t="shared" si="21"/>
        <v/>
      </c>
      <c r="B85" s="35" t="str">
        <f t="shared" si="30"/>
        <v/>
      </c>
      <c r="C85" s="53" t="str">
        <f t="shared" si="30"/>
        <v/>
      </c>
      <c r="D85" s="53" t="str">
        <f t="shared" si="30"/>
        <v/>
      </c>
      <c r="E85" s="53" t="str">
        <f t="shared" si="30"/>
        <v/>
      </c>
      <c r="F85" s="54" t="str">
        <f t="shared" si="30"/>
        <v/>
      </c>
      <c r="G85" s="30"/>
      <c r="H85" s="53" t="str">
        <f t="shared" si="20"/>
        <v/>
      </c>
      <c r="I85" s="53" t="str">
        <f t="shared" si="31"/>
        <v/>
      </c>
      <c r="J85" s="53" t="str">
        <f>IF(Data!C484=0,"",Data!C484)</f>
        <v/>
      </c>
      <c r="K85" s="30"/>
      <c r="L85" s="53" t="str">
        <f t="shared" si="32"/>
        <v/>
      </c>
      <c r="M85" s="178" t="str">
        <f t="shared" si="27"/>
        <v/>
      </c>
      <c r="Q85" s="544" t="s">
        <v>955</v>
      </c>
      <c r="R85" s="543">
        <f>L96</f>
        <v>5324470.3576019732</v>
      </c>
    </row>
    <row r="86" spans="1:18" ht="11.25" customHeight="1" x14ac:dyDescent="0.2">
      <c r="A86" s="52" t="str">
        <f t="shared" si="21"/>
        <v/>
      </c>
      <c r="B86" s="35" t="str">
        <f t="shared" si="30"/>
        <v/>
      </c>
      <c r="C86" s="53" t="str">
        <f t="shared" si="30"/>
        <v/>
      </c>
      <c r="D86" s="53" t="str">
        <f t="shared" si="30"/>
        <v/>
      </c>
      <c r="E86" s="53" t="str">
        <f t="shared" si="30"/>
        <v/>
      </c>
      <c r="F86" s="54" t="str">
        <f t="shared" si="30"/>
        <v/>
      </c>
      <c r="G86" s="30"/>
      <c r="H86" s="53" t="str">
        <f t="shared" si="20"/>
        <v/>
      </c>
      <c r="I86" s="53" t="str">
        <f t="shared" si="31"/>
        <v/>
      </c>
      <c r="J86" s="53" t="str">
        <f>IF(Data!C485=0,"",Data!C485)</f>
        <v/>
      </c>
      <c r="K86" s="30"/>
      <c r="L86" s="53" t="str">
        <f t="shared" si="32"/>
        <v/>
      </c>
      <c r="M86" s="178" t="str">
        <f t="shared" si="27"/>
        <v/>
      </c>
      <c r="Q86" s="544" t="s">
        <v>956</v>
      </c>
      <c r="R86" s="543">
        <f>I97</f>
        <v>0</v>
      </c>
    </row>
    <row r="87" spans="1:18" ht="11.25" customHeight="1" x14ac:dyDescent="0.2">
      <c r="A87" s="52" t="str">
        <f t="shared" si="21"/>
        <v/>
      </c>
      <c r="B87" s="35" t="str">
        <f t="shared" si="30"/>
        <v/>
      </c>
      <c r="C87" s="53" t="str">
        <f t="shared" si="30"/>
        <v/>
      </c>
      <c r="D87" s="53" t="str">
        <f t="shared" si="30"/>
        <v/>
      </c>
      <c r="E87" s="53" t="str">
        <f t="shared" si="30"/>
        <v/>
      </c>
      <c r="F87" s="54" t="str">
        <f t="shared" si="30"/>
        <v/>
      </c>
      <c r="G87" s="30"/>
      <c r="H87" s="53" t="str">
        <f t="shared" si="20"/>
        <v/>
      </c>
      <c r="I87" s="53" t="str">
        <f t="shared" si="31"/>
        <v/>
      </c>
      <c r="J87" s="53" t="str">
        <f>IF(Data!C486=0,"",Data!C486)</f>
        <v/>
      </c>
      <c r="K87" s="30"/>
      <c r="L87" s="53" t="str">
        <f t="shared" si="32"/>
        <v/>
      </c>
      <c r="M87" s="178" t="str">
        <f t="shared" si="27"/>
        <v/>
      </c>
      <c r="Q87" s="544" t="s">
        <v>957</v>
      </c>
      <c r="R87" s="543">
        <f>SUM(R85:R86)</f>
        <v>5324470.3576019732</v>
      </c>
    </row>
    <row r="88" spans="1:18" ht="11.25" customHeight="1" x14ac:dyDescent="0.2">
      <c r="A88" s="52" t="str">
        <f t="shared" si="21"/>
        <v/>
      </c>
      <c r="B88" s="35" t="str">
        <f t="shared" si="30"/>
        <v/>
      </c>
      <c r="C88" s="53" t="str">
        <f t="shared" si="30"/>
        <v/>
      </c>
      <c r="D88" s="53" t="str">
        <f t="shared" si="30"/>
        <v/>
      </c>
      <c r="E88" s="53" t="str">
        <f t="shared" si="30"/>
        <v/>
      </c>
      <c r="F88" s="54" t="str">
        <f t="shared" si="30"/>
        <v/>
      </c>
      <c r="G88" s="30"/>
      <c r="H88" s="53" t="str">
        <f t="shared" si="20"/>
        <v/>
      </c>
      <c r="I88" s="53" t="str">
        <f t="shared" si="31"/>
        <v/>
      </c>
      <c r="J88" s="53" t="str">
        <f>IF(Data!C487=0,"",Data!C487)</f>
        <v/>
      </c>
      <c r="K88" s="30"/>
      <c r="L88" s="53" t="str">
        <f t="shared" si="32"/>
        <v/>
      </c>
      <c r="M88" s="178" t="str">
        <f t="shared" si="27"/>
        <v/>
      </c>
      <c r="Q88" s="197"/>
      <c r="R88" s="200"/>
    </row>
    <row r="89" spans="1:18" ht="11.25" customHeight="1" x14ac:dyDescent="0.2">
      <c r="A89" s="52" t="str">
        <f t="shared" si="21"/>
        <v/>
      </c>
      <c r="B89" s="35" t="str">
        <f t="shared" ref="B89:F95" si="33">IF($A22&lt;$S$63,B22,"")</f>
        <v/>
      </c>
      <c r="C89" s="53" t="str">
        <f t="shared" si="33"/>
        <v/>
      </c>
      <c r="D89" s="53" t="str">
        <f t="shared" si="33"/>
        <v/>
      </c>
      <c r="E89" s="53" t="str">
        <f t="shared" si="33"/>
        <v/>
      </c>
      <c r="F89" s="54" t="str">
        <f t="shared" si="33"/>
        <v/>
      </c>
      <c r="G89" s="30"/>
      <c r="H89" s="53" t="str">
        <f t="shared" si="20"/>
        <v/>
      </c>
      <c r="I89" s="53" t="str">
        <f t="shared" si="31"/>
        <v/>
      </c>
      <c r="J89" s="53" t="str">
        <f>IF(Data!C488=0,"",Data!C488)</f>
        <v/>
      </c>
      <c r="K89" s="30"/>
      <c r="L89" s="53" t="str">
        <f t="shared" si="32"/>
        <v/>
      </c>
      <c r="M89" s="178" t="str">
        <f t="shared" si="27"/>
        <v/>
      </c>
      <c r="Q89" s="545" t="s">
        <v>958</v>
      </c>
      <c r="R89" s="546">
        <f ca="1">R83-R87</f>
        <v>2018450.3308562012</v>
      </c>
    </row>
    <row r="90" spans="1:18" ht="11.25" customHeight="1" x14ac:dyDescent="0.2">
      <c r="A90" s="52" t="str">
        <f t="shared" si="21"/>
        <v/>
      </c>
      <c r="B90" s="35" t="str">
        <f t="shared" si="33"/>
        <v/>
      </c>
      <c r="C90" s="53" t="str">
        <f t="shared" si="33"/>
        <v/>
      </c>
      <c r="D90" s="53" t="str">
        <f t="shared" si="33"/>
        <v/>
      </c>
      <c r="E90" s="53" t="str">
        <f t="shared" si="33"/>
        <v/>
      </c>
      <c r="F90" s="54" t="str">
        <f t="shared" si="33"/>
        <v/>
      </c>
      <c r="G90" s="30"/>
      <c r="H90" s="53" t="str">
        <f t="shared" si="20"/>
        <v/>
      </c>
      <c r="I90" s="53" t="str">
        <f t="shared" si="31"/>
        <v/>
      </c>
      <c r="J90" s="53" t="str">
        <f>IF(Data!C489=0,"",Data!C489)</f>
        <v/>
      </c>
      <c r="K90" s="30"/>
      <c r="L90" s="53" t="str">
        <f t="shared" si="32"/>
        <v/>
      </c>
      <c r="M90" s="178" t="str">
        <f t="shared" si="27"/>
        <v/>
      </c>
    </row>
    <row r="91" spans="1:18" ht="11.25" customHeight="1" x14ac:dyDescent="0.2">
      <c r="A91" s="52" t="str">
        <f t="shared" si="21"/>
        <v/>
      </c>
      <c r="B91" s="35" t="str">
        <f t="shared" si="33"/>
        <v/>
      </c>
      <c r="C91" s="53" t="str">
        <f t="shared" si="33"/>
        <v/>
      </c>
      <c r="D91" s="53" t="str">
        <f t="shared" si="33"/>
        <v/>
      </c>
      <c r="E91" s="53" t="str">
        <f t="shared" si="33"/>
        <v/>
      </c>
      <c r="F91" s="54" t="str">
        <f t="shared" si="33"/>
        <v/>
      </c>
      <c r="G91" s="30"/>
      <c r="H91" s="53" t="str">
        <f t="shared" si="20"/>
        <v/>
      </c>
      <c r="I91" s="53" t="str">
        <f t="shared" si="31"/>
        <v/>
      </c>
      <c r="J91" s="53" t="str">
        <f>IF(Data!C490=0,"",Data!C490)</f>
        <v/>
      </c>
      <c r="K91" s="30"/>
      <c r="L91" s="53" t="str">
        <f t="shared" si="32"/>
        <v/>
      </c>
      <c r="M91" s="178" t="str">
        <f t="shared" si="27"/>
        <v/>
      </c>
    </row>
    <row r="92" spans="1:18" ht="11.25" customHeight="1" x14ac:dyDescent="0.2">
      <c r="A92" s="52" t="str">
        <f t="shared" si="21"/>
        <v/>
      </c>
      <c r="B92" s="35" t="str">
        <f t="shared" si="33"/>
        <v/>
      </c>
      <c r="C92" s="53" t="str">
        <f t="shared" si="33"/>
        <v/>
      </c>
      <c r="D92" s="53" t="str">
        <f t="shared" si="33"/>
        <v/>
      </c>
      <c r="E92" s="53" t="str">
        <f t="shared" si="33"/>
        <v/>
      </c>
      <c r="F92" s="54" t="str">
        <f t="shared" si="33"/>
        <v/>
      </c>
      <c r="G92" s="30"/>
      <c r="H92" s="53" t="str">
        <f t="shared" si="20"/>
        <v/>
      </c>
      <c r="I92" s="53" t="str">
        <f t="shared" si="31"/>
        <v/>
      </c>
      <c r="J92" s="53" t="str">
        <f>IF(Data!C491=0,"",Data!C491)</f>
        <v/>
      </c>
      <c r="K92" s="30"/>
      <c r="L92" s="53" t="str">
        <f t="shared" si="32"/>
        <v/>
      </c>
      <c r="M92" s="178" t="str">
        <f t="shared" si="27"/>
        <v/>
      </c>
    </row>
    <row r="93" spans="1:18" ht="11.25" customHeight="1" x14ac:dyDescent="0.2">
      <c r="A93" s="52">
        <f t="shared" si="21"/>
        <v>44896</v>
      </c>
      <c r="B93" s="35">
        <f t="shared" si="33"/>
        <v>128156</v>
      </c>
      <c r="C93" s="53">
        <f t="shared" si="33"/>
        <v>5120495.1487528142</v>
      </c>
      <c r="D93" s="53">
        <f t="shared" si="33"/>
        <v>0</v>
      </c>
      <c r="E93" s="53">
        <f t="shared" si="33"/>
        <v>5120495.1487528142</v>
      </c>
      <c r="F93" s="54">
        <f t="shared" si="33"/>
        <v>39.955172982558864</v>
      </c>
      <c r="G93" s="30"/>
      <c r="H93" s="53">
        <f t="shared" si="20"/>
        <v>5081907.6000000248</v>
      </c>
      <c r="I93" s="53">
        <f t="shared" si="31"/>
        <v>38587.548752789386</v>
      </c>
      <c r="J93" s="53">
        <f>IF(Data!C492=0,"",Data!C492)</f>
        <v>3451596.0000000135</v>
      </c>
      <c r="K93" s="30"/>
      <c r="L93" s="53">
        <f t="shared" si="32"/>
        <v>3490183.5487528029</v>
      </c>
      <c r="M93" s="178" t="str">
        <f t="shared" si="27"/>
        <v/>
      </c>
    </row>
    <row r="94" spans="1:18" ht="11.25" customHeight="1" x14ac:dyDescent="0.2">
      <c r="A94" s="52">
        <f t="shared" si="21"/>
        <v>44866</v>
      </c>
      <c r="B94" s="35">
        <f t="shared" si="33"/>
        <v>128447</v>
      </c>
      <c r="C94" s="53">
        <f t="shared" si="33"/>
        <v>5047051.0525426669</v>
      </c>
      <c r="D94" s="53">
        <f t="shared" si="33"/>
        <v>0</v>
      </c>
      <c r="E94" s="53">
        <f t="shared" si="33"/>
        <v>5047051.0525426669</v>
      </c>
      <c r="F94" s="54">
        <f t="shared" si="33"/>
        <v>39.292868284527216</v>
      </c>
      <c r="G94" s="30"/>
      <c r="H94" s="53">
        <f t="shared" si="20"/>
        <v>5011832.2300000172</v>
      </c>
      <c r="I94" s="53">
        <f t="shared" si="31"/>
        <v>35218.822542649694</v>
      </c>
      <c r="J94" s="53">
        <f>IF(Data!C493=0,"",Data!C493)</f>
        <v>1197669.8800000008</v>
      </c>
      <c r="K94" s="30"/>
      <c r="L94" s="53">
        <f t="shared" si="32"/>
        <v>1232888.7025426505</v>
      </c>
      <c r="M94" s="178" t="str">
        <f t="shared" si="27"/>
        <v/>
      </c>
    </row>
    <row r="95" spans="1:18" ht="11.25" customHeight="1" x14ac:dyDescent="0.2">
      <c r="A95" s="52">
        <f t="shared" si="21"/>
        <v>44835</v>
      </c>
      <c r="B95" s="35">
        <f t="shared" si="33"/>
        <v>128887</v>
      </c>
      <c r="C95" s="53">
        <f t="shared" si="33"/>
        <v>5346516.4463065388</v>
      </c>
      <c r="D95" s="53">
        <f t="shared" si="33"/>
        <v>0</v>
      </c>
      <c r="E95" s="53">
        <f t="shared" si="33"/>
        <v>5346516.4463065388</v>
      </c>
      <c r="F95" s="54">
        <f t="shared" si="33"/>
        <v>41.482201046704006</v>
      </c>
      <c r="G95" s="30"/>
      <c r="H95" s="53">
        <f t="shared" si="20"/>
        <v>5314346.360000018</v>
      </c>
      <c r="I95" s="53">
        <f t="shared" si="31"/>
        <v>32170.086306520738</v>
      </c>
      <c r="J95" s="53">
        <f>IF(Data!C494=0,"",Data!C494)</f>
        <v>569228.01999999979</v>
      </c>
      <c r="K95" s="30"/>
      <c r="L95" s="53">
        <f t="shared" si="32"/>
        <v>601398.10630652052</v>
      </c>
      <c r="M95" s="178" t="str">
        <f t="shared" si="27"/>
        <v/>
      </c>
    </row>
    <row r="96" spans="1:18" ht="11.25" customHeight="1" x14ac:dyDescent="0.2">
      <c r="A96" s="146" t="s">
        <v>464</v>
      </c>
      <c r="B96" s="35">
        <f>SUM(B78:B95)</f>
        <v>385490</v>
      </c>
      <c r="C96" s="53">
        <f>SUM(C78:C95)</f>
        <v>15514062.647602018</v>
      </c>
      <c r="D96" s="53">
        <f t="shared" ref="D96" si="34">SUM(D78:D95)</f>
        <v>0</v>
      </c>
      <c r="E96" s="53">
        <f t="shared" ref="E96" si="35">SUM(E78:E95)</f>
        <v>15514062.647602018</v>
      </c>
      <c r="F96" s="54">
        <f t="shared" ref="F96" si="36">IF(B96=0,0,E96/B96)</f>
        <v>40.245045649957241</v>
      </c>
      <c r="G96" s="30"/>
      <c r="H96" s="53">
        <f t="shared" ref="H96:L96" si="37">SUM(H78:H95)</f>
        <v>15408086.190000061</v>
      </c>
      <c r="I96" s="53">
        <f t="shared" si="37"/>
        <v>105976.45760195982</v>
      </c>
      <c r="J96" s="53">
        <f t="shared" si="37"/>
        <v>5218493.9000000134</v>
      </c>
      <c r="K96" s="53"/>
      <c r="L96" s="53">
        <f t="shared" si="37"/>
        <v>5324470.3576019732</v>
      </c>
      <c r="M96" s="178" t="str">
        <f t="shared" si="27"/>
        <v/>
      </c>
    </row>
    <row r="97" spans="1:18" ht="13.15" customHeight="1" x14ac:dyDescent="0.2">
      <c r="A97" s="30" t="s">
        <v>335</v>
      </c>
      <c r="B97" s="30"/>
      <c r="C97" s="30"/>
      <c r="D97" s="30"/>
      <c r="E97" s="30"/>
      <c r="F97" s="30"/>
      <c r="G97" s="30"/>
      <c r="H97" s="30"/>
      <c r="I97" s="53">
        <v>0</v>
      </c>
      <c r="J97" s="62">
        <v>0</v>
      </c>
      <c r="K97" s="30"/>
      <c r="L97" s="538">
        <v>0</v>
      </c>
      <c r="M97" s="178"/>
    </row>
    <row r="98" spans="1:18" x14ac:dyDescent="0.2">
      <c r="A98" s="30" t="s">
        <v>336</v>
      </c>
      <c r="B98" s="30"/>
      <c r="C98" s="30"/>
      <c r="D98" s="30"/>
      <c r="E98" s="30"/>
      <c r="F98" s="30"/>
      <c r="G98" s="30"/>
      <c r="H98" s="30"/>
      <c r="I98" s="53">
        <f>I97+I96</f>
        <v>105976.45760195982</v>
      </c>
      <c r="J98" s="53">
        <f>J97+J96</f>
        <v>5218493.9000000134</v>
      </c>
      <c r="K98" s="30"/>
      <c r="L98" s="53">
        <f>SUM(L96:L97)</f>
        <v>5324470.3576019732</v>
      </c>
      <c r="M98" s="178" t="str">
        <f t="shared" si="27"/>
        <v/>
      </c>
    </row>
    <row r="100" spans="1:18" x14ac:dyDescent="0.2">
      <c r="I100" s="555" t="s">
        <v>963</v>
      </c>
      <c r="J100" s="525"/>
      <c r="K100" s="453"/>
      <c r="L100" s="230"/>
      <c r="M100" s="206"/>
    </row>
    <row r="101" spans="1:18" x14ac:dyDescent="0.2">
      <c r="D101" s="522"/>
      <c r="I101" s="178"/>
      <c r="J101" s="527" t="s">
        <v>939</v>
      </c>
      <c r="K101" s="8" t="s">
        <v>97</v>
      </c>
      <c r="L101" s="528" t="s">
        <v>86</v>
      </c>
    </row>
    <row r="102" spans="1:18" x14ac:dyDescent="0.2">
      <c r="D102" s="43"/>
      <c r="I102" s="547" t="s">
        <v>99</v>
      </c>
      <c r="J102" s="551">
        <f>I98</f>
        <v>105976.45760195982</v>
      </c>
      <c r="K102" s="551">
        <f>J98</f>
        <v>5218493.9000000134</v>
      </c>
      <c r="L102" s="551">
        <f>SUM(J102:K102)</f>
        <v>5324470.3576019732</v>
      </c>
    </row>
    <row r="103" spans="1:18" x14ac:dyDescent="0.2">
      <c r="D103" s="43"/>
      <c r="I103" s="554" t="s">
        <v>961</v>
      </c>
      <c r="J103" s="549">
        <v>0.05</v>
      </c>
      <c r="K103" s="549">
        <v>0.05</v>
      </c>
      <c r="L103" s="552">
        <f>J102*J103+K102*K103</f>
        <v>266223.51788009866</v>
      </c>
    </row>
    <row r="104" spans="1:18" x14ac:dyDescent="0.2">
      <c r="D104" s="43"/>
      <c r="I104" s="548" t="s">
        <v>962</v>
      </c>
      <c r="J104" s="549">
        <v>0.1</v>
      </c>
      <c r="K104" s="549">
        <v>0</v>
      </c>
      <c r="L104" s="552">
        <f>J104*J102+K104*K102</f>
        <v>10597.645760195983</v>
      </c>
      <c r="P104" s="43"/>
    </row>
    <row r="105" spans="1:18" x14ac:dyDescent="0.2">
      <c r="D105" s="43"/>
      <c r="I105" s="550" t="s">
        <v>940</v>
      </c>
      <c r="J105" s="553"/>
      <c r="K105" s="553"/>
      <c r="L105" s="553">
        <f>SUM(L102:L104)</f>
        <v>5601291.5212422684</v>
      </c>
      <c r="P105" s="43"/>
    </row>
    <row r="106" spans="1:18" x14ac:dyDescent="0.2">
      <c r="P106" s="43"/>
    </row>
    <row r="107" spans="1:18" ht="12.75" x14ac:dyDescent="0.2">
      <c r="A107" s="34" t="str">
        <f>A1</f>
        <v>Allied Pacific (APC Commerical)</v>
      </c>
      <c r="L107" s="43"/>
      <c r="M107" s="376" t="s">
        <v>764</v>
      </c>
      <c r="P107" s="43"/>
    </row>
    <row r="108" spans="1:18" x14ac:dyDescent="0.2">
      <c r="A108" s="130" t="s">
        <v>877</v>
      </c>
      <c r="L108" s="43"/>
      <c r="P108" s="43"/>
      <c r="R108" s="1" t="s">
        <v>881</v>
      </c>
    </row>
    <row r="109" spans="1:18" x14ac:dyDescent="0.2">
      <c r="A109" s="3"/>
      <c r="L109" s="43"/>
      <c r="P109" s="43"/>
      <c r="R109" t="s">
        <v>882</v>
      </c>
    </row>
    <row r="110" spans="1:18" x14ac:dyDescent="0.2">
      <c r="A110" s="7" t="s">
        <v>301</v>
      </c>
      <c r="B110" s="113">
        <f>$C$3</f>
        <v>45382</v>
      </c>
      <c r="L110" s="43"/>
      <c r="P110" s="43"/>
    </row>
    <row r="111" spans="1:18" x14ac:dyDescent="0.2">
      <c r="L111" s="43"/>
      <c r="P111" s="43"/>
      <c r="R111" s="43">
        <f t="shared" ref="R111:R122" ca="1" si="38">AVERAGE(C11:C13)</f>
        <v>6394409</v>
      </c>
    </row>
    <row r="112" spans="1:18" x14ac:dyDescent="0.2">
      <c r="A112" s="2"/>
      <c r="B112" s="2"/>
      <c r="C112" s="2" t="s">
        <v>93</v>
      </c>
      <c r="D112" s="2"/>
      <c r="E112" s="2"/>
      <c r="F112" s="2"/>
      <c r="G112" s="2" t="s">
        <v>657</v>
      </c>
      <c r="H112" s="2"/>
      <c r="L112" s="2" t="s">
        <v>880</v>
      </c>
      <c r="P112" s="43"/>
      <c r="R112" s="43">
        <f t="shared" ca="1" si="38"/>
        <v>5994908</v>
      </c>
    </row>
    <row r="113" spans="1:21" x14ac:dyDescent="0.2">
      <c r="A113" s="2"/>
      <c r="B113" s="2"/>
      <c r="C113" s="2" t="s">
        <v>83</v>
      </c>
      <c r="D113" s="2"/>
      <c r="E113" s="2" t="s">
        <v>92</v>
      </c>
      <c r="H113" s="2" t="s">
        <v>300</v>
      </c>
      <c r="I113" s="2"/>
      <c r="L113" s="2" t="s">
        <v>878</v>
      </c>
      <c r="P113" s="43"/>
      <c r="R113" s="43">
        <f t="shared" ca="1" si="38"/>
        <v>5937020.333333333</v>
      </c>
    </row>
    <row r="114" spans="1:21" x14ac:dyDescent="0.2">
      <c r="A114" s="2" t="s">
        <v>298</v>
      </c>
      <c r="B114" s="2" t="s">
        <v>109</v>
      </c>
      <c r="C114" s="2" t="s">
        <v>299</v>
      </c>
      <c r="D114" s="2"/>
      <c r="E114" s="37" t="s">
        <v>656</v>
      </c>
      <c r="H114" s="2" t="s">
        <v>83</v>
      </c>
      <c r="I114" s="137" t="s">
        <v>118</v>
      </c>
      <c r="J114" s="11"/>
      <c r="L114" s="37" t="s">
        <v>879</v>
      </c>
      <c r="P114" s="43"/>
      <c r="R114" s="43">
        <f t="shared" ca="1" si="38"/>
        <v>6034314.666666667</v>
      </c>
    </row>
    <row r="115" spans="1:21" x14ac:dyDescent="0.2">
      <c r="A115" s="29" t="s">
        <v>95</v>
      </c>
      <c r="B115" s="49">
        <f>C3</f>
        <v>45382</v>
      </c>
      <c r="C115" s="49">
        <f>B115</f>
        <v>45382</v>
      </c>
      <c r="D115" s="49"/>
      <c r="E115" s="29" t="s">
        <v>83</v>
      </c>
      <c r="H115" s="29" t="s">
        <v>85</v>
      </c>
      <c r="I115" s="103" t="s">
        <v>296</v>
      </c>
      <c r="J115" s="103" t="s">
        <v>297</v>
      </c>
      <c r="L115" s="8" t="s">
        <v>323</v>
      </c>
      <c r="P115" s="43"/>
      <c r="R115" s="43">
        <f t="shared" ca="1" si="38"/>
        <v>5958717</v>
      </c>
    </row>
    <row r="116" spans="1:21" x14ac:dyDescent="0.2">
      <c r="P116" s="43"/>
      <c r="R116" s="43">
        <f t="shared" ca="1" si="38"/>
        <v>5959855.666666667</v>
      </c>
    </row>
    <row r="117" spans="1:21" x14ac:dyDescent="0.2">
      <c r="A117" s="138">
        <f>AA29</f>
        <v>45382</v>
      </c>
      <c r="B117" s="53">
        <f ca="1">AF29</f>
        <v>0</v>
      </c>
      <c r="C117" s="53">
        <f ca="1">AE29</f>
        <v>11137700.655359512</v>
      </c>
      <c r="D117" s="35"/>
      <c r="E117" s="53">
        <f t="shared" ref="E117:E134" ca="1" si="39">SUM(B117:C117)</f>
        <v>11137700.655359512</v>
      </c>
      <c r="F117" s="35"/>
      <c r="G117" s="35"/>
      <c r="H117" s="53">
        <f ca="1">L47</f>
        <v>11137700.655359512</v>
      </c>
      <c r="I117" s="53">
        <f t="shared" ref="I117:I134" ca="1" si="40">E117-H117</f>
        <v>0</v>
      </c>
      <c r="J117" s="55">
        <f t="shared" ref="J117:J134" ca="1" si="41">IF(H117=0,"NA",I117/H117)</f>
        <v>0</v>
      </c>
      <c r="K117" s="560"/>
      <c r="L117" s="561">
        <f t="shared" ref="L117:L134" ca="1" si="42">IF(R111=0,"",E117/R111)</f>
        <v>1.741787341935668</v>
      </c>
      <c r="P117" s="43"/>
      <c r="R117" s="43">
        <f t="shared" ca="1" si="38"/>
        <v>5568555.333333333</v>
      </c>
    </row>
    <row r="118" spans="1:21" x14ac:dyDescent="0.2">
      <c r="A118" s="138">
        <f>AA28</f>
        <v>45351</v>
      </c>
      <c r="B118" s="53">
        <f ca="1">AF28</f>
        <v>4295321.2200000053</v>
      </c>
      <c r="C118" s="53">
        <f ca="1">AE28</f>
        <v>5393266.8953595115</v>
      </c>
      <c r="D118" s="30"/>
      <c r="E118" s="53">
        <f t="shared" ca="1" si="39"/>
        <v>9688588.1153595168</v>
      </c>
      <c r="F118" s="30"/>
      <c r="G118" s="30"/>
      <c r="H118" s="53">
        <f>Data!$AS9</f>
        <v>0</v>
      </c>
      <c r="I118" s="53">
        <f t="shared" ca="1" si="40"/>
        <v>9688588.1153595168</v>
      </c>
      <c r="J118" s="55" t="str">
        <f t="shared" si="41"/>
        <v>NA</v>
      </c>
      <c r="K118" s="453"/>
      <c r="L118" s="454">
        <f t="shared" ca="1" si="42"/>
        <v>1.6161362468547502</v>
      </c>
      <c r="P118" s="43"/>
      <c r="R118" s="43">
        <f t="shared" ca="1" si="38"/>
        <v>5592293.666666667</v>
      </c>
    </row>
    <row r="119" spans="1:21" x14ac:dyDescent="0.2">
      <c r="A119" s="138">
        <f>AA27</f>
        <v>45322</v>
      </c>
      <c r="B119" s="53">
        <f ca="1">AF27</f>
        <v>5963486.2499999888</v>
      </c>
      <c r="C119" s="53">
        <f ca="1">AE27</f>
        <v>3131600.7753595184</v>
      </c>
      <c r="D119" s="35"/>
      <c r="E119" s="53">
        <f t="shared" ca="1" si="39"/>
        <v>9095087.0253595077</v>
      </c>
      <c r="F119" s="35"/>
      <c r="G119" s="35"/>
      <c r="H119" s="53">
        <f>Data!$AS10</f>
        <v>0</v>
      </c>
      <c r="I119" s="53">
        <f t="shared" ca="1" si="40"/>
        <v>9095087.0253595077</v>
      </c>
      <c r="J119" s="55" t="str">
        <f t="shared" si="41"/>
        <v>NA</v>
      </c>
      <c r="K119" s="453"/>
      <c r="L119" s="454">
        <f t="shared" ca="1" si="42"/>
        <v>1.531927888859542</v>
      </c>
      <c r="P119" s="43"/>
      <c r="R119" s="43">
        <f t="shared" ca="1" si="38"/>
        <v>5393582</v>
      </c>
      <c r="T119" s="116">
        <f>Data!$BO20</f>
        <v>5834981.5740672164</v>
      </c>
      <c r="U119" s="43">
        <f>AVERAGE(T119:T121)</f>
        <v>5092401.9389670677</v>
      </c>
    </row>
    <row r="120" spans="1:21" x14ac:dyDescent="0.2">
      <c r="A120" s="138">
        <f>AA26</f>
        <v>45291</v>
      </c>
      <c r="B120" s="53">
        <f ca="1">AF26</f>
        <v>6712663.4799999967</v>
      </c>
      <c r="C120" s="53">
        <f ca="1">AE26</f>
        <v>2202967.0453595095</v>
      </c>
      <c r="D120" s="35"/>
      <c r="E120" s="53">
        <f t="shared" ca="1" si="39"/>
        <v>8915630.5253595058</v>
      </c>
      <c r="F120" s="35"/>
      <c r="G120" s="35"/>
      <c r="H120" s="53">
        <f>Data!$AS11</f>
        <v>0</v>
      </c>
      <c r="I120" s="53">
        <f t="shared" ca="1" si="40"/>
        <v>8915630.5253595058</v>
      </c>
      <c r="J120" s="55" t="str">
        <f t="shared" si="41"/>
        <v>NA</v>
      </c>
      <c r="K120" s="453"/>
      <c r="L120" s="454">
        <f t="shared" ca="1" si="42"/>
        <v>1.4774884999963827</v>
      </c>
      <c r="P120" s="43"/>
      <c r="R120" s="43">
        <f t="shared" ca="1" si="38"/>
        <v>5266215</v>
      </c>
      <c r="T120" s="116">
        <f>Data!$BO21</f>
        <v>4821841.9485111265</v>
      </c>
    </row>
    <row r="121" spans="1:21" x14ac:dyDescent="0.2">
      <c r="A121" s="138">
        <f>AA25</f>
        <v>45260</v>
      </c>
      <c r="B121" s="53">
        <f ca="1">AF25</f>
        <v>7195993.0899999812</v>
      </c>
      <c r="C121" s="53">
        <f ca="1">AE25</f>
        <v>1794491.4153595068</v>
      </c>
      <c r="D121" s="35"/>
      <c r="E121" s="53">
        <f t="shared" ca="1" si="39"/>
        <v>8990484.5053594876</v>
      </c>
      <c r="F121" s="35"/>
      <c r="G121" s="35"/>
      <c r="H121" s="53">
        <f>Data!$AS12</f>
        <v>0</v>
      </c>
      <c r="I121" s="53">
        <f t="shared" ca="1" si="40"/>
        <v>8990484.5053594876</v>
      </c>
      <c r="J121" s="55" t="str">
        <f t="shared" si="41"/>
        <v>NA</v>
      </c>
      <c r="K121" s="453"/>
      <c r="L121" s="454">
        <f t="shared" ca="1" si="42"/>
        <v>1.5087953506366367</v>
      </c>
      <c r="P121" s="43"/>
      <c r="R121" s="43">
        <f t="shared" ca="1" si="38"/>
        <v>5362046.8580224058</v>
      </c>
      <c r="T121" s="116">
        <f>Data!$BO22</f>
        <v>4620382.2943228586</v>
      </c>
    </row>
    <row r="122" spans="1:21" x14ac:dyDescent="0.2">
      <c r="A122" s="138">
        <f>AA24</f>
        <v>45230</v>
      </c>
      <c r="B122" s="53">
        <f ca="1">AF24</f>
        <v>7424714.5000000075</v>
      </c>
      <c r="C122" s="53">
        <f ca="1">AE24</f>
        <v>1480887.6253594873</v>
      </c>
      <c r="D122" s="35"/>
      <c r="E122" s="53">
        <f t="shared" ca="1" si="39"/>
        <v>8905602.1253594942</v>
      </c>
      <c r="F122" s="35"/>
      <c r="G122" s="35"/>
      <c r="H122" s="53">
        <f>Data!$AS13</f>
        <v>0</v>
      </c>
      <c r="I122" s="53">
        <f t="shared" ca="1" si="40"/>
        <v>8905602.1253594942</v>
      </c>
      <c r="J122" s="55" t="str">
        <f t="shared" si="41"/>
        <v>NA</v>
      </c>
      <c r="K122" s="453"/>
      <c r="L122" s="454">
        <f t="shared" ca="1" si="42"/>
        <v>1.4942647311357418</v>
      </c>
      <c r="P122" s="43"/>
      <c r="R122" s="43">
        <f t="shared" ca="1" si="38"/>
        <v>5165166.5075261146</v>
      </c>
      <c r="T122" s="116">
        <f>Data!$BO23</f>
        <v>5120495.1487528142</v>
      </c>
    </row>
    <row r="123" spans="1:21" x14ac:dyDescent="0.2">
      <c r="A123" s="138">
        <f>AA23</f>
        <v>45199</v>
      </c>
      <c r="B123" s="53">
        <f ca="1">AF23</f>
        <v>7742430.2399999835</v>
      </c>
      <c r="C123" s="53">
        <f ca="1">AE23</f>
        <v>1204988.005359489</v>
      </c>
      <c r="D123" s="35"/>
      <c r="E123" s="53">
        <f t="shared" ca="1" si="39"/>
        <v>8947418.2453594729</v>
      </c>
      <c r="F123" s="35"/>
      <c r="G123" s="35"/>
      <c r="H123" s="53">
        <f>Data!$AS14</f>
        <v>0</v>
      </c>
      <c r="I123" s="53">
        <f t="shared" ca="1" si="40"/>
        <v>8947418.2453594729</v>
      </c>
      <c r="J123" s="55" t="str">
        <f t="shared" si="41"/>
        <v>NA</v>
      </c>
      <c r="K123" s="453"/>
      <c r="L123" s="454">
        <f t="shared" ca="1" si="42"/>
        <v>1.6067754937802792</v>
      </c>
      <c r="P123" s="43"/>
      <c r="R123" s="451">
        <f t="shared" ref="R123:R128" si="43">AVERAGE(T119:T121)</f>
        <v>5092401.9389670677</v>
      </c>
      <c r="T123" s="116">
        <f>Data!$BO24</f>
        <v>5047051.0525426669</v>
      </c>
    </row>
    <row r="124" spans="1:21" x14ac:dyDescent="0.2">
      <c r="A124" s="138">
        <f>AA22</f>
        <v>45169</v>
      </c>
      <c r="B124" s="53">
        <f ca="1">AF22</f>
        <v>8217707.1799999904</v>
      </c>
      <c r="C124" s="53">
        <f ca="1">AE22</f>
        <v>1007742.1753594824</v>
      </c>
      <c r="D124" s="30"/>
      <c r="E124" s="53">
        <f t="shared" ca="1" si="39"/>
        <v>9225449.3553594723</v>
      </c>
      <c r="F124" s="30"/>
      <c r="G124" s="30"/>
      <c r="H124" s="53">
        <f>Data!$AS15</f>
        <v>0</v>
      </c>
      <c r="I124" s="53">
        <f t="shared" ca="1" si="40"/>
        <v>9225449.3553594723</v>
      </c>
      <c r="J124" s="55" t="str">
        <f t="shared" si="41"/>
        <v>NA</v>
      </c>
      <c r="K124" s="453"/>
      <c r="L124" s="454">
        <f t="shared" ca="1" si="42"/>
        <v>1.6496718350734214</v>
      </c>
      <c r="P124" s="43"/>
      <c r="R124" s="451">
        <f t="shared" si="43"/>
        <v>4854239.7971955994</v>
      </c>
      <c r="T124" s="116">
        <f>Data!$BO25</f>
        <v>5346516.4463065388</v>
      </c>
    </row>
    <row r="125" spans="1:21" x14ac:dyDescent="0.2">
      <c r="A125" s="138">
        <f>AA21</f>
        <v>45138</v>
      </c>
      <c r="B125" s="53">
        <f ca="1">AF21</f>
        <v>7651037.6499999836</v>
      </c>
      <c r="C125" s="53">
        <f ca="1">AE21</f>
        <v>835458.46535946475</v>
      </c>
      <c r="D125" s="35"/>
      <c r="E125" s="53">
        <f t="shared" ca="1" si="39"/>
        <v>8486496.1153594479</v>
      </c>
      <c r="F125" s="35"/>
      <c r="G125" s="35"/>
      <c r="H125" s="53">
        <f>Data!$AS16</f>
        <v>0</v>
      </c>
      <c r="I125" s="53">
        <f t="shared" ca="1" si="40"/>
        <v>8486496.1153594479</v>
      </c>
      <c r="J125" s="55" t="str">
        <f t="shared" si="41"/>
        <v>NA</v>
      </c>
      <c r="K125" s="453"/>
      <c r="L125" s="454">
        <f t="shared" ca="1" si="42"/>
        <v>1.5734434213402981</v>
      </c>
      <c r="P125" s="43"/>
      <c r="R125" s="451">
        <f t="shared" si="43"/>
        <v>4929309.4985394469</v>
      </c>
      <c r="T125" s="116">
        <f>Data!$BO26</f>
        <v>5274149.7107594796</v>
      </c>
    </row>
    <row r="126" spans="1:21" x14ac:dyDescent="0.2">
      <c r="A126" s="138">
        <f>AA20</f>
        <v>45107</v>
      </c>
      <c r="B126" s="53">
        <f ca="1">AF20</f>
        <v>7583951.6999999937</v>
      </c>
      <c r="C126" s="53">
        <f ca="1">AE20</f>
        <v>706065.52535945317</v>
      </c>
      <c r="D126" s="30"/>
      <c r="E126" s="53">
        <f t="shared" ca="1" si="39"/>
        <v>8290017.2253594473</v>
      </c>
      <c r="F126" s="30"/>
      <c r="G126" s="30"/>
      <c r="H126" s="53">
        <f>Data!$AS17</f>
        <v>0</v>
      </c>
      <c r="I126" s="53">
        <f t="shared" ca="1" si="40"/>
        <v>8290017.2253594473</v>
      </c>
      <c r="J126" s="55" t="str">
        <f t="shared" si="41"/>
        <v>NA</v>
      </c>
      <c r="K126" s="453"/>
      <c r="L126" s="454">
        <f t="shared" ca="1" si="42"/>
        <v>1.5741889051927138</v>
      </c>
      <c r="P126" s="43"/>
      <c r="R126" s="451">
        <f t="shared" si="43"/>
        <v>5171354.2158673396</v>
      </c>
      <c r="T126" s="116">
        <f>Data!$BO27</f>
        <v>5856107.2622254128</v>
      </c>
    </row>
    <row r="127" spans="1:21" x14ac:dyDescent="0.2">
      <c r="A127" s="138">
        <f>AA19</f>
        <v>45077</v>
      </c>
      <c r="B127" s="53">
        <f ca="1">AF19</f>
        <v>7317055.3799999971</v>
      </c>
      <c r="C127" s="53">
        <f ca="1">AE19</f>
        <v>587459.82535943994</v>
      </c>
      <c r="D127" s="30"/>
      <c r="E127" s="53">
        <f t="shared" ca="1" si="39"/>
        <v>7904515.2053594366</v>
      </c>
      <c r="F127" s="30"/>
      <c r="G127" s="30"/>
      <c r="H127" s="53">
        <f>Data!$AS18</f>
        <v>0</v>
      </c>
      <c r="I127" s="53">
        <f t="shared" ca="1" si="40"/>
        <v>7904515.2053594366</v>
      </c>
      <c r="J127" s="55" t="str">
        <f t="shared" si="41"/>
        <v>NA</v>
      </c>
      <c r="K127" s="453"/>
      <c r="L127" s="454">
        <f t="shared" ca="1" si="42"/>
        <v>1.4741600390032263</v>
      </c>
      <c r="P127" s="43"/>
      <c r="R127" s="451">
        <f t="shared" si="43"/>
        <v>5222572.4032028951</v>
      </c>
      <c r="T127" s="116">
        <f>Data!$BO28</f>
        <v>5003656.6841914151</v>
      </c>
    </row>
    <row r="128" spans="1:21" x14ac:dyDescent="0.2">
      <c r="A128" s="138">
        <f>AA18</f>
        <v>45046</v>
      </c>
      <c r="B128" s="53">
        <f ca="1">AF18</f>
        <v>7270526.4799999781</v>
      </c>
      <c r="C128" s="53">
        <f ca="1">AE18</f>
        <v>490984.93535943748</v>
      </c>
      <c r="D128" s="30"/>
      <c r="E128" s="53">
        <f t="shared" ca="1" si="39"/>
        <v>7761511.4153594151</v>
      </c>
      <c r="F128" s="30"/>
      <c r="G128" s="30"/>
      <c r="H128" s="53">
        <f>Data!$AS19</f>
        <v>0</v>
      </c>
      <c r="I128" s="53">
        <f t="shared" ca="1" si="40"/>
        <v>7761511.4153594151</v>
      </c>
      <c r="J128" s="55" t="str">
        <f t="shared" si="41"/>
        <v>NA</v>
      </c>
      <c r="K128" s="453"/>
      <c r="L128" s="454">
        <f t="shared" ca="1" si="42"/>
        <v>1.5026643195432696</v>
      </c>
      <c r="P128" s="43"/>
      <c r="R128" s="451">
        <f t="shared" si="43"/>
        <v>5492257.8064304767</v>
      </c>
      <c r="T128" s="116">
        <f>Data!$BO29</f>
        <v>5190331.2046734244</v>
      </c>
    </row>
    <row r="129" spans="1:16" x14ac:dyDescent="0.2">
      <c r="A129" s="138">
        <f>AA17</f>
        <v>45016</v>
      </c>
      <c r="B129" s="53">
        <f ca="1">AF17</f>
        <v>6706181.72999998</v>
      </c>
      <c r="C129" s="53">
        <f ca="1">AE17</f>
        <v>415861.83535942668</v>
      </c>
      <c r="D129" s="35"/>
      <c r="E129" s="53">
        <f t="shared" ca="1" si="39"/>
        <v>7122043.5653594062</v>
      </c>
      <c r="F129" s="35"/>
      <c r="G129" s="35"/>
      <c r="H129" s="53">
        <f>Data!$AS20</f>
        <v>0</v>
      </c>
      <c r="I129" s="53">
        <f t="shared" ca="1" si="40"/>
        <v>7122043.5653594062</v>
      </c>
      <c r="J129" s="55" t="str">
        <f t="shared" si="41"/>
        <v>NA</v>
      </c>
      <c r="K129" s="453"/>
      <c r="L129" s="454">
        <f t="shared" ca="1" si="42"/>
        <v>1.398562731441428</v>
      </c>
      <c r="P129" s="43"/>
    </row>
    <row r="130" spans="1:16" x14ac:dyDescent="0.2">
      <c r="A130" s="138">
        <f>AA16</f>
        <v>44985</v>
      </c>
      <c r="B130" s="53">
        <f ca="1">AF16</f>
        <v>6724581.9799999762</v>
      </c>
      <c r="C130" s="53">
        <f ca="1">AE16</f>
        <v>342545.21129218256</v>
      </c>
      <c r="D130" s="30"/>
      <c r="E130" s="53">
        <f t="shared" ca="1" si="39"/>
        <v>7067127.1912921593</v>
      </c>
      <c r="F130" s="30"/>
      <c r="G130" s="30"/>
      <c r="H130" s="53">
        <f>Data!$AS21</f>
        <v>0</v>
      </c>
      <c r="I130" s="53">
        <f t="shared" ca="1" si="40"/>
        <v>7067127.1912921593</v>
      </c>
      <c r="J130" s="55" t="str">
        <f t="shared" si="41"/>
        <v>NA</v>
      </c>
      <c r="K130" s="453"/>
      <c r="L130" s="454">
        <f t="shared" ca="1" si="42"/>
        <v>1.4558669300546283</v>
      </c>
      <c r="P130" s="43"/>
    </row>
    <row r="131" spans="1:16" x14ac:dyDescent="0.2">
      <c r="A131" s="138">
        <f>AA15</f>
        <v>44957</v>
      </c>
      <c r="B131" s="53">
        <f ca="1">AF15</f>
        <v>6539258.4399999753</v>
      </c>
      <c r="C131" s="53">
        <f ca="1">AE15</f>
        <v>292367.2327810456</v>
      </c>
      <c r="D131" s="30"/>
      <c r="E131" s="53">
        <f t="shared" ca="1" si="39"/>
        <v>6831625.6727810204</v>
      </c>
      <c r="F131" s="30"/>
      <c r="G131" s="30"/>
      <c r="H131" s="53">
        <f>Data!$AS22</f>
        <v>0</v>
      </c>
      <c r="I131" s="53">
        <f t="shared" ca="1" si="40"/>
        <v>6831625.6727810204</v>
      </c>
      <c r="J131" s="55" t="str">
        <f t="shared" si="41"/>
        <v>NA</v>
      </c>
      <c r="K131" s="453"/>
      <c r="L131" s="454">
        <f t="shared" ca="1" si="42"/>
        <v>1.3859194020593004</v>
      </c>
      <c r="P131" s="43"/>
    </row>
    <row r="132" spans="1:16" x14ac:dyDescent="0.2">
      <c r="A132" s="138">
        <f>AA14</f>
        <v>44926</v>
      </c>
      <c r="B132" s="53">
        <f ca="1">AF14</f>
        <v>7092482.2100000009</v>
      </c>
      <c r="C132" s="53">
        <f ca="1">AE14</f>
        <v>250438.47845817311</v>
      </c>
      <c r="D132" s="30"/>
      <c r="E132" s="53">
        <f t="shared" ca="1" si="39"/>
        <v>7342920.6884581745</v>
      </c>
      <c r="F132" s="30"/>
      <c r="G132" s="30"/>
      <c r="H132" s="53">
        <f>Data!$AS23</f>
        <v>0</v>
      </c>
      <c r="I132" s="53">
        <f t="shared" ca="1" si="40"/>
        <v>7342920.6884581745</v>
      </c>
      <c r="J132" s="55" t="str">
        <f t="shared" si="41"/>
        <v>NA</v>
      </c>
      <c r="K132" s="453"/>
      <c r="L132" s="454">
        <f t="shared" ca="1" si="42"/>
        <v>1.4199222064363308</v>
      </c>
    </row>
    <row r="133" spans="1:16" x14ac:dyDescent="0.2">
      <c r="A133" s="138">
        <f>AA13</f>
        <v>44895</v>
      </c>
      <c r="B133" s="53">
        <f ca="1">AF13</f>
        <v>7819685.1700000148</v>
      </c>
      <c r="C133" s="53">
        <f ca="1">AE13</f>
        <v>211850.92970538372</v>
      </c>
      <c r="D133" s="30"/>
      <c r="E133" s="53">
        <f t="shared" ca="1" si="39"/>
        <v>8031536.0997053981</v>
      </c>
      <c r="F133" s="30"/>
      <c r="G133" s="30"/>
      <c r="H133" s="53">
        <f>Data!$AS24</f>
        <v>0</v>
      </c>
      <c r="I133" s="53">
        <f t="shared" ca="1" si="40"/>
        <v>8031536.0997053981</v>
      </c>
      <c r="J133" s="55" t="str">
        <f t="shared" si="41"/>
        <v>NA</v>
      </c>
      <c r="K133" s="453"/>
      <c r="L133" s="454">
        <f t="shared" ca="1" si="42"/>
        <v>1.5378505992142539</v>
      </c>
    </row>
    <row r="134" spans="1:16" x14ac:dyDescent="0.2">
      <c r="A134" s="138">
        <f>AA12</f>
        <v>44865</v>
      </c>
      <c r="B134" s="53">
        <f ca="1">AF12</f>
        <v>7673367.1100000087</v>
      </c>
      <c r="C134" s="53">
        <f ca="1">AE12</f>
        <v>176632.10716273403</v>
      </c>
      <c r="D134" s="35"/>
      <c r="E134" s="53">
        <f t="shared" ca="1" si="39"/>
        <v>7849999.2171627432</v>
      </c>
      <c r="F134" s="35"/>
      <c r="G134" s="35"/>
      <c r="H134" s="53">
        <f>Data!$AS25</f>
        <v>0</v>
      </c>
      <c r="I134" s="53">
        <f t="shared" ca="1" si="40"/>
        <v>7849999.2171627432</v>
      </c>
      <c r="J134" s="55" t="str">
        <f t="shared" si="41"/>
        <v>NA</v>
      </c>
      <c r="K134" s="453"/>
      <c r="L134" s="454">
        <f t="shared" ca="1" si="42"/>
        <v>1.4292845481455299</v>
      </c>
    </row>
    <row r="135" spans="1:16" x14ac:dyDescent="0.2">
      <c r="C135" s="43"/>
      <c r="D135" s="43"/>
      <c r="H135" s="43"/>
      <c r="L135" s="43"/>
    </row>
    <row r="136" spans="1:16" ht="12.75" x14ac:dyDescent="0.2">
      <c r="A136" s="34" t="str">
        <f>A1</f>
        <v>Allied Pacific (APC Commerical)</v>
      </c>
      <c r="M136" s="376" t="s">
        <v>765</v>
      </c>
    </row>
    <row r="137" spans="1:16" x14ac:dyDescent="0.2">
      <c r="A137" s="3" t="s">
        <v>339</v>
      </c>
    </row>
    <row r="138" spans="1:16" x14ac:dyDescent="0.2">
      <c r="A138" s="30" t="s">
        <v>315</v>
      </c>
      <c r="B138" s="44">
        <f>$C$3</f>
        <v>45382</v>
      </c>
    </row>
    <row r="139" spans="1:16" x14ac:dyDescent="0.2">
      <c r="J139" s="43"/>
    </row>
    <row r="141" spans="1:16" x14ac:dyDescent="0.2">
      <c r="C141" s="2" t="s">
        <v>17</v>
      </c>
      <c r="D141" s="2"/>
      <c r="E141" s="2"/>
      <c r="F141" s="2"/>
      <c r="G141" s="2"/>
      <c r="H141" s="2"/>
      <c r="I141" s="2"/>
      <c r="J141" s="43"/>
    </row>
    <row r="142" spans="1:16" x14ac:dyDescent="0.2">
      <c r="A142" s="2" t="s">
        <v>96</v>
      </c>
      <c r="C142" s="2" t="s">
        <v>96</v>
      </c>
      <c r="D142" s="2"/>
      <c r="E142" s="2" t="s">
        <v>423</v>
      </c>
      <c r="G142" s="2"/>
      <c r="H142" s="2" t="s">
        <v>424</v>
      </c>
      <c r="I142" s="2"/>
      <c r="J142" s="2" t="s">
        <v>189</v>
      </c>
    </row>
    <row r="143" spans="1:16" x14ac:dyDescent="0.2">
      <c r="A143" s="29" t="s">
        <v>41</v>
      </c>
      <c r="C143" s="29" t="s">
        <v>85</v>
      </c>
      <c r="D143" s="29"/>
      <c r="E143" s="61" t="s">
        <v>85</v>
      </c>
      <c r="G143" s="2"/>
      <c r="H143" s="29" t="s">
        <v>85</v>
      </c>
      <c r="I143" s="49"/>
      <c r="J143" s="49" t="s">
        <v>175</v>
      </c>
    </row>
    <row r="144" spans="1:16" x14ac:dyDescent="0.2">
      <c r="A144" s="2"/>
      <c r="I144" s="2"/>
      <c r="J144" s="2"/>
    </row>
    <row r="145" spans="1:22" x14ac:dyDescent="0.2">
      <c r="A145" s="52">
        <f>$A$11</f>
        <v>45352</v>
      </c>
      <c r="B145" s="30"/>
      <c r="C145" s="30"/>
      <c r="D145" s="30"/>
      <c r="E145" s="62" t="s">
        <v>121</v>
      </c>
      <c r="F145" s="30"/>
      <c r="G145" s="30"/>
      <c r="H145" s="62" t="s">
        <v>121</v>
      </c>
      <c r="I145" s="63"/>
      <c r="J145" s="55"/>
    </row>
    <row r="146" spans="1:22" x14ac:dyDescent="0.2">
      <c r="A146" s="52">
        <f>$A$12</f>
        <v>45323</v>
      </c>
      <c r="B146" s="30"/>
      <c r="C146" s="53">
        <f ca="1">IF(E146&gt;0,+C$12,"")</f>
        <v>6178865</v>
      </c>
      <c r="D146" s="53"/>
      <c r="E146" s="180">
        <v>597594</v>
      </c>
      <c r="F146" s="30"/>
      <c r="G146" s="30"/>
      <c r="H146" s="53">
        <f t="shared" ref="H146:H156" ca="1" si="44">C146-E146</f>
        <v>5581271</v>
      </c>
      <c r="I146" s="63"/>
      <c r="J146" s="55">
        <f t="shared" ref="J146:J157" ca="1" si="45">H146/C146</f>
        <v>0.90328417921414372</v>
      </c>
    </row>
    <row r="147" spans="1:22" x14ac:dyDescent="0.2">
      <c r="A147" s="52">
        <f>$A$13</f>
        <v>45292</v>
      </c>
      <c r="B147" s="30"/>
      <c r="C147" s="53">
        <f ca="1">IF(E147&gt;0,+C$13,"")</f>
        <v>6102795</v>
      </c>
      <c r="D147" s="53"/>
      <c r="E147" s="180">
        <v>647734</v>
      </c>
      <c r="F147" s="30"/>
      <c r="G147" s="30"/>
      <c r="H147" s="53">
        <f t="shared" ca="1" si="44"/>
        <v>5455061</v>
      </c>
      <c r="I147" s="63"/>
      <c r="J147" s="55">
        <f t="shared" ca="1" si="45"/>
        <v>0.89386273010972839</v>
      </c>
    </row>
    <row r="148" spans="1:22" x14ac:dyDescent="0.2">
      <c r="A148" s="52">
        <f>$A$14</f>
        <v>45261</v>
      </c>
      <c r="B148" s="30"/>
      <c r="C148" s="53">
        <f ca="1">IF(E148&gt;0,+C$14,"")</f>
        <v>5703064</v>
      </c>
      <c r="D148" s="53"/>
      <c r="E148" s="180">
        <v>734382</v>
      </c>
      <c r="F148" s="30"/>
      <c r="G148" s="30"/>
      <c r="H148" s="53">
        <f t="shared" ca="1" si="44"/>
        <v>4968682</v>
      </c>
      <c r="I148" s="63"/>
      <c r="J148" s="55">
        <f t="shared" ca="1" si="45"/>
        <v>0.8712302720081696</v>
      </c>
    </row>
    <row r="149" spans="1:22" x14ac:dyDescent="0.2">
      <c r="A149" s="52">
        <f>$A$15</f>
        <v>45231</v>
      </c>
      <c r="B149" s="30"/>
      <c r="C149" s="53">
        <f ca="1">C$15</f>
        <v>6005202</v>
      </c>
      <c r="D149" s="53"/>
      <c r="E149" s="180">
        <v>652312</v>
      </c>
      <c r="F149" s="30"/>
      <c r="G149" s="30"/>
      <c r="H149" s="53">
        <f t="shared" ca="1" si="44"/>
        <v>5352890</v>
      </c>
      <c r="I149" s="63"/>
      <c r="J149" s="55">
        <f t="shared" ca="1" si="45"/>
        <v>0.89137551076549959</v>
      </c>
    </row>
    <row r="150" spans="1:22" x14ac:dyDescent="0.2">
      <c r="A150" s="52">
        <f>$A$16</f>
        <v>45200</v>
      </c>
      <c r="B150" s="30"/>
      <c r="C150" s="53">
        <f ca="1">C$16</f>
        <v>6394678</v>
      </c>
      <c r="D150" s="53"/>
      <c r="E150" s="180">
        <v>697101</v>
      </c>
      <c r="F150" s="30"/>
      <c r="G150" s="30"/>
      <c r="H150" s="53">
        <f t="shared" ca="1" si="44"/>
        <v>5697577</v>
      </c>
      <c r="I150" s="63"/>
      <c r="J150" s="55">
        <f t="shared" ca="1" si="45"/>
        <v>0.89098731789153418</v>
      </c>
    </row>
    <row r="151" spans="1:22" x14ac:dyDescent="0.2">
      <c r="A151" s="52">
        <f>$A$17</f>
        <v>45170</v>
      </c>
      <c r="B151" s="30"/>
      <c r="C151" s="53">
        <f ca="1">C$17</f>
        <v>5476271</v>
      </c>
      <c r="D151" s="53"/>
      <c r="E151" s="180">
        <v>631384</v>
      </c>
      <c r="F151" s="30"/>
      <c r="G151" s="30"/>
      <c r="H151" s="53">
        <f t="shared" ca="1" si="44"/>
        <v>4844887</v>
      </c>
      <c r="I151" s="63"/>
      <c r="J151" s="55">
        <f t="shared" ca="1" si="45"/>
        <v>0.88470548663497484</v>
      </c>
    </row>
    <row r="152" spans="1:22" x14ac:dyDescent="0.2">
      <c r="A152" s="52">
        <f>$A$18</f>
        <v>45139</v>
      </c>
      <c r="B152" s="30"/>
      <c r="C152" s="53">
        <f ca="1">C$18</f>
        <v>6008618</v>
      </c>
      <c r="D152" s="53"/>
      <c r="E152" s="180">
        <v>636196</v>
      </c>
      <c r="F152" s="30"/>
      <c r="G152" s="30"/>
      <c r="H152" s="53">
        <f t="shared" ca="1" si="44"/>
        <v>5372422</v>
      </c>
      <c r="I152" s="63"/>
      <c r="J152" s="55">
        <f t="shared" ca="1" si="45"/>
        <v>0.89411941314957943</v>
      </c>
      <c r="V152" s="559"/>
    </row>
    <row r="153" spans="1:22" x14ac:dyDescent="0.2">
      <c r="A153" s="52">
        <f>$A$19</f>
        <v>45108</v>
      </c>
      <c r="B153" s="30"/>
      <c r="C153" s="53">
        <f ca="1">C$19</f>
        <v>5220777</v>
      </c>
      <c r="D153" s="53"/>
      <c r="E153" s="180">
        <v>575744</v>
      </c>
      <c r="F153" s="30"/>
      <c r="G153" s="30"/>
      <c r="H153" s="53">
        <f t="shared" ca="1" si="44"/>
        <v>4645033</v>
      </c>
      <c r="I153" s="63"/>
      <c r="J153" s="55">
        <f t="shared" ca="1" si="45"/>
        <v>0.88972062970703403</v>
      </c>
      <c r="V153" s="559"/>
    </row>
    <row r="154" spans="1:22" x14ac:dyDescent="0.2">
      <c r="A154" s="52">
        <f>$A$20</f>
        <v>45078</v>
      </c>
      <c r="B154" s="30"/>
      <c r="C154" s="53">
        <f ca="1">C$20</f>
        <v>5547486</v>
      </c>
      <c r="D154" s="53"/>
      <c r="E154" s="180">
        <v>598368</v>
      </c>
      <c r="F154" s="30"/>
      <c r="G154" s="30"/>
      <c r="H154" s="53">
        <f t="shared" ca="1" si="44"/>
        <v>4949118</v>
      </c>
      <c r="I154" s="63"/>
      <c r="J154" s="55">
        <f t="shared" ca="1" si="45"/>
        <v>0.89213708696155336</v>
      </c>
      <c r="V154" s="559"/>
    </row>
    <row r="155" spans="1:22" x14ac:dyDescent="0.2">
      <c r="A155" s="52">
        <f>$A$21</f>
        <v>45047</v>
      </c>
      <c r="B155" s="30"/>
      <c r="C155" s="53">
        <f ca="1">C$21</f>
        <v>5412483</v>
      </c>
      <c r="D155" s="53"/>
      <c r="E155" s="180">
        <v>568069</v>
      </c>
      <c r="F155" s="30"/>
      <c r="G155" s="30"/>
      <c r="H155" s="53">
        <f t="shared" ca="1" si="44"/>
        <v>4844414</v>
      </c>
      <c r="I155" s="63"/>
      <c r="J155" s="55">
        <f t="shared" ca="1" si="45"/>
        <v>0.89504465880077588</v>
      </c>
      <c r="V155" s="559"/>
    </row>
    <row r="156" spans="1:22" x14ac:dyDescent="0.2">
      <c r="A156" s="52">
        <f>$A$22</f>
        <v>45017</v>
      </c>
      <c r="B156" s="30"/>
      <c r="C156" s="53">
        <f ca="1">C$22</f>
        <v>4838676</v>
      </c>
      <c r="D156" s="53"/>
      <c r="E156" s="180">
        <v>607912</v>
      </c>
      <c r="F156" s="30"/>
      <c r="G156" s="30"/>
      <c r="H156" s="53">
        <f t="shared" ca="1" si="44"/>
        <v>4230764</v>
      </c>
      <c r="I156" s="63"/>
      <c r="J156" s="55">
        <f t="shared" ca="1" si="45"/>
        <v>0.87436397890662654</v>
      </c>
    </row>
    <row r="157" spans="1:22" x14ac:dyDescent="0.2">
      <c r="A157" s="56" t="s">
        <v>632</v>
      </c>
      <c r="B157" s="30"/>
      <c r="C157" s="53">
        <f ca="1">SUM(C146:C156)</f>
        <v>62888915</v>
      </c>
      <c r="D157" s="53"/>
      <c r="E157" s="53">
        <f>SUM(E146:E156)</f>
        <v>6946796</v>
      </c>
      <c r="F157" s="30"/>
      <c r="G157" s="30"/>
      <c r="H157" s="53">
        <f ca="1">SUM(H146:H156)</f>
        <v>55942119</v>
      </c>
      <c r="I157" s="63"/>
      <c r="J157" s="55">
        <f t="shared" ca="1" si="45"/>
        <v>0.88953862536823858</v>
      </c>
    </row>
    <row r="158" spans="1:22" x14ac:dyDescent="0.2">
      <c r="A158" s="2"/>
    </row>
    <row r="159" spans="1:22" x14ac:dyDescent="0.2">
      <c r="A159" s="56" t="s">
        <v>423</v>
      </c>
      <c r="B159" s="30"/>
      <c r="C159" s="30"/>
      <c r="D159" s="30"/>
      <c r="E159" s="30"/>
      <c r="F159" s="30"/>
      <c r="G159" s="30"/>
      <c r="H159" s="53" t="e">
        <f ca="1">$G$63-H157</f>
        <v>#N/A</v>
      </c>
    </row>
    <row r="160" spans="1:22" x14ac:dyDescent="0.2">
      <c r="A160" s="2"/>
      <c r="H160" s="43"/>
    </row>
    <row r="161" spans="1:10" x14ac:dyDescent="0.2">
      <c r="A161" s="64" t="s">
        <v>102</v>
      </c>
      <c r="B161" s="30"/>
      <c r="C161" s="30"/>
      <c r="D161" s="30"/>
      <c r="E161" s="30"/>
      <c r="F161" s="30"/>
      <c r="G161" s="30"/>
      <c r="H161" s="65" t="e">
        <f ca="1">SUM(H157:H160)</f>
        <v>#N/A</v>
      </c>
    </row>
    <row r="162" spans="1:10" x14ac:dyDescent="0.2">
      <c r="B162" s="51"/>
      <c r="F162" s="66"/>
      <c r="H162" s="43"/>
      <c r="J162" s="67"/>
    </row>
    <row r="164" spans="1:10" ht="12.75" x14ac:dyDescent="0.2">
      <c r="A164" s="68" t="s">
        <v>122</v>
      </c>
    </row>
    <row r="165" spans="1:10" ht="12.75" x14ac:dyDescent="0.2">
      <c r="A165" s="60" t="s">
        <v>123</v>
      </c>
    </row>
    <row r="219" spans="19:27" x14ac:dyDescent="0.2">
      <c r="S219" s="289"/>
      <c r="T219" s="120"/>
      <c r="U219" s="141"/>
      <c r="V219" s="2"/>
      <c r="W219" s="333"/>
      <c r="X219" s="333"/>
      <c r="Y219" s="141"/>
      <c r="Z219" s="66"/>
      <c r="AA219" s="66"/>
    </row>
    <row r="220" spans="19:27" x14ac:dyDescent="0.2">
      <c r="S220" s="289"/>
      <c r="T220" s="120"/>
      <c r="U220" s="141"/>
      <c r="V220" s="2"/>
      <c r="W220" s="333"/>
      <c r="X220" s="333"/>
      <c r="Y220" s="141"/>
      <c r="Z220" s="66"/>
      <c r="AA220" s="66"/>
    </row>
    <row r="221" spans="19:27" x14ac:dyDescent="0.2">
      <c r="S221" s="289"/>
      <c r="T221" s="120"/>
      <c r="U221" s="141"/>
      <c r="V221" s="2"/>
      <c r="W221" s="333"/>
      <c r="X221" s="333"/>
      <c r="Y221" s="141"/>
      <c r="Z221" s="66"/>
      <c r="AA221" s="66"/>
    </row>
    <row r="222" spans="19:27" x14ac:dyDescent="0.2">
      <c r="S222" s="289"/>
      <c r="T222" s="120"/>
      <c r="U222" s="141"/>
      <c r="V222" s="2"/>
      <c r="W222" s="333"/>
      <c r="X222" s="333"/>
      <c r="Y222" s="141"/>
      <c r="Z222" s="66"/>
      <c r="AA222" s="66"/>
    </row>
    <row r="223" spans="19:27" x14ac:dyDescent="0.2">
      <c r="S223" s="289"/>
      <c r="T223" s="120"/>
      <c r="U223" s="141"/>
      <c r="V223" s="2"/>
      <c r="W223" s="333"/>
      <c r="X223" s="333"/>
      <c r="Y223" s="141"/>
      <c r="Z223" s="66"/>
      <c r="AA223" s="66"/>
    </row>
    <row r="224" spans="19:27" x14ac:dyDescent="0.2">
      <c r="S224" s="289"/>
      <c r="T224" s="120"/>
      <c r="U224" s="141"/>
      <c r="V224" s="2"/>
      <c r="W224" s="333"/>
      <c r="X224" s="333"/>
      <c r="Y224" s="141"/>
      <c r="Z224" s="66"/>
      <c r="AA224" s="66"/>
    </row>
    <row r="225" spans="19:27" x14ac:dyDescent="0.2">
      <c r="S225" s="289"/>
      <c r="T225" s="120"/>
      <c r="U225" s="141"/>
      <c r="V225" s="2"/>
      <c r="W225" s="333"/>
      <c r="X225" s="333"/>
      <c r="Y225" s="141"/>
      <c r="Z225" s="66"/>
      <c r="AA225" s="66"/>
    </row>
    <row r="226" spans="19:27" x14ac:dyDescent="0.2">
      <c r="S226" s="289"/>
      <c r="T226" s="120"/>
      <c r="U226" s="141"/>
      <c r="V226" s="2"/>
      <c r="W226" s="333"/>
      <c r="X226" s="333"/>
      <c r="Y226" s="141"/>
      <c r="Z226" s="66"/>
      <c r="AA226" s="66"/>
    </row>
    <row r="227" spans="19:27" x14ac:dyDescent="0.2">
      <c r="S227" s="289"/>
      <c r="T227" s="120"/>
      <c r="U227" s="141"/>
      <c r="V227" s="2"/>
      <c r="W227" s="333"/>
      <c r="X227" s="333"/>
      <c r="Y227" s="141"/>
      <c r="Z227" s="66"/>
      <c r="AA227" s="66"/>
    </row>
    <row r="228" spans="19:27" x14ac:dyDescent="0.2">
      <c r="S228" s="289"/>
      <c r="T228" s="120"/>
      <c r="U228" s="141"/>
      <c r="V228" s="2"/>
      <c r="W228" s="333"/>
      <c r="X228" s="333"/>
      <c r="Y228" s="141"/>
      <c r="Z228" s="66"/>
      <c r="AA228" s="66"/>
    </row>
    <row r="229" spans="19:27" x14ac:dyDescent="0.2">
      <c r="S229" s="289"/>
      <c r="T229" s="120"/>
      <c r="U229" s="141"/>
      <c r="V229" s="2"/>
      <c r="W229" s="333"/>
      <c r="X229" s="333"/>
      <c r="Y229" s="141"/>
      <c r="Z229" s="66"/>
      <c r="AA229" s="66"/>
    </row>
    <row r="230" spans="19:27" x14ac:dyDescent="0.2">
      <c r="S230" s="289"/>
      <c r="T230" s="120"/>
      <c r="U230" s="141"/>
      <c r="V230" s="2"/>
      <c r="W230" s="333"/>
      <c r="X230" s="333"/>
      <c r="Y230" s="141"/>
      <c r="Z230" s="66"/>
      <c r="AA230" s="66"/>
    </row>
    <row r="231" spans="19:27" x14ac:dyDescent="0.2">
      <c r="S231" s="289"/>
      <c r="T231" s="120"/>
      <c r="U231" s="141"/>
      <c r="V231" s="2"/>
      <c r="W231" s="333"/>
      <c r="X231" s="333"/>
      <c r="Y231" s="141"/>
      <c r="Z231" s="66"/>
      <c r="AA231" s="66"/>
    </row>
    <row r="232" spans="19:27" x14ac:dyDescent="0.2">
      <c r="S232" s="289"/>
      <c r="T232" s="120"/>
      <c r="U232" s="141"/>
      <c r="V232" s="2"/>
      <c r="W232" s="333"/>
      <c r="X232" s="333"/>
      <c r="Y232" s="141"/>
      <c r="Z232" s="66"/>
      <c r="AA232" s="66"/>
    </row>
    <row r="233" spans="19:27" x14ac:dyDescent="0.2">
      <c r="S233" s="289"/>
      <c r="T233" s="120"/>
      <c r="U233" s="141"/>
      <c r="V233" s="2"/>
      <c r="W233" s="333"/>
      <c r="X233" s="333"/>
      <c r="Y233" s="141"/>
      <c r="Z233" s="66"/>
      <c r="AA233" s="66"/>
    </row>
    <row r="234" spans="19:27" x14ac:dyDescent="0.2">
      <c r="S234" s="289"/>
      <c r="T234" s="120"/>
      <c r="U234" s="141"/>
      <c r="V234" s="2"/>
      <c r="W234" s="333"/>
      <c r="X234" s="333"/>
      <c r="Y234" s="141"/>
      <c r="Z234" s="66"/>
      <c r="AA234" s="66"/>
    </row>
    <row r="235" spans="19:27" x14ac:dyDescent="0.2">
      <c r="S235" s="289"/>
      <c r="T235" s="120"/>
      <c r="U235" s="141"/>
      <c r="V235" s="2"/>
      <c r="W235" s="333"/>
      <c r="X235" s="333"/>
      <c r="Y235" s="141"/>
      <c r="Z235" s="66"/>
      <c r="AA235" s="66"/>
    </row>
    <row r="236" spans="19:27" x14ac:dyDescent="0.2">
      <c r="S236" s="289"/>
      <c r="T236" s="120"/>
      <c r="U236" s="141"/>
      <c r="V236" s="2"/>
      <c r="W236" s="333"/>
      <c r="X236" s="333"/>
      <c r="Y236" s="141"/>
      <c r="Z236" s="66"/>
      <c r="AA236" s="66"/>
    </row>
    <row r="237" spans="19:27" x14ac:dyDescent="0.2">
      <c r="S237" s="289"/>
      <c r="T237" s="120"/>
      <c r="U237" s="141"/>
      <c r="V237" s="2"/>
      <c r="W237" s="333"/>
      <c r="X237" s="333"/>
      <c r="Y237" s="141"/>
      <c r="Z237" s="66"/>
      <c r="AA237" s="66"/>
    </row>
    <row r="238" spans="19:27" x14ac:dyDescent="0.2">
      <c r="S238" s="289"/>
      <c r="T238" s="120"/>
      <c r="U238" s="141"/>
      <c r="V238" s="2"/>
      <c r="W238" s="333"/>
      <c r="X238" s="333"/>
      <c r="Y238" s="141"/>
      <c r="Z238" s="66"/>
      <c r="AA238" s="66"/>
    </row>
    <row r="239" spans="19:27" x14ac:dyDescent="0.2">
      <c r="S239" s="289"/>
      <c r="T239" s="120"/>
      <c r="U239" s="141"/>
      <c r="V239" s="2"/>
      <c r="W239" s="333"/>
      <c r="X239" s="333"/>
      <c r="Y239" s="141"/>
      <c r="Z239" s="66"/>
      <c r="AA239" s="66"/>
    </row>
    <row r="240" spans="19:27" x14ac:dyDescent="0.2">
      <c r="S240" s="289"/>
      <c r="T240" s="120"/>
      <c r="U240" s="141"/>
      <c r="V240" s="2"/>
      <c r="W240" s="333"/>
      <c r="X240" s="333"/>
      <c r="Y240" s="141"/>
      <c r="Z240" s="66"/>
      <c r="AA240" s="66"/>
    </row>
    <row r="241" spans="19:27" x14ac:dyDescent="0.2">
      <c r="S241" s="289"/>
      <c r="T241" s="120"/>
      <c r="U241" s="141"/>
      <c r="V241" s="2"/>
      <c r="W241" s="333"/>
      <c r="X241" s="333"/>
      <c r="Y241" s="141"/>
      <c r="Z241" s="66"/>
      <c r="AA241" s="66"/>
    </row>
    <row r="242" spans="19:27" x14ac:dyDescent="0.2">
      <c r="S242" s="289"/>
      <c r="T242" s="120"/>
      <c r="U242" s="141"/>
      <c r="V242" s="2"/>
      <c r="W242" s="333"/>
      <c r="X242" s="333"/>
      <c r="Y242" s="141"/>
      <c r="Z242" s="66"/>
      <c r="AA242" s="66"/>
    </row>
    <row r="243" spans="19:27" x14ac:dyDescent="0.2">
      <c r="S243" s="289"/>
      <c r="T243" s="120"/>
      <c r="U243" s="141"/>
      <c r="V243" s="2"/>
      <c r="W243" s="333"/>
      <c r="X243" s="333"/>
      <c r="Y243" s="141"/>
      <c r="Z243" s="66"/>
      <c r="AA243" s="66"/>
    </row>
    <row r="244" spans="19:27" x14ac:dyDescent="0.2">
      <c r="S244" s="289"/>
      <c r="T244" s="120"/>
      <c r="U244" s="141"/>
      <c r="V244" s="2"/>
      <c r="W244" s="333"/>
      <c r="X244" s="333"/>
      <c r="Y244" s="141"/>
      <c r="Z244" s="66"/>
      <c r="AA244" s="66"/>
    </row>
    <row r="245" spans="19:27" x14ac:dyDescent="0.2">
      <c r="S245" s="289"/>
      <c r="T245" s="120"/>
      <c r="U245" s="141"/>
      <c r="V245" s="2"/>
      <c r="W245" s="333"/>
      <c r="X245" s="333"/>
      <c r="Y245" s="141"/>
      <c r="Z245" s="66"/>
      <c r="AA245" s="66"/>
    </row>
    <row r="246" spans="19:27" x14ac:dyDescent="0.2">
      <c r="S246" s="289"/>
      <c r="T246" s="120"/>
      <c r="U246" s="141"/>
      <c r="V246" s="2"/>
      <c r="W246" s="333"/>
      <c r="X246" s="333"/>
      <c r="Y246" s="141"/>
      <c r="Z246" s="66"/>
      <c r="AA246" s="66"/>
    </row>
    <row r="247" spans="19:27" x14ac:dyDescent="0.2">
      <c r="S247" s="289"/>
      <c r="T247" s="120"/>
      <c r="U247" s="141"/>
      <c r="V247" s="2"/>
      <c r="W247" s="333"/>
      <c r="X247" s="333"/>
      <c r="Y247" s="141"/>
      <c r="Z247" s="66"/>
      <c r="AA247" s="66"/>
    </row>
    <row r="248" spans="19:27" x14ac:dyDescent="0.2">
      <c r="S248" s="289"/>
      <c r="T248" s="120"/>
      <c r="U248" s="141"/>
      <c r="V248" s="2"/>
      <c r="W248" s="333"/>
      <c r="X248" s="333"/>
      <c r="Y248" s="141"/>
      <c r="Z248" s="66"/>
      <c r="AA248" s="66"/>
    </row>
    <row r="249" spans="19:27" x14ac:dyDescent="0.2">
      <c r="S249" s="289"/>
      <c r="T249" s="120"/>
      <c r="U249" s="141"/>
      <c r="V249" s="2"/>
      <c r="W249" s="333"/>
      <c r="X249" s="333"/>
      <c r="Y249" s="141"/>
      <c r="Z249" s="66"/>
      <c r="AA249" s="66"/>
    </row>
    <row r="250" spans="19:27" x14ac:dyDescent="0.2">
      <c r="S250" s="289"/>
      <c r="T250" s="120"/>
      <c r="U250" s="141"/>
      <c r="V250" s="2"/>
      <c r="W250" s="333"/>
      <c r="Y250" s="141"/>
      <c r="Z250" s="66"/>
      <c r="AA250" s="120"/>
    </row>
    <row r="251" spans="19:27" x14ac:dyDescent="0.2">
      <c r="U251" s="141"/>
      <c r="Y251" s="141"/>
    </row>
    <row r="254" spans="19:27" x14ac:dyDescent="0.2">
      <c r="T254" s="66"/>
    </row>
    <row r="256" spans="19:27" x14ac:dyDescent="0.2">
      <c r="S256" s="1"/>
      <c r="T256" s="59"/>
    </row>
    <row r="257" spans="19:20" x14ac:dyDescent="0.2">
      <c r="S257" s="28"/>
      <c r="T257" s="59"/>
    </row>
    <row r="258" spans="19:20" x14ac:dyDescent="0.2">
      <c r="S258" s="1"/>
      <c r="T258" s="59"/>
    </row>
    <row r="259" spans="19:20" x14ac:dyDescent="0.2">
      <c r="S259" s="1"/>
      <c r="T259" s="59"/>
    </row>
    <row r="260" spans="19:20" x14ac:dyDescent="0.2">
      <c r="S260" s="28"/>
      <c r="T260" s="59"/>
    </row>
    <row r="261" spans="19:20" x14ac:dyDescent="0.2">
      <c r="S261" s="28"/>
      <c r="T261" s="66"/>
    </row>
    <row r="262" spans="19:20" x14ac:dyDescent="0.2">
      <c r="S262" s="28"/>
      <c r="T262" s="66"/>
    </row>
    <row r="263" spans="19:20" x14ac:dyDescent="0.2">
      <c r="T263" s="126"/>
    </row>
  </sheetData>
  <phoneticPr fontId="0" type="noConversion"/>
  <conditionalFormatting sqref="M11:M47 M49:M53">
    <cfRule type="cellIs" dxfId="33" priority="14" operator="equal">
      <formula>"""$L$11:$L$31"</formula>
    </cfRule>
    <cfRule type="cellIs" dxfId="32" priority="15" operator="lessThan">
      <formula>0</formula>
    </cfRule>
  </conditionalFormatting>
  <conditionalFormatting sqref="L11:L53">
    <cfRule type="cellIs" dxfId="31" priority="13" operator="lessThan">
      <formula>0</formula>
    </cfRule>
  </conditionalFormatting>
  <conditionalFormatting sqref="M78:M98">
    <cfRule type="cellIs" dxfId="30" priority="11" operator="equal">
      <formula>"""$L$11:$L$31"</formula>
    </cfRule>
    <cfRule type="cellIs" dxfId="29" priority="12" operator="lessThan">
      <formula>0</formula>
    </cfRule>
  </conditionalFormatting>
  <conditionalFormatting sqref="L83:L95 L97:L98">
    <cfRule type="cellIs" dxfId="28" priority="10" operator="lessThan">
      <formula>0</formula>
    </cfRule>
  </conditionalFormatting>
  <conditionalFormatting sqref="R83">
    <cfRule type="cellIs" dxfId="27" priority="6" operator="lessThan">
      <formula>0</formula>
    </cfRule>
  </conditionalFormatting>
  <conditionalFormatting sqref="L78 L83:L95">
    <cfRule type="cellIs" dxfId="26" priority="8" operator="lessThan">
      <formula>0</formula>
    </cfRule>
  </conditionalFormatting>
  <conditionalFormatting sqref="R83">
    <cfRule type="cellIs" dxfId="25" priority="7" operator="lessThan">
      <formula>0</formula>
    </cfRule>
  </conditionalFormatting>
  <conditionalFormatting sqref="L97">
    <cfRule type="cellIs" dxfId="24" priority="5" operator="lessThan">
      <formula>0</formula>
    </cfRule>
  </conditionalFormatting>
  <conditionalFormatting sqref="L80:L82">
    <cfRule type="cellIs" dxfId="23" priority="4" operator="lessThan">
      <formula>0</formula>
    </cfRule>
  </conditionalFormatting>
  <conditionalFormatting sqref="L80:L82">
    <cfRule type="cellIs" dxfId="22" priority="3" operator="lessThan">
      <formula>0</formula>
    </cfRule>
  </conditionalFormatting>
  <conditionalFormatting sqref="L79">
    <cfRule type="cellIs" dxfId="21" priority="2" operator="lessThan">
      <formula>0</formula>
    </cfRule>
  </conditionalFormatting>
  <conditionalFormatting sqref="L79">
    <cfRule type="cellIs" dxfId="20" priority="1" operator="lessThan">
      <formula>0</formula>
    </cfRule>
  </conditionalFormatting>
  <pageMargins left="0.5" right="0.5" top="0.5" bottom="0.5" header="0.5" footer="0.5"/>
  <pageSetup orientation="landscape" useFirstPageNumber="1" horizontalDpi="4294967293" verticalDpi="300" r:id="rId1"/>
  <headerFooter alignWithMargins="0">
    <oddFooter>&amp;L&amp;D  &amp;F:  &amp;A     Page &amp;P&amp;CLicensed to ARM by C F Larimer Consulting, LLC</oddFooter>
  </headerFooter>
  <rowBreaks count="3" manualBreakCount="3">
    <brk id="47" max="12" man="1"/>
    <brk id="96" max="16383" man="1"/>
    <brk id="125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4" name="Drop Down 7">
              <controlPr defaultSize="0" autoFill="0" autoLine="0" autoPict="0">
                <anchor moveWithCells="1">
                  <from>
                    <xdr:col>3</xdr:col>
                    <xdr:colOff>104775</xdr:colOff>
                    <xdr:row>2</xdr:row>
                    <xdr:rowOff>104775</xdr:rowOff>
                  </from>
                  <to>
                    <xdr:col>7</xdr:col>
                    <xdr:colOff>457200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Drop Down 8">
              <controlPr defaultSize="0" autoFill="0" autoLine="0" autoPict="0">
                <anchor moveWithCells="1">
                  <from>
                    <xdr:col>3</xdr:col>
                    <xdr:colOff>104775</xdr:colOff>
                    <xdr:row>4</xdr:row>
                    <xdr:rowOff>76200</xdr:rowOff>
                  </from>
                  <to>
                    <xdr:col>7</xdr:col>
                    <xdr:colOff>447675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6" name="Button 10">
              <controlPr defaultSize="0" print="0" autoFill="0" autoPict="0" macro="[0]!PrintBox">
                <anchor moveWithCells="1" sizeWithCells="1">
                  <from>
                    <xdr:col>13</xdr:col>
                    <xdr:colOff>323850</xdr:colOff>
                    <xdr:row>103</xdr:row>
                    <xdr:rowOff>38100</xdr:rowOff>
                  </from>
                  <to>
                    <xdr:col>15</xdr:col>
                    <xdr:colOff>171450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7" name="Button 11">
              <controlPr defaultSize="0" print="0" autoFill="0" autoPict="0" macro="[0]!PrintBox">
                <anchor moveWithCells="1" sizeWithCells="1">
                  <from>
                    <xdr:col>12</xdr:col>
                    <xdr:colOff>323850</xdr:colOff>
                    <xdr:row>132</xdr:row>
                    <xdr:rowOff>38100</xdr:rowOff>
                  </from>
                  <to>
                    <xdr:col>14</xdr:col>
                    <xdr:colOff>171450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8" name="Button 13">
              <controlPr defaultSize="0" print="0" autoFill="0" autoPict="0" macro="[0]!SortLagFactors">
                <anchor moveWithCells="1" sizeWithCells="1">
                  <from>
                    <xdr:col>8</xdr:col>
                    <xdr:colOff>295275</xdr:colOff>
                    <xdr:row>0</xdr:row>
                    <xdr:rowOff>66675</xdr:rowOff>
                  </from>
                  <to>
                    <xdr:col>11</xdr:col>
                    <xdr:colOff>447675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PrintBox">
                <anchor moveWithCells="1" sizeWithCells="1">
                  <from>
                    <xdr:col>13</xdr:col>
                    <xdr:colOff>333375</xdr:colOff>
                    <xdr:row>0</xdr:row>
                    <xdr:rowOff>28575</xdr:rowOff>
                  </from>
                  <to>
                    <xdr:col>15</xdr:col>
                    <xdr:colOff>352425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10" name="Drop Down 6">
              <controlPr defaultSize="0" autoFill="0" autoLine="0" autoPict="0">
                <anchor moveWithCells="1">
                  <from>
                    <xdr:col>3</xdr:col>
                    <xdr:colOff>104775</xdr:colOff>
                    <xdr:row>1</xdr:row>
                    <xdr:rowOff>9525</xdr:rowOff>
                  </from>
                  <to>
                    <xdr:col>7</xdr:col>
                    <xdr:colOff>457200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1" name="Button 19">
              <controlPr defaultSize="0" print="0" autoFill="0" autoPict="0" macro="[0]!PrintBox">
                <anchor moveWithCells="1" sizeWithCells="1">
                  <from>
                    <xdr:col>9</xdr:col>
                    <xdr:colOff>466725</xdr:colOff>
                    <xdr:row>67</xdr:row>
                    <xdr:rowOff>114300</xdr:rowOff>
                  </from>
                  <to>
                    <xdr:col>11</xdr:col>
                    <xdr:colOff>409575</xdr:colOff>
                    <xdr:row>70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10"/>
  </sheetPr>
  <dimension ref="A1:AC127"/>
  <sheetViews>
    <sheetView zoomScaleNormal="100" workbookViewId="0">
      <selection activeCell="M34" sqref="M34"/>
    </sheetView>
  </sheetViews>
  <sheetFormatPr defaultRowHeight="11.25" x14ac:dyDescent="0.2"/>
  <cols>
    <col min="1" max="1" width="13.33203125" customWidth="1"/>
    <col min="4" max="4" width="10.33203125" bestFit="1" customWidth="1"/>
    <col min="7" max="7" width="9.33203125" customWidth="1"/>
    <col min="12" max="12" width="12" customWidth="1"/>
    <col min="15" max="15" width="12.83203125" bestFit="1" customWidth="1"/>
    <col min="18" max="18" width="11.83203125" customWidth="1"/>
    <col min="24" max="24" width="13.33203125" customWidth="1"/>
    <col min="25" max="25" width="12.5" customWidth="1"/>
    <col min="26" max="26" width="13.6640625" customWidth="1"/>
    <col min="27" max="27" width="13.5" customWidth="1"/>
    <col min="28" max="28" width="11.5" bestFit="1" customWidth="1"/>
  </cols>
  <sheetData>
    <row r="1" spans="1:24" ht="12.75" x14ac:dyDescent="0.2">
      <c r="C1" s="34" t="str">
        <f>+[0]!Name</f>
        <v>Allied Pacific (APC Commerical)</v>
      </c>
      <c r="R1" s="208" t="s">
        <v>874</v>
      </c>
    </row>
    <row r="2" spans="1:24" x14ac:dyDescent="0.2">
      <c r="C2" s="130" t="s">
        <v>344</v>
      </c>
    </row>
    <row r="3" spans="1:24" x14ac:dyDescent="0.2">
      <c r="W3" t="s">
        <v>1069</v>
      </c>
    </row>
    <row r="4" spans="1:24" x14ac:dyDescent="0.2">
      <c r="C4" s="167" t="s">
        <v>341</v>
      </c>
      <c r="D4" s="168"/>
      <c r="E4" s="168"/>
      <c r="F4" s="168"/>
      <c r="G4" s="169"/>
      <c r="J4" s="167" t="s">
        <v>171</v>
      </c>
      <c r="K4" s="78"/>
      <c r="L4" s="78"/>
      <c r="M4" s="78"/>
      <c r="N4" s="78"/>
      <c r="O4" s="78"/>
      <c r="P4" s="78"/>
      <c r="Q4" s="78"/>
      <c r="R4" s="79"/>
      <c r="W4" t="s">
        <v>80</v>
      </c>
    </row>
    <row r="5" spans="1:24" x14ac:dyDescent="0.2">
      <c r="C5" s="101"/>
      <c r="D5" s="101"/>
      <c r="E5" s="101"/>
      <c r="F5" s="102" t="s">
        <v>177</v>
      </c>
      <c r="G5" s="101"/>
      <c r="J5" s="18"/>
      <c r="K5" s="18"/>
      <c r="L5" s="18"/>
      <c r="M5" s="18"/>
      <c r="N5" s="18" t="s">
        <v>177</v>
      </c>
      <c r="O5" s="2"/>
      <c r="P5" s="18" t="s">
        <v>157</v>
      </c>
      <c r="Q5" s="18"/>
      <c r="R5" s="18"/>
    </row>
    <row r="6" spans="1:24" x14ac:dyDescent="0.2">
      <c r="B6" s="2" t="s">
        <v>140</v>
      </c>
      <c r="C6" s="101"/>
      <c r="D6" s="18" t="s">
        <v>174</v>
      </c>
      <c r="E6" s="18" t="s">
        <v>169</v>
      </c>
      <c r="F6" s="18" t="s">
        <v>155</v>
      </c>
      <c r="G6" s="18" t="s">
        <v>157</v>
      </c>
      <c r="J6" s="18"/>
      <c r="K6" s="18" t="s">
        <v>180</v>
      </c>
      <c r="L6" s="18" t="s">
        <v>182</v>
      </c>
      <c r="M6" s="18" t="s">
        <v>169</v>
      </c>
      <c r="N6" s="18" t="s">
        <v>155</v>
      </c>
      <c r="O6" s="18" t="s">
        <v>730</v>
      </c>
      <c r="P6" s="18" t="s">
        <v>183</v>
      </c>
      <c r="Q6" s="18"/>
      <c r="R6" s="18" t="s">
        <v>184</v>
      </c>
    </row>
    <row r="7" spans="1:24" x14ac:dyDescent="0.2">
      <c r="B7" s="29" t="s">
        <v>141</v>
      </c>
      <c r="C7" s="8" t="s">
        <v>41</v>
      </c>
      <c r="D7" s="17" t="s">
        <v>173</v>
      </c>
      <c r="E7" s="8" t="s">
        <v>138</v>
      </c>
      <c r="F7" s="8" t="s">
        <v>175</v>
      </c>
      <c r="G7" s="8" t="s">
        <v>101</v>
      </c>
      <c r="J7" s="8" t="s">
        <v>41</v>
      </c>
      <c r="K7" s="8" t="s">
        <v>181</v>
      </c>
      <c r="L7" s="8" t="s">
        <v>138</v>
      </c>
      <c r="M7" s="8" t="s">
        <v>138</v>
      </c>
      <c r="N7" s="8" t="s">
        <v>175</v>
      </c>
      <c r="O7" s="8" t="s">
        <v>164</v>
      </c>
      <c r="P7" s="8" t="s">
        <v>181</v>
      </c>
      <c r="Q7" s="8" t="s">
        <v>78</v>
      </c>
      <c r="R7" s="8" t="s">
        <v>85</v>
      </c>
      <c r="U7" s="42">
        <f>J9</f>
        <v>45352</v>
      </c>
      <c r="V7" s="625">
        <v>0</v>
      </c>
      <c r="W7" s="625">
        <f ca="1">OFFSET([1]MonthlyDays!$F$60,-V7,0)</f>
        <v>21</v>
      </c>
    </row>
    <row r="8" spans="1:24" x14ac:dyDescent="0.2">
      <c r="A8" s="178"/>
      <c r="B8" s="313">
        <f>+Data!BN9</f>
        <v>0.7322408374727789</v>
      </c>
      <c r="C8" s="188"/>
      <c r="D8" s="190"/>
      <c r="E8" s="189"/>
      <c r="F8" s="189"/>
      <c r="G8" s="190"/>
      <c r="J8" s="2"/>
      <c r="U8" s="42">
        <f t="shared" ref="U8:U9" si="0">J10</f>
        <v>45323</v>
      </c>
      <c r="V8" s="625">
        <f>V7+1</f>
        <v>1</v>
      </c>
      <c r="W8" s="625">
        <f ca="1">OFFSET([1]MonthlyDays!$F$60,-V8,0)</f>
        <v>20</v>
      </c>
    </row>
    <row r="9" spans="1:24" x14ac:dyDescent="0.2">
      <c r="A9" s="178"/>
      <c r="B9" s="313">
        <f>+Data!BN10</f>
        <v>0.87409588137181282</v>
      </c>
      <c r="C9" s="188"/>
      <c r="D9" s="190"/>
      <c r="E9" s="623"/>
      <c r="F9" s="189"/>
      <c r="G9" s="190"/>
      <c r="J9" s="52">
        <f>+Data!AN8</f>
        <v>45352</v>
      </c>
      <c r="K9" s="54">
        <f t="shared" ref="K9:K20" ca="1" si="1">$G$29</f>
        <v>1.925189739054062</v>
      </c>
      <c r="L9" s="75">
        <f t="shared" ref="L9:L20" si="2">(1+$G$31)^((J9-$D$31+15)/365)</f>
        <v>1.0350888765829331</v>
      </c>
      <c r="M9" s="624">
        <f t="shared" ref="M9:M20" ca="1" si="3">W7</f>
        <v>21</v>
      </c>
      <c r="N9" s="75">
        <f t="shared" ref="N9:N20" si="4">1/VLOOKUP(J9,$A$81:$C$104,3)</f>
        <v>1</v>
      </c>
      <c r="O9" s="358">
        <v>1</v>
      </c>
      <c r="P9" s="54">
        <f t="shared" ref="P9:P20" ca="1" si="5">ROUND(+K9*L9*M9*N9,2)</f>
        <v>41.85</v>
      </c>
      <c r="Q9" s="35">
        <f>+Data!BL8</f>
        <v>164912</v>
      </c>
      <c r="R9" s="53">
        <f t="shared" ref="R9:R20" ca="1" si="6">ROUND($Q9*$P9,0)</f>
        <v>6901567</v>
      </c>
      <c r="T9" s="66"/>
      <c r="U9" s="42">
        <f t="shared" si="0"/>
        <v>45292</v>
      </c>
      <c r="V9" s="625">
        <f t="shared" ref="V9:V22" si="7">V8+1</f>
        <v>2</v>
      </c>
      <c r="W9" s="625">
        <f ca="1">OFFSET([1]MonthlyDays!$F$60,-V9,0)</f>
        <v>21</v>
      </c>
    </row>
    <row r="10" spans="1:24" x14ac:dyDescent="0.2">
      <c r="A10" s="178"/>
      <c r="B10" s="313">
        <f>+Data!BN11</f>
        <v>0.92837614609871677</v>
      </c>
      <c r="C10" s="188">
        <f>+Data!AV11</f>
        <v>45261</v>
      </c>
      <c r="D10" s="190">
        <f>+Data!BQ11</f>
        <v>39.732636946372558</v>
      </c>
      <c r="E10" s="623">
        <f t="shared" ref="E10:E12" ca="1" si="8">W10</f>
        <v>20</v>
      </c>
      <c r="F10" s="189">
        <f t="shared" ref="F10:F12" si="9">1/VLOOKUP(C10,$A$81:$C$104,3)</f>
        <v>1</v>
      </c>
      <c r="G10" s="190">
        <f t="shared" ref="G10:G12" ca="1" si="10">D10/E10/F10</f>
        <v>1.986631847318628</v>
      </c>
      <c r="J10" s="52">
        <f>+Data!AN9</f>
        <v>45323</v>
      </c>
      <c r="K10" s="54">
        <f t="shared" ca="1" si="1"/>
        <v>1.925189739054062</v>
      </c>
      <c r="L10" s="75">
        <f t="shared" si="2"/>
        <v>1.0310841436459386</v>
      </c>
      <c r="M10" s="624">
        <f t="shared" ca="1" si="3"/>
        <v>20</v>
      </c>
      <c r="N10" s="75">
        <f t="shared" si="4"/>
        <v>1</v>
      </c>
      <c r="O10" s="358">
        <v>1</v>
      </c>
      <c r="P10" s="54">
        <f t="shared" ca="1" si="5"/>
        <v>39.700000000000003</v>
      </c>
      <c r="Q10" s="35">
        <f>+Data!BL9</f>
        <v>164591</v>
      </c>
      <c r="R10" s="53">
        <f t="shared" ca="1" si="6"/>
        <v>6534263</v>
      </c>
      <c r="T10" s="66"/>
      <c r="U10" s="42">
        <f>C10</f>
        <v>45261</v>
      </c>
      <c r="V10" s="625">
        <f t="shared" si="7"/>
        <v>3</v>
      </c>
      <c r="W10" s="625">
        <f ca="1">OFFSET([1]MonthlyDays!$F$60,-V10,0)</f>
        <v>20</v>
      </c>
      <c r="X10" s="626"/>
    </row>
    <row r="11" spans="1:24" x14ac:dyDescent="0.2">
      <c r="A11" s="178"/>
      <c r="B11" s="313">
        <f>+Data!BN12</f>
        <v>0.94777800665301637</v>
      </c>
      <c r="C11" s="188">
        <f>+Data!AV12</f>
        <v>45231</v>
      </c>
      <c r="D11" s="190">
        <f>+Data!BQ12</f>
        <v>42.107490179666286</v>
      </c>
      <c r="E11" s="623">
        <f t="shared" ca="1" si="8"/>
        <v>21</v>
      </c>
      <c r="F11" s="189">
        <f t="shared" si="9"/>
        <v>1</v>
      </c>
      <c r="G11" s="190">
        <f t="shared" ca="1" si="10"/>
        <v>2.0051185799841087</v>
      </c>
      <c r="J11" s="52">
        <f>+Data!AN10</f>
        <v>45292</v>
      </c>
      <c r="K11" s="54">
        <f t="shared" ca="1" si="1"/>
        <v>1.925189739054062</v>
      </c>
      <c r="L11" s="75">
        <f t="shared" si="2"/>
        <v>1.0268203546132288</v>
      </c>
      <c r="M11" s="624">
        <f t="shared" ca="1" si="3"/>
        <v>21</v>
      </c>
      <c r="N11" s="75">
        <f t="shared" si="4"/>
        <v>1</v>
      </c>
      <c r="O11" s="358">
        <v>1</v>
      </c>
      <c r="P11" s="54">
        <f t="shared" ca="1" si="5"/>
        <v>41.51</v>
      </c>
      <c r="Q11" s="35">
        <f>+Data!BL10</f>
        <v>164688</v>
      </c>
      <c r="R11" s="53">
        <f t="shared" ca="1" si="6"/>
        <v>6836199</v>
      </c>
      <c r="T11" s="66"/>
      <c r="U11" s="42">
        <f t="shared" ref="U11:U22" si="11">C11</f>
        <v>45231</v>
      </c>
      <c r="V11" s="625">
        <f t="shared" si="7"/>
        <v>4</v>
      </c>
      <c r="W11" s="625">
        <f ca="1">OFFSET([1]MonthlyDays!$F$60,-V11,0)</f>
        <v>21</v>
      </c>
      <c r="X11" s="626"/>
    </row>
    <row r="12" spans="1:24" x14ac:dyDescent="0.2">
      <c r="A12" s="178"/>
      <c r="B12" s="313">
        <f>+Data!BN13</f>
        <v>0.95685483322655829</v>
      </c>
      <c r="C12" s="188">
        <f>+Data!AV13</f>
        <v>45200</v>
      </c>
      <c r="D12" s="190">
        <f>+Data!BQ13</f>
        <v>45.354254940293252</v>
      </c>
      <c r="E12" s="623">
        <f t="shared" ca="1" si="8"/>
        <v>21</v>
      </c>
      <c r="F12" s="189">
        <f t="shared" si="9"/>
        <v>1</v>
      </c>
      <c r="G12" s="190">
        <f t="shared" ca="1" si="10"/>
        <v>2.15972642572825</v>
      </c>
      <c r="J12" s="52">
        <f>+Data!AN11</f>
        <v>45261</v>
      </c>
      <c r="K12" s="54">
        <f t="shared" ca="1" si="1"/>
        <v>1.925189739054062</v>
      </c>
      <c r="L12" s="75">
        <f t="shared" si="2"/>
        <v>1.0225741974072011</v>
      </c>
      <c r="M12" s="624">
        <f t="shared" ca="1" si="3"/>
        <v>20</v>
      </c>
      <c r="N12" s="75">
        <f t="shared" si="4"/>
        <v>1</v>
      </c>
      <c r="O12" s="358">
        <v>1</v>
      </c>
      <c r="P12" s="54">
        <f t="shared" ca="1" si="5"/>
        <v>39.369999999999997</v>
      </c>
      <c r="Q12" s="35">
        <f>+Data!BL11</f>
        <v>143536</v>
      </c>
      <c r="R12" s="53">
        <f t="shared" ca="1" si="6"/>
        <v>5651012</v>
      </c>
      <c r="T12" s="66"/>
      <c r="U12" s="42">
        <f t="shared" si="11"/>
        <v>45200</v>
      </c>
      <c r="V12" s="625">
        <f t="shared" si="7"/>
        <v>5</v>
      </c>
      <c r="W12" s="625">
        <f ca="1">OFFSET([1]MonthlyDays!$F$60,-V12,0)</f>
        <v>21</v>
      </c>
      <c r="X12" s="626"/>
    </row>
    <row r="13" spans="1:24" x14ac:dyDescent="0.2">
      <c r="A13" s="178"/>
      <c r="B13" s="313">
        <f>+Data!BN14</f>
        <v>0.96398179238062165</v>
      </c>
      <c r="C13" s="188">
        <f>+Data!AV14</f>
        <v>45170</v>
      </c>
      <c r="D13" s="190">
        <f>+Data!BQ14</f>
        <v>39.636016778988555</v>
      </c>
      <c r="E13" s="623">
        <f t="shared" ref="E13:E19" ca="1" si="12">W13</f>
        <v>20</v>
      </c>
      <c r="F13" s="189">
        <f t="shared" ref="F13" si="13">1/VLOOKUP(C13,$A$81:$C$104,3)</f>
        <v>1</v>
      </c>
      <c r="G13" s="190">
        <f t="shared" ref="G13" ca="1" si="14">D13/E13/F13</f>
        <v>1.9818008389494277</v>
      </c>
      <c r="J13" s="52">
        <f>+Data!AN12</f>
        <v>45231</v>
      </c>
      <c r="K13" s="54">
        <f t="shared" ca="1" si="1"/>
        <v>1.925189739054062</v>
      </c>
      <c r="L13" s="75">
        <f t="shared" si="2"/>
        <v>1.0184817321839974</v>
      </c>
      <c r="M13" s="624">
        <f t="shared" ca="1" si="3"/>
        <v>21</v>
      </c>
      <c r="N13" s="75">
        <f t="shared" si="4"/>
        <v>1</v>
      </c>
      <c r="O13" s="358">
        <v>1</v>
      </c>
      <c r="P13" s="54">
        <f t="shared" ca="1" si="5"/>
        <v>41.18</v>
      </c>
      <c r="Q13" s="35">
        <f>+Data!BL12</f>
        <v>142616</v>
      </c>
      <c r="R13" s="53">
        <f t="shared" ca="1" si="6"/>
        <v>5872927</v>
      </c>
      <c r="U13" s="42">
        <f t="shared" si="11"/>
        <v>45170</v>
      </c>
      <c r="V13" s="625">
        <f t="shared" si="7"/>
        <v>6</v>
      </c>
      <c r="W13" s="625">
        <f ca="1">OFFSET([1]MonthlyDays!$F$60,-V13,0)</f>
        <v>20</v>
      </c>
      <c r="X13" s="626"/>
    </row>
    <row r="14" spans="1:24" x14ac:dyDescent="0.2">
      <c r="A14" s="178"/>
      <c r="B14" s="313">
        <f>+Data!BN15</f>
        <v>0.97132728101712662</v>
      </c>
      <c r="C14" s="188">
        <f>+Data!AV15</f>
        <v>45139</v>
      </c>
      <c r="D14" s="190">
        <f>+Data!BQ15</f>
        <v>43.908842225709563</v>
      </c>
      <c r="E14" s="623">
        <f t="shared" ca="1" si="12"/>
        <v>22</v>
      </c>
      <c r="F14" s="189">
        <f t="shared" ref="F14" si="15">1/VLOOKUP(C14,$A$81:$C$104,3)</f>
        <v>1</v>
      </c>
      <c r="G14" s="190">
        <f t="shared" ref="G14" ca="1" si="16">D14/E14/F14</f>
        <v>1.9958564648049801</v>
      </c>
      <c r="J14" s="52">
        <f>+Data!AN13</f>
        <v>45200</v>
      </c>
      <c r="K14" s="54">
        <f t="shared" ca="1" si="1"/>
        <v>1.925189739054062</v>
      </c>
      <c r="L14" s="75">
        <f t="shared" si="2"/>
        <v>1.014270057252846</v>
      </c>
      <c r="M14" s="624">
        <f t="shared" ca="1" si="3"/>
        <v>21</v>
      </c>
      <c r="N14" s="75">
        <f t="shared" si="4"/>
        <v>1</v>
      </c>
      <c r="O14" s="358">
        <v>1</v>
      </c>
      <c r="P14" s="54">
        <f t="shared" ca="1" si="5"/>
        <v>41.01</v>
      </c>
      <c r="Q14" s="35">
        <f>+Data!BL13</f>
        <v>140994</v>
      </c>
      <c r="R14" s="53">
        <f t="shared" ca="1" si="6"/>
        <v>5782164</v>
      </c>
      <c r="U14" s="42">
        <f t="shared" si="11"/>
        <v>45139</v>
      </c>
      <c r="V14" s="625">
        <f t="shared" si="7"/>
        <v>7</v>
      </c>
      <c r="W14" s="625">
        <f ca="1">OFFSET([1]MonthlyDays!$F$60,-V14,0)</f>
        <v>22</v>
      </c>
      <c r="X14" s="626"/>
    </row>
    <row r="15" spans="1:24" x14ac:dyDescent="0.2">
      <c r="A15" s="178"/>
      <c r="B15" s="313">
        <f>+Data!BN16</f>
        <v>0.97521571083726688</v>
      </c>
      <c r="C15" s="188">
        <f>+Data!AV16</f>
        <v>45108</v>
      </c>
      <c r="D15" s="190">
        <f>+Data!BQ16</f>
        <v>38.321850586264631</v>
      </c>
      <c r="E15" s="623">
        <f t="shared" ca="1" si="12"/>
        <v>20</v>
      </c>
      <c r="F15" s="189">
        <f t="shared" ref="F15" si="17">1/VLOOKUP(C15,$A$81:$C$104,3)</f>
        <v>1</v>
      </c>
      <c r="G15" s="190">
        <f t="shared" ref="G15" ca="1" si="18">D15/E15/F15</f>
        <v>1.9160925293132316</v>
      </c>
      <c r="J15" s="52">
        <f>+Data!AN14</f>
        <v>45170</v>
      </c>
      <c r="K15" s="54">
        <f t="shared" ca="1" si="1"/>
        <v>1.925189739054062</v>
      </c>
      <c r="L15" s="75">
        <f t="shared" si="2"/>
        <v>1.0102108261997167</v>
      </c>
      <c r="M15" s="624">
        <f t="shared" ca="1" si="3"/>
        <v>20</v>
      </c>
      <c r="N15" s="75">
        <f t="shared" si="4"/>
        <v>1</v>
      </c>
      <c r="O15" s="358">
        <v>1</v>
      </c>
      <c r="P15" s="54">
        <f t="shared" ca="1" si="5"/>
        <v>38.9</v>
      </c>
      <c r="Q15" s="35">
        <f>+Data!BL14</f>
        <v>138164</v>
      </c>
      <c r="R15" s="53">
        <f t="shared" ca="1" si="6"/>
        <v>5374580</v>
      </c>
      <c r="U15" s="42">
        <f t="shared" si="11"/>
        <v>45108</v>
      </c>
      <c r="V15" s="625">
        <f t="shared" si="7"/>
        <v>8</v>
      </c>
      <c r="W15" s="625">
        <f ca="1">OFFSET([1]MonthlyDays!$F$60,-V15,0)</f>
        <v>20</v>
      </c>
      <c r="X15" s="626"/>
    </row>
    <row r="16" spans="1:24" x14ac:dyDescent="0.2">
      <c r="A16" s="178"/>
      <c r="B16" s="313">
        <f>+Data!BN17</f>
        <v>0.97861987373546322</v>
      </c>
      <c r="C16" s="188">
        <f>+Data!AV17</f>
        <v>45078</v>
      </c>
      <c r="D16" s="190">
        <f>+Data!BQ17</f>
        <v>40.966556560331178</v>
      </c>
      <c r="E16" s="623">
        <f t="shared" ca="1" si="12"/>
        <v>21</v>
      </c>
      <c r="F16" s="189">
        <f t="shared" ref="F16:F17" si="19">1/VLOOKUP(C16,$A$81:$C$104,3)</f>
        <v>1</v>
      </c>
      <c r="G16" s="190">
        <f t="shared" ref="G16:G17" ca="1" si="20">D16/E16/F16</f>
        <v>1.9507884076348181</v>
      </c>
      <c r="J16" s="52">
        <f>+Data!AN15</f>
        <v>45139</v>
      </c>
      <c r="K16" s="54">
        <f t="shared" ca="1" si="1"/>
        <v>1.925189739054062</v>
      </c>
      <c r="L16" s="75">
        <f t="shared" si="2"/>
        <v>1.0060333535191224</v>
      </c>
      <c r="M16" s="624">
        <f t="shared" ca="1" si="3"/>
        <v>22</v>
      </c>
      <c r="N16" s="75">
        <f t="shared" si="4"/>
        <v>1</v>
      </c>
      <c r="O16" s="358">
        <v>1</v>
      </c>
      <c r="P16" s="54">
        <f t="shared" ca="1" si="5"/>
        <v>42.61</v>
      </c>
      <c r="Q16" s="35">
        <f>+Data!BL15</f>
        <v>136843</v>
      </c>
      <c r="R16" s="53">
        <f t="shared" ca="1" si="6"/>
        <v>5830880</v>
      </c>
      <c r="U16" s="42">
        <f t="shared" si="11"/>
        <v>45078</v>
      </c>
      <c r="V16" s="625">
        <f t="shared" si="7"/>
        <v>9</v>
      </c>
      <c r="W16" s="625">
        <f ca="1">OFFSET([1]MonthlyDays!$F$60,-V16,0)</f>
        <v>21</v>
      </c>
      <c r="X16" s="626"/>
    </row>
    <row r="17" spans="1:29" x14ac:dyDescent="0.2">
      <c r="A17" s="178"/>
      <c r="B17" s="313">
        <f>+Data!BN18</f>
        <v>0.98217546750704832</v>
      </c>
      <c r="C17" s="188">
        <f>+Data!AV18</f>
        <v>45047</v>
      </c>
      <c r="D17" s="190">
        <f>+Data!BQ18</f>
        <v>40.251984462261952</v>
      </c>
      <c r="E17" s="623">
        <f t="shared" ca="1" si="12"/>
        <v>22</v>
      </c>
      <c r="F17" s="189">
        <f t="shared" si="19"/>
        <v>1</v>
      </c>
      <c r="G17" s="190">
        <f t="shared" ca="1" si="20"/>
        <v>1.8296356573755432</v>
      </c>
      <c r="J17" s="52">
        <f>+Data!AN16</f>
        <v>45108</v>
      </c>
      <c r="K17" s="54">
        <f t="shared" ca="1" si="1"/>
        <v>1.925189739054062</v>
      </c>
      <c r="L17" s="75">
        <f t="shared" si="2"/>
        <v>1.0018731557256548</v>
      </c>
      <c r="M17" s="624">
        <f t="shared" ca="1" si="3"/>
        <v>20</v>
      </c>
      <c r="N17" s="75">
        <f t="shared" si="4"/>
        <v>1</v>
      </c>
      <c r="O17" s="358">
        <v>1</v>
      </c>
      <c r="P17" s="54">
        <f t="shared" ca="1" si="5"/>
        <v>38.58</v>
      </c>
      <c r="Q17" s="35">
        <f>+Data!BL16</f>
        <v>136235</v>
      </c>
      <c r="R17" s="53">
        <f t="shared" ca="1" si="6"/>
        <v>5255946</v>
      </c>
      <c r="U17" s="42">
        <f t="shared" si="11"/>
        <v>45047</v>
      </c>
      <c r="V17" s="625">
        <f t="shared" si="7"/>
        <v>10</v>
      </c>
      <c r="W17" s="625">
        <f ca="1">OFFSET([1]MonthlyDays!$F$60,-V17,0)</f>
        <v>22</v>
      </c>
      <c r="X17" s="626"/>
    </row>
    <row r="18" spans="1:29" x14ac:dyDescent="0.2">
      <c r="A18" s="178"/>
      <c r="B18" s="313">
        <f>+Data!BN19</f>
        <v>0.98447441318381057</v>
      </c>
      <c r="C18" s="188">
        <f>+Data!AV19</f>
        <v>45017</v>
      </c>
      <c r="D18" s="190">
        <f>+Data!BQ19</f>
        <v>35.983313655239854</v>
      </c>
      <c r="E18" s="623">
        <f t="shared" ca="1" si="12"/>
        <v>20</v>
      </c>
      <c r="F18" s="189">
        <f t="shared" ref="F18" si="21">1/VLOOKUP(C18,$A$81:$C$104,3)</f>
        <v>1</v>
      </c>
      <c r="G18" s="190">
        <f t="shared" ref="G18" ca="1" si="22">D18/E18/F18</f>
        <v>1.7991656827619926</v>
      </c>
      <c r="J18" s="52">
        <f>+Data!AN17</f>
        <v>45078</v>
      </c>
      <c r="K18" s="54">
        <f t="shared" ca="1" si="1"/>
        <v>1.925189739054062</v>
      </c>
      <c r="L18" s="75">
        <f t="shared" si="2"/>
        <v>0.9978635385670519</v>
      </c>
      <c r="M18" s="624">
        <f t="shared" ca="1" si="3"/>
        <v>21</v>
      </c>
      <c r="N18" s="75">
        <f t="shared" si="4"/>
        <v>1</v>
      </c>
      <c r="O18" s="358">
        <v>1</v>
      </c>
      <c r="P18" s="54">
        <f t="shared" ca="1" si="5"/>
        <v>40.340000000000003</v>
      </c>
      <c r="Q18" s="35">
        <f>+Data!BL17</f>
        <v>135415</v>
      </c>
      <c r="R18" s="53">
        <f t="shared" ca="1" si="6"/>
        <v>5462641</v>
      </c>
      <c r="U18" s="42">
        <f t="shared" si="11"/>
        <v>45017</v>
      </c>
      <c r="V18" s="625">
        <f t="shared" si="7"/>
        <v>11</v>
      </c>
      <c r="W18" s="625">
        <f ca="1">OFFSET([1]MonthlyDays!$F$60,-V18,0)</f>
        <v>20</v>
      </c>
      <c r="X18" s="626"/>
    </row>
    <row r="19" spans="1:29" x14ac:dyDescent="0.2">
      <c r="A19" s="178"/>
      <c r="B19" s="313">
        <f>+Data!BN20</f>
        <v>0.98743498618863002</v>
      </c>
      <c r="C19" s="188">
        <f>+Data!AV20</f>
        <v>44986</v>
      </c>
      <c r="D19" s="190">
        <f>+Data!BQ20</f>
        <v>43.272089036718107</v>
      </c>
      <c r="E19" s="623">
        <f t="shared" ca="1" si="12"/>
        <v>23</v>
      </c>
      <c r="F19" s="189">
        <f t="shared" ref="F19" si="23">1/VLOOKUP(C19,$A$81:$C$104,3)</f>
        <v>1</v>
      </c>
      <c r="G19" s="190">
        <f t="shared" ref="G19" ca="1" si="24">D19/E19/F19</f>
        <v>1.8813951755094829</v>
      </c>
      <c r="J19" s="52">
        <f>+Data!AN18</f>
        <v>45047</v>
      </c>
      <c r="K19" s="54">
        <f t="shared" ca="1" si="1"/>
        <v>1.925189739054062</v>
      </c>
      <c r="L19" s="75">
        <f t="shared" si="2"/>
        <v>0.99373712498761468</v>
      </c>
      <c r="M19" s="624">
        <f t="shared" ca="1" si="3"/>
        <v>22</v>
      </c>
      <c r="N19" s="75">
        <f t="shared" si="4"/>
        <v>1</v>
      </c>
      <c r="O19" s="358">
        <v>1</v>
      </c>
      <c r="P19" s="54">
        <f t="shared" ca="1" si="5"/>
        <v>42.09</v>
      </c>
      <c r="Q19" s="35">
        <f>+Data!BL18</f>
        <v>134465</v>
      </c>
      <c r="R19" s="53">
        <f t="shared" ca="1" si="6"/>
        <v>5659632</v>
      </c>
      <c r="U19" s="42">
        <f t="shared" si="11"/>
        <v>44986</v>
      </c>
      <c r="V19" s="625">
        <f t="shared" si="7"/>
        <v>12</v>
      </c>
      <c r="W19" s="625">
        <f ca="1">OFFSET([1]MonthlyDays!$F$60,-V19,0)</f>
        <v>23</v>
      </c>
      <c r="X19" s="626"/>
    </row>
    <row r="20" spans="1:29" x14ac:dyDescent="0.2">
      <c r="A20" s="178"/>
      <c r="B20" s="313">
        <f>+Data!BN21</f>
        <v>0.98959360778579009</v>
      </c>
      <c r="C20" s="188">
        <f>+Data!AV21</f>
        <v>44958</v>
      </c>
      <c r="D20" s="190">
        <f>+Data!BQ21</f>
        <v>35.59053999092955</v>
      </c>
      <c r="E20" s="623">
        <f t="shared" ref="E20:E21" ca="1" si="25">W20</f>
        <v>19</v>
      </c>
      <c r="F20" s="189">
        <f t="shared" ref="F20:F21" si="26">1/VLOOKUP(C20,$A$81:$C$104,3)</f>
        <v>1</v>
      </c>
      <c r="G20" s="190">
        <f t="shared" ref="G20:G21" ca="1" si="27">D20/E20/F20</f>
        <v>1.8731863153120816</v>
      </c>
      <c r="J20" s="52">
        <f>+Data!AN19</f>
        <v>45017</v>
      </c>
      <c r="K20" s="54">
        <f t="shared" ca="1" si="1"/>
        <v>1.925189739054062</v>
      </c>
      <c r="L20" s="75">
        <f t="shared" si="2"/>
        <v>0.98976006920493409</v>
      </c>
      <c r="M20" s="624">
        <f t="shared" ca="1" si="3"/>
        <v>20</v>
      </c>
      <c r="N20" s="75">
        <f t="shared" si="4"/>
        <v>1</v>
      </c>
      <c r="O20" s="358">
        <v>1</v>
      </c>
      <c r="P20" s="54">
        <f t="shared" ca="1" si="5"/>
        <v>38.11</v>
      </c>
      <c r="Q20" s="35">
        <f>+Data!BL19</f>
        <v>134470</v>
      </c>
      <c r="R20" s="53">
        <f t="shared" ca="1" si="6"/>
        <v>5124652</v>
      </c>
      <c r="U20" s="42">
        <f t="shared" si="11"/>
        <v>44958</v>
      </c>
      <c r="V20" s="625">
        <f t="shared" si="7"/>
        <v>13</v>
      </c>
      <c r="W20" s="625">
        <f ca="1">OFFSET([1]MonthlyDays!$F$60,-V20,0)</f>
        <v>19</v>
      </c>
      <c r="X20" s="626"/>
    </row>
    <row r="21" spans="1:29" x14ac:dyDescent="0.2">
      <c r="A21" s="178"/>
      <c r="B21" s="313">
        <f>+Data!BN22</f>
        <v>0.99092526296484351</v>
      </c>
      <c r="C21" s="188">
        <f>+Data!AV22</f>
        <v>44927</v>
      </c>
      <c r="D21" s="190">
        <f>+Data!BQ22</f>
        <v>34.457578879124007</v>
      </c>
      <c r="E21" s="623">
        <f t="shared" ca="1" si="25"/>
        <v>20</v>
      </c>
      <c r="F21" s="189">
        <f t="shared" si="26"/>
        <v>1</v>
      </c>
      <c r="G21" s="190">
        <f t="shared" ca="1" si="27"/>
        <v>1.7228789439562004</v>
      </c>
      <c r="K21" s="2" t="s">
        <v>346</v>
      </c>
      <c r="L21" s="2" t="s">
        <v>347</v>
      </c>
      <c r="M21" s="2" t="s">
        <v>348</v>
      </c>
      <c r="N21" s="2" t="s">
        <v>349</v>
      </c>
      <c r="O21" s="2" t="s">
        <v>731</v>
      </c>
      <c r="P21" s="37" t="s">
        <v>732</v>
      </c>
      <c r="Q21" s="37" t="s">
        <v>733</v>
      </c>
      <c r="R21" s="37" t="s">
        <v>734</v>
      </c>
      <c r="U21" s="42">
        <f t="shared" si="11"/>
        <v>44927</v>
      </c>
      <c r="V21" s="625">
        <f t="shared" si="7"/>
        <v>14</v>
      </c>
      <c r="W21" s="625">
        <f ca="1">OFFSET([1]MonthlyDays!$F$60,-V21,0)</f>
        <v>20</v>
      </c>
      <c r="X21" s="626"/>
    </row>
    <row r="22" spans="1:29" x14ac:dyDescent="0.2">
      <c r="A22" s="178"/>
      <c r="B22" s="313">
        <f>+Data!BN23</f>
        <v>0.99246409817179737</v>
      </c>
      <c r="C22" s="188"/>
      <c r="D22" s="190"/>
      <c r="E22" s="623"/>
      <c r="F22" s="189"/>
      <c r="G22" s="190"/>
      <c r="K22" s="2"/>
      <c r="L22" s="42"/>
      <c r="U22" s="42">
        <f t="shared" si="11"/>
        <v>0</v>
      </c>
      <c r="V22" s="625">
        <f t="shared" si="7"/>
        <v>15</v>
      </c>
      <c r="W22" s="625">
        <f ca="1">OFFSET([1]MonthlyDays!$F$60,-V22,0)</f>
        <v>20</v>
      </c>
      <c r="X22" s="626"/>
    </row>
    <row r="23" spans="1:29" x14ac:dyDescent="0.2">
      <c r="A23" s="178"/>
      <c r="B23" s="313">
        <f>+Data!BN24</f>
        <v>0.99302190087320263</v>
      </c>
      <c r="C23" s="188"/>
      <c r="D23" s="190"/>
      <c r="E23" s="189"/>
      <c r="F23" s="189"/>
      <c r="G23" s="190"/>
      <c r="K23" s="2"/>
    </row>
    <row r="24" spans="1:29" x14ac:dyDescent="0.2">
      <c r="A24" s="178"/>
      <c r="B24" s="313">
        <f>+Data!BN25</f>
        <v>0.99398298188557066</v>
      </c>
      <c r="C24" s="188"/>
      <c r="D24" s="190"/>
      <c r="E24" s="189"/>
      <c r="F24" s="189"/>
      <c r="G24" s="190"/>
      <c r="K24" s="2"/>
    </row>
    <row r="25" spans="1:29" x14ac:dyDescent="0.2">
      <c r="A25" s="178"/>
      <c r="B25" s="313">
        <f>+Data!BN26</f>
        <v>0.99485353616260019</v>
      </c>
      <c r="C25" s="188"/>
      <c r="D25" s="190"/>
      <c r="E25" s="189"/>
      <c r="F25" s="189"/>
      <c r="G25" s="190"/>
      <c r="S25" t="s">
        <v>417</v>
      </c>
    </row>
    <row r="26" spans="1:29" x14ac:dyDescent="0.2">
      <c r="A26" s="178"/>
      <c r="B26" s="313">
        <f>+Data!BN27</f>
        <v>0.99525531193654615</v>
      </c>
      <c r="C26" s="188"/>
      <c r="D26" s="190"/>
      <c r="E26" s="189"/>
      <c r="F26" s="189"/>
      <c r="G26" s="190"/>
      <c r="K26" s="167" t="s">
        <v>186</v>
      </c>
      <c r="L26" s="168"/>
      <c r="M26" s="168"/>
      <c r="N26" s="168"/>
      <c r="O26" s="168"/>
      <c r="P26" s="168"/>
      <c r="Q26" s="168"/>
      <c r="R26" s="169"/>
    </row>
    <row r="27" spans="1:29" ht="12" thickBot="1" x14ac:dyDescent="0.25">
      <c r="A27" s="178"/>
      <c r="B27" s="313">
        <f>+Data!BN28</f>
        <v>0.9958210573764058</v>
      </c>
      <c r="C27" s="188"/>
      <c r="D27" s="190"/>
      <c r="E27" s="189"/>
      <c r="F27" s="189"/>
      <c r="G27" s="190"/>
      <c r="K27" s="2"/>
      <c r="Y27" s="77" t="s">
        <v>142</v>
      </c>
      <c r="Z27" s="78"/>
      <c r="AA27" s="78"/>
      <c r="AB27" s="78"/>
      <c r="AC27" s="79"/>
    </row>
    <row r="28" spans="1:29" ht="12.75" thickTop="1" thickBot="1" x14ac:dyDescent="0.25">
      <c r="A28" s="178"/>
      <c r="B28" s="178"/>
      <c r="C28" s="188"/>
      <c r="D28" s="190"/>
      <c r="E28" s="189"/>
      <c r="F28" s="189"/>
      <c r="G28" s="190"/>
      <c r="K28" s="2"/>
      <c r="L28" s="2" t="s">
        <v>184</v>
      </c>
      <c r="M28" s="2" t="s">
        <v>185</v>
      </c>
      <c r="O28" s="2" t="s">
        <v>63</v>
      </c>
      <c r="P28" s="2" t="s">
        <v>185</v>
      </c>
      <c r="R28" s="2" t="s">
        <v>96</v>
      </c>
      <c r="S28" s="80" t="s">
        <v>145</v>
      </c>
      <c r="T28" s="81"/>
      <c r="U28" s="82"/>
      <c r="V28" s="2" t="s">
        <v>146</v>
      </c>
      <c r="W28" s="2" t="s">
        <v>99</v>
      </c>
      <c r="AC28" s="2" t="s">
        <v>147</v>
      </c>
    </row>
    <row r="29" spans="1:29" ht="12" thickTop="1" x14ac:dyDescent="0.2">
      <c r="C29" s="30" t="s">
        <v>176</v>
      </c>
      <c r="D29" s="54">
        <f>AVERAGE(D8:D28)</f>
        <v>39.965262853491623</v>
      </c>
      <c r="E29" s="30"/>
      <c r="F29" s="30"/>
      <c r="G29" s="54">
        <f ca="1">AVERAGE(G8:G28)</f>
        <v>1.925189739054062</v>
      </c>
      <c r="K29" s="29" t="s">
        <v>41</v>
      </c>
      <c r="L29" s="29" t="s">
        <v>85</v>
      </c>
      <c r="M29" s="103" t="s">
        <v>409</v>
      </c>
      <c r="N29" s="2" t="s">
        <v>143</v>
      </c>
      <c r="O29" s="29" t="s">
        <v>85</v>
      </c>
      <c r="P29" s="103" t="s">
        <v>409</v>
      </c>
      <c r="Q29" s="2" t="s">
        <v>144</v>
      </c>
      <c r="R29" s="29" t="s">
        <v>85</v>
      </c>
      <c r="S29" s="83" t="s">
        <v>63</v>
      </c>
      <c r="T29" s="29" t="s">
        <v>148</v>
      </c>
      <c r="U29" s="84" t="s">
        <v>149</v>
      </c>
      <c r="V29" s="29" t="s">
        <v>83</v>
      </c>
      <c r="W29" s="29" t="s">
        <v>101</v>
      </c>
      <c r="X29" s="29" t="s">
        <v>99</v>
      </c>
      <c r="Y29" s="29" t="s">
        <v>96</v>
      </c>
      <c r="Z29" s="29" t="s">
        <v>97</v>
      </c>
      <c r="AA29" s="29" t="s">
        <v>149</v>
      </c>
      <c r="AB29" s="29" t="s">
        <v>150</v>
      </c>
      <c r="AC29" s="29" t="s">
        <v>151</v>
      </c>
    </row>
    <row r="30" spans="1:29" x14ac:dyDescent="0.2">
      <c r="A30" t="s">
        <v>152</v>
      </c>
      <c r="D30" s="2" t="s">
        <v>350</v>
      </c>
      <c r="E30" s="37" t="s">
        <v>351</v>
      </c>
      <c r="F30" s="37" t="s">
        <v>352</v>
      </c>
      <c r="G30" s="37" t="s">
        <v>353</v>
      </c>
      <c r="K30" s="2"/>
      <c r="S30" s="85"/>
      <c r="U30" s="86"/>
    </row>
    <row r="31" spans="1:29" x14ac:dyDescent="0.2">
      <c r="A31">
        <f>Final!$AN$19</f>
        <v>0</v>
      </c>
      <c r="C31" s="30" t="s">
        <v>178</v>
      </c>
      <c r="D31" s="44">
        <f>AVERAGE(MIN(C8:C28),MAX(C8:C28))+15</f>
        <v>45109</v>
      </c>
      <c r="F31" s="30" t="s">
        <v>179</v>
      </c>
      <c r="G31" s="162">
        <v>0.05</v>
      </c>
      <c r="K31" s="52">
        <f t="shared" ref="K31:K42" si="28">+J9</f>
        <v>45352</v>
      </c>
      <c r="L31" s="53">
        <f ca="1">+R9</f>
        <v>6901567</v>
      </c>
      <c r="M31" s="191">
        <v>1</v>
      </c>
      <c r="N31" s="30"/>
      <c r="O31" s="53">
        <f>Data!$BO8</f>
        <v>5368552.6631621839</v>
      </c>
      <c r="P31" s="87">
        <f t="shared" ref="P31:P42" si="29">1-$M31</f>
        <v>0</v>
      </c>
      <c r="Q31" s="30"/>
      <c r="R31" s="53">
        <f t="shared" ref="R31:R42" ca="1" si="30">ROUND($L31*$M31+$O31*$P31,0)</f>
        <v>6901567</v>
      </c>
      <c r="S31" s="88">
        <f>+Data!BN8</f>
        <v>0.21553914296864224</v>
      </c>
      <c r="T31" s="67">
        <f ca="1">+Final!J11</f>
        <v>0.16766239319273421</v>
      </c>
      <c r="U31" s="89">
        <f t="shared" ref="U31:U42" ca="1" si="31">T31-S31</f>
        <v>-4.7876749775908028E-2</v>
      </c>
      <c r="V31" s="450" t="str">
        <f ca="1">IF(Final!L11&lt;0,"Problem","ok")</f>
        <v>ok</v>
      </c>
      <c r="W31" s="66">
        <f ca="1">Final!$R11</f>
        <v>34.833327835451641</v>
      </c>
      <c r="X31" s="43">
        <f ca="1">Final!$L11</f>
        <v>5744433.7600000007</v>
      </c>
      <c r="Y31" s="43">
        <f ca="1">Final!$C11</f>
        <v>6901567</v>
      </c>
      <c r="Z31" s="43">
        <f>Data!$AL$142</f>
        <v>5452454.4600000046</v>
      </c>
      <c r="AA31" s="43">
        <f t="shared" ref="AA31:AA42" ca="1" si="32">Y31-Z31</f>
        <v>1449112.5399999954</v>
      </c>
      <c r="AB31" s="43">
        <f ca="1">SUM(AA$31)</f>
        <v>1449112.5399999954</v>
      </c>
      <c r="AC31" s="67">
        <f ca="1">AB31/SUM(Y$31)</f>
        <v>0.2099686259656677</v>
      </c>
    </row>
    <row r="32" spans="1:29" x14ac:dyDescent="0.2">
      <c r="C32" t="str">
        <f>"Lag Estimates for PMPMs based on the "&amp;A31</f>
        <v>Lag Estimates for PMPMs based on the 0</v>
      </c>
      <c r="K32" s="52">
        <f t="shared" si="28"/>
        <v>45323</v>
      </c>
      <c r="L32" s="53">
        <f t="shared" ref="L32:L42" ca="1" si="33">+R10</f>
        <v>6534263</v>
      </c>
      <c r="M32" s="191">
        <v>0.7</v>
      </c>
      <c r="N32" s="30"/>
      <c r="O32" s="53">
        <f>Data!$BO9</f>
        <v>5349604.5010541072</v>
      </c>
      <c r="P32" s="87">
        <f t="shared" si="29"/>
        <v>0.30000000000000004</v>
      </c>
      <c r="Q32" s="30"/>
      <c r="R32" s="53">
        <f t="shared" ca="1" si="30"/>
        <v>6178865</v>
      </c>
      <c r="S32" s="88">
        <f>+Data!BN9</f>
        <v>0.7322408374727789</v>
      </c>
      <c r="T32" s="67">
        <f ca="1">+Final!J12</f>
        <v>0.6339673839774792</v>
      </c>
      <c r="U32" s="89">
        <f t="shared" ca="1" si="31"/>
        <v>-9.8273453495299701E-2</v>
      </c>
      <c r="V32" s="450" t="str">
        <f ca="1">IF(Final!L12&lt;0,"Problem","ok")</f>
        <v>ok</v>
      </c>
      <c r="W32" s="66">
        <f ca="1">Final!$R12</f>
        <v>13.74112873729422</v>
      </c>
      <c r="X32" s="43">
        <f ca="1">Final!$L12</f>
        <v>2261666.1199999931</v>
      </c>
      <c r="Y32" s="43">
        <f ca="1">Final!$C12</f>
        <v>6178865</v>
      </c>
      <c r="Z32" s="43">
        <f>Data!$AK$142</f>
        <v>5585363.9099999908</v>
      </c>
      <c r="AA32" s="43">
        <f t="shared" ca="1" si="32"/>
        <v>593501.09000000916</v>
      </c>
      <c r="AB32" s="43">
        <f ca="1">SUM(AA31:AA$32)</f>
        <v>2042613.6300000045</v>
      </c>
      <c r="AC32" s="67">
        <f ca="1">AB32/SUM(Y31:Y$32)</f>
        <v>0.15615796404889415</v>
      </c>
    </row>
    <row r="33" spans="1:29" x14ac:dyDescent="0.2">
      <c r="K33" s="52">
        <f t="shared" si="28"/>
        <v>45292</v>
      </c>
      <c r="L33" s="53">
        <f t="shared" ca="1" si="33"/>
        <v>6836199</v>
      </c>
      <c r="M33" s="191">
        <v>0.2</v>
      </c>
      <c r="N33" s="30"/>
      <c r="O33" s="53">
        <f>Data!$BO10</f>
        <v>5919443.5991159491</v>
      </c>
      <c r="P33" s="87">
        <f t="shared" si="29"/>
        <v>0.8</v>
      </c>
      <c r="Q33" s="30"/>
      <c r="R33" s="53">
        <f t="shared" ca="1" si="30"/>
        <v>6102795</v>
      </c>
      <c r="S33" s="88">
        <f>+Data!BN10</f>
        <v>0.87409588137181282</v>
      </c>
      <c r="T33" s="67">
        <f ca="1">+Final!J13</f>
        <v>0.84783468394399475</v>
      </c>
      <c r="U33" s="89">
        <f t="shared" ca="1" si="31"/>
        <v>-2.6261197427818073E-2</v>
      </c>
      <c r="V33" s="450" t="str">
        <f ca="1">IF(Final!L13&lt;0,"Problem","ok")</f>
        <v>ok</v>
      </c>
      <c r="W33" s="66">
        <f ca="1">Final!$R13</f>
        <v>5.6387455673759401</v>
      </c>
      <c r="X33" s="43">
        <f ca="1">Final!$L13</f>
        <v>928633.73000000883</v>
      </c>
      <c r="Y33" s="43">
        <f ca="1">Final!$C13</f>
        <v>6102795</v>
      </c>
      <c r="Z33" s="43">
        <f>Data!$AJ$142</f>
        <v>5923338.4999999972</v>
      </c>
      <c r="AA33" s="43">
        <f t="shared" ca="1" si="32"/>
        <v>179456.50000000279</v>
      </c>
      <c r="AB33" s="43">
        <f ca="1">SUM(AA31:AA$33)</f>
        <v>2222070.1300000073</v>
      </c>
      <c r="AC33" s="67">
        <f ca="1">AB33/SUM(Y31:Y$33)</f>
        <v>0.11583401113900217</v>
      </c>
    </row>
    <row r="34" spans="1:29" x14ac:dyDescent="0.2">
      <c r="C34" s="3" t="s">
        <v>342</v>
      </c>
      <c r="D34" s="48"/>
      <c r="K34" s="52">
        <f t="shared" si="28"/>
        <v>45261</v>
      </c>
      <c r="L34" s="53">
        <f t="shared" ca="1" si="33"/>
        <v>5651012</v>
      </c>
      <c r="M34" s="191">
        <v>0</v>
      </c>
      <c r="N34" s="30"/>
      <c r="O34" s="53">
        <f>Data!$BO11</f>
        <v>5703063.7767345319</v>
      </c>
      <c r="P34" s="87">
        <f t="shared" si="29"/>
        <v>1</v>
      </c>
      <c r="Q34" s="30"/>
      <c r="R34" s="53">
        <f t="shared" ca="1" si="30"/>
        <v>5703064</v>
      </c>
      <c r="S34" s="88">
        <f>+Data!BN11</f>
        <v>0.92837614609871677</v>
      </c>
      <c r="T34" s="67">
        <f ca="1">+Final!J14</f>
        <v>0.92837610975433504</v>
      </c>
      <c r="U34" s="89">
        <f t="shared" ca="1" si="31"/>
        <v>-3.6344381726394204E-8</v>
      </c>
      <c r="V34" s="450" t="str">
        <f ca="1">IF(Final!L14&lt;0,"Problem","ok")</f>
        <v>ok</v>
      </c>
      <c r="W34" s="66">
        <f ca="1">Final!$R14</f>
        <v>2.8458061392264149</v>
      </c>
      <c r="X34" s="43">
        <f ca="1">Final!$L14</f>
        <v>408475.63000000268</v>
      </c>
      <c r="Y34" s="43">
        <f ca="1">Final!$C14</f>
        <v>5703064</v>
      </c>
      <c r="Z34" s="43">
        <f>Data!$AI$142</f>
        <v>5777917.9799999846</v>
      </c>
      <c r="AA34" s="43">
        <f t="shared" ca="1" si="32"/>
        <v>-74853.979999984615</v>
      </c>
      <c r="AB34" s="43">
        <f ca="1">SUM(AA31:AA$34)</f>
        <v>2147216.1500000227</v>
      </c>
      <c r="AC34" s="67">
        <f ca="1">AB34/SUM(Y31:Y$34)</f>
        <v>8.6281083428624325E-2</v>
      </c>
    </row>
    <row r="35" spans="1:29" x14ac:dyDescent="0.2">
      <c r="B35" s="67"/>
      <c r="C35" s="130" t="s">
        <v>343</v>
      </c>
      <c r="G35" s="2"/>
      <c r="H35" s="2"/>
      <c r="K35" s="52">
        <f t="shared" si="28"/>
        <v>45231</v>
      </c>
      <c r="L35" s="53">
        <f t="shared" ca="1" si="33"/>
        <v>5872927</v>
      </c>
      <c r="M35" s="191">
        <v>0</v>
      </c>
      <c r="N35" s="30"/>
      <c r="O35" s="53">
        <f>Data!$BO12</f>
        <v>6005201.8194632865</v>
      </c>
      <c r="P35" s="87">
        <f t="shared" si="29"/>
        <v>1</v>
      </c>
      <c r="Q35" s="30"/>
      <c r="R35" s="53">
        <f t="shared" ca="1" si="30"/>
        <v>6005202</v>
      </c>
      <c r="S35" s="88">
        <f>+Data!BN12</f>
        <v>0.94777800665301637</v>
      </c>
      <c r="T35" s="67">
        <f ca="1">+Final!J15</f>
        <v>0.94777797815959908</v>
      </c>
      <c r="U35" s="89">
        <f t="shared" ca="1" si="31"/>
        <v>-2.8493417292274614E-8</v>
      </c>
      <c r="V35" s="450" t="str">
        <f ca="1">IF(Final!L15&lt;0,"Problem","ok")</f>
        <v>ok</v>
      </c>
      <c r="W35" s="66">
        <f ca="1">Final!$R15</f>
        <v>2.1989383379145369</v>
      </c>
      <c r="X35" s="43">
        <f ca="1">Final!$L15</f>
        <v>313603.7900000196</v>
      </c>
      <c r="Y35" s="43">
        <f ca="1">Final!$C15</f>
        <v>6005202</v>
      </c>
      <c r="Z35" s="43">
        <f>Data!$AH$142</f>
        <v>5920319.6200000057</v>
      </c>
      <c r="AA35" s="43">
        <f t="shared" ca="1" si="32"/>
        <v>84882.3799999943</v>
      </c>
      <c r="AB35" s="43">
        <f ca="1">SUM(AA31:AA$35)</f>
        <v>2232098.530000017</v>
      </c>
      <c r="AC35" s="67">
        <f ca="1">AB35/SUM(Y31:Y$35)</f>
        <v>7.2256091021564314E-2</v>
      </c>
    </row>
    <row r="36" spans="1:29" x14ac:dyDescent="0.2">
      <c r="C36" t="s">
        <v>156</v>
      </c>
      <c r="G36" s="29" t="s">
        <v>260</v>
      </c>
      <c r="H36" s="29" t="s">
        <v>236</v>
      </c>
      <c r="I36" s="2"/>
      <c r="K36" s="52">
        <f t="shared" si="28"/>
        <v>45200</v>
      </c>
      <c r="L36" s="53">
        <f t="shared" ca="1" si="33"/>
        <v>5782164</v>
      </c>
      <c r="M36" s="191">
        <v>0</v>
      </c>
      <c r="N36" s="30"/>
      <c r="O36" s="53">
        <f>Data!$BO13</f>
        <v>6394677.8210517066</v>
      </c>
      <c r="P36" s="87">
        <f t="shared" si="29"/>
        <v>1</v>
      </c>
      <c r="Q36" s="30"/>
      <c r="R36" s="53">
        <f t="shared" ca="1" si="30"/>
        <v>6394678</v>
      </c>
      <c r="S36" s="88">
        <f>+Data!BN13</f>
        <v>0.95685483322655829</v>
      </c>
      <c r="T36" s="67">
        <f ca="1">+Final!J16</f>
        <v>0.95685480644998888</v>
      </c>
      <c r="U36" s="89">
        <f t="shared" ca="1" si="31"/>
        <v>-2.6776569406194994E-8</v>
      </c>
      <c r="V36" s="450" t="str">
        <f ca="1">IF(Final!L16&lt;0,"Problem","ok")</f>
        <v>ok</v>
      </c>
      <c r="W36" s="66">
        <f ca="1">Final!$R16</f>
        <v>1.9568181624749865</v>
      </c>
      <c r="X36" s="43">
        <f ca="1">Final!$L16</f>
        <v>275899.61999999825</v>
      </c>
      <c r="Y36" s="43">
        <f ca="1">Final!$C16</f>
        <v>6394678</v>
      </c>
      <c r="Z36" s="43">
        <f>Data!$AG$142</f>
        <v>6436494.1199999833</v>
      </c>
      <c r="AA36" s="43">
        <f t="shared" ca="1" si="32"/>
        <v>-41816.119999983348</v>
      </c>
      <c r="AB36" s="43">
        <f ca="1">SUM(AA31:AA$36)</f>
        <v>2190282.4100000337</v>
      </c>
      <c r="AC36" s="67">
        <f ca="1">AB36/SUM(Y31:Y$36)</f>
        <v>5.8742486859271061E-2</v>
      </c>
    </row>
    <row r="37" spans="1:29" x14ac:dyDescent="0.2">
      <c r="C37" s="30" t="str">
        <f ca="1">+LeastSq!A11</f>
        <v>36 Month Least Square Annual Trend</v>
      </c>
      <c r="D37" s="30"/>
      <c r="E37" s="30"/>
      <c r="F37" s="30"/>
      <c r="G37" s="70">
        <f ca="1">+LeastSq!E11</f>
        <v>-1.4099891847602519E-2</v>
      </c>
      <c r="H37" s="70">
        <f ca="1">+LeastSq!F11</f>
        <v>-1.4099891847602519E-2</v>
      </c>
      <c r="I37" s="29"/>
      <c r="K37" s="52">
        <f t="shared" si="28"/>
        <v>45170</v>
      </c>
      <c r="L37" s="53">
        <f t="shared" ca="1" si="33"/>
        <v>5374580</v>
      </c>
      <c r="M37" s="191">
        <v>0</v>
      </c>
      <c r="N37" s="30"/>
      <c r="O37" s="53">
        <f>Data!$BO14</f>
        <v>5476270.6222521747</v>
      </c>
      <c r="P37" s="87">
        <f t="shared" si="29"/>
        <v>1</v>
      </c>
      <c r="Q37" s="30"/>
      <c r="R37" s="53">
        <f t="shared" ca="1" si="30"/>
        <v>5476271</v>
      </c>
      <c r="S37" s="88">
        <f>+Data!BN14</f>
        <v>0.96398179238062165</v>
      </c>
      <c r="T37" s="67">
        <f ca="1">+Final!J17</f>
        <v>0.96398172588609898</v>
      </c>
      <c r="U37" s="89">
        <f t="shared" ca="1" si="31"/>
        <v>-6.649452266582756E-8</v>
      </c>
      <c r="V37" s="450" t="str">
        <f ca="1">IF(Final!L17&lt;0,"Problem","ok")</f>
        <v>ok</v>
      </c>
      <c r="W37" s="66">
        <f ca="1">Final!$R17</f>
        <v>1.4276210156046916</v>
      </c>
      <c r="X37" s="43">
        <f ca="1">Final!$L17</f>
        <v>197245.83000000659</v>
      </c>
      <c r="Y37" s="43">
        <f ca="1">Final!$C17</f>
        <v>5476271</v>
      </c>
      <c r="Z37" s="43">
        <f>Data!$AF$142</f>
        <v>5754302.1099999854</v>
      </c>
      <c r="AA37" s="43">
        <f t="shared" ca="1" si="32"/>
        <v>-278031.10999998543</v>
      </c>
      <c r="AB37" s="43">
        <f ca="1">SUM(AA31:AA$37)</f>
        <v>1912251.3000000482</v>
      </c>
      <c r="AC37" s="67">
        <f ca="1">AB37/SUM(Y31:Y$37)</f>
        <v>4.4718009789993941E-2</v>
      </c>
    </row>
    <row r="38" spans="1:29" x14ac:dyDescent="0.2">
      <c r="B38" s="67"/>
      <c r="C38" s="30" t="str">
        <f ca="1">+LeastSq!A12</f>
        <v>24 Month Least Square Annual Trend</v>
      </c>
      <c r="D38" s="30"/>
      <c r="E38" s="30"/>
      <c r="F38" s="30"/>
      <c r="G38" s="70">
        <f ca="1">+LeastSq!E12</f>
        <v>4.525994112568732E-2</v>
      </c>
      <c r="H38" s="70">
        <f ca="1">+LeastSq!F12</f>
        <v>4.525994112568732E-2</v>
      </c>
      <c r="I38" s="67"/>
      <c r="K38" s="52">
        <f t="shared" si="28"/>
        <v>45139</v>
      </c>
      <c r="L38" s="53">
        <f t="shared" ca="1" si="33"/>
        <v>5830880</v>
      </c>
      <c r="M38" s="191">
        <v>0</v>
      </c>
      <c r="N38" s="30"/>
      <c r="O38" s="53">
        <f>Data!$BO15</f>
        <v>6008617.6966927741</v>
      </c>
      <c r="P38" s="87">
        <f t="shared" si="29"/>
        <v>1</v>
      </c>
      <c r="Q38" s="30"/>
      <c r="R38" s="53">
        <f t="shared" ca="1" si="30"/>
        <v>6008618</v>
      </c>
      <c r="S38" s="88">
        <f>+Data!BN15</f>
        <v>0.97132728101712662</v>
      </c>
      <c r="T38" s="67">
        <f ca="1">+Final!J18</f>
        <v>0.97132723198578819</v>
      </c>
      <c r="U38" s="89">
        <f t="shared" ca="1" si="31"/>
        <v>-4.9031338433813687E-8</v>
      </c>
      <c r="V38" s="450" t="str">
        <f ca="1">IF(Final!L18&lt;0,"Problem","ok")</f>
        <v>ok</v>
      </c>
      <c r="W38" s="66">
        <f ca="1">Final!$R18</f>
        <v>1.2589881104624836</v>
      </c>
      <c r="X38" s="43">
        <f ca="1">Final!$L18</f>
        <v>172283.71000001766</v>
      </c>
      <c r="Y38" s="43">
        <f ca="1">Final!$C18</f>
        <v>6008618</v>
      </c>
      <c r="Z38" s="43">
        <f>Data!$AE$142</f>
        <v>5269664.7599999877</v>
      </c>
      <c r="AA38" s="43">
        <f t="shared" ca="1" si="32"/>
        <v>738953.24000001233</v>
      </c>
      <c r="AB38" s="43">
        <f ca="1">SUM(AA31:AA$38)</f>
        <v>2651204.5400000606</v>
      </c>
      <c r="AC38" s="67">
        <f ca="1">AB38/SUM(Y31:Y$38)</f>
        <v>5.4360199265713324E-2</v>
      </c>
    </row>
    <row r="39" spans="1:29" x14ac:dyDescent="0.2">
      <c r="B39" s="67"/>
      <c r="C39" s="30" t="str">
        <f ca="1">+LeastSq!A13</f>
        <v>18 Month Least Square Annual Trend</v>
      </c>
      <c r="D39" s="30"/>
      <c r="E39" s="30"/>
      <c r="F39" s="30"/>
      <c r="G39" s="70">
        <f ca="1">+LeastSq!E13</f>
        <v>1.5244520117340787E-2</v>
      </c>
      <c r="H39" s="70">
        <f ca="1">+LeastSq!F13</f>
        <v>1.5244520117340787E-2</v>
      </c>
      <c r="I39" s="67"/>
      <c r="K39" s="52">
        <f t="shared" si="28"/>
        <v>45108</v>
      </c>
      <c r="L39" s="53">
        <f t="shared" ca="1" si="33"/>
        <v>5255946</v>
      </c>
      <c r="M39" s="191">
        <v>0</v>
      </c>
      <c r="N39" s="30"/>
      <c r="O39" s="53">
        <f>Data!$BO16</f>
        <v>5220777.3146197619</v>
      </c>
      <c r="P39" s="87">
        <f t="shared" si="29"/>
        <v>1</v>
      </c>
      <c r="Q39" s="30"/>
      <c r="R39" s="53">
        <f t="shared" ca="1" si="30"/>
        <v>5220777</v>
      </c>
      <c r="S39" s="88">
        <f>+Data!BN16</f>
        <v>0.97521571083726688</v>
      </c>
      <c r="T39" s="67">
        <f ca="1">+Final!J19</f>
        <v>0.97521576960670575</v>
      </c>
      <c r="U39" s="89">
        <f t="shared" ca="1" si="31"/>
        <v>5.876943887095365E-8</v>
      </c>
      <c r="V39" s="450" t="str">
        <f ca="1">IF(Final!L19&lt;0,"Problem","ok")</f>
        <v>ok</v>
      </c>
      <c r="W39" s="66">
        <f ca="1">Final!$R19</f>
        <v>0.94977751679092437</v>
      </c>
      <c r="X39" s="43">
        <f ca="1">Final!$L19</f>
        <v>129392.94000001159</v>
      </c>
      <c r="Y39" s="43">
        <f ca="1">Final!$C19</f>
        <v>5220777</v>
      </c>
      <c r="Z39" s="43">
        <f>Data!$AD$142</f>
        <v>5024298.1099999929</v>
      </c>
      <c r="AA39" s="43">
        <f t="shared" ca="1" si="32"/>
        <v>196478.89000000712</v>
      </c>
      <c r="AB39" s="43">
        <f ca="1">SUM(AA31:AA$39)</f>
        <v>2847683.4300000677</v>
      </c>
      <c r="AC39" s="67">
        <f ca="1">AB39/SUM(Y31:Y$39)</f>
        <v>5.2742851294355249E-2</v>
      </c>
    </row>
    <row r="40" spans="1:29" x14ac:dyDescent="0.2">
      <c r="B40" s="67"/>
      <c r="I40" s="67"/>
      <c r="K40" s="52">
        <f t="shared" si="28"/>
        <v>45078</v>
      </c>
      <c r="L40" s="53">
        <f t="shared" ca="1" si="33"/>
        <v>5462641</v>
      </c>
      <c r="M40" s="191">
        <v>0</v>
      </c>
      <c r="N40" s="30"/>
      <c r="O40" s="53">
        <f>Data!$BO17</f>
        <v>5547486.2566172462</v>
      </c>
      <c r="P40" s="87">
        <f t="shared" si="29"/>
        <v>1</v>
      </c>
      <c r="Q40" s="30"/>
      <c r="R40" s="53">
        <f t="shared" ca="1" si="30"/>
        <v>5547486</v>
      </c>
      <c r="S40" s="88">
        <f>+Data!BN17</f>
        <v>0.97861987373546322</v>
      </c>
      <c r="T40" s="67">
        <f ca="1">+Final!J20</f>
        <v>0.97861991900475043</v>
      </c>
      <c r="U40" s="89">
        <f t="shared" ca="1" si="31"/>
        <v>4.5269287207716502E-8</v>
      </c>
      <c r="V40" s="450" t="str">
        <f ca="1">IF(Final!L20&lt;0,"Problem","ok")</f>
        <v>ok</v>
      </c>
      <c r="W40" s="66">
        <f ca="1">Final!$R20</f>
        <v>0.87586825684018188</v>
      </c>
      <c r="X40" s="43">
        <f ca="1">Final!$L20</f>
        <v>118605.70000001322</v>
      </c>
      <c r="Y40" s="43">
        <f ca="1">Final!$C20</f>
        <v>5547486</v>
      </c>
      <c r="Z40" s="43">
        <f>Data!$AC$142</f>
        <v>5161983.979999993</v>
      </c>
      <c r="AA40" s="43">
        <f t="shared" ca="1" si="32"/>
        <v>385502.020000007</v>
      </c>
      <c r="AB40" s="43">
        <f ca="1">SUM(AA31:AA$40)</f>
        <v>3233185.4500000747</v>
      </c>
      <c r="AC40" s="67">
        <f ca="1">AB40/SUM(Y31:Y$40)</f>
        <v>5.4303362670080658E-2</v>
      </c>
    </row>
    <row r="41" spans="1:29" x14ac:dyDescent="0.2">
      <c r="B41" s="67"/>
      <c r="C41" s="130" t="s">
        <v>664</v>
      </c>
      <c r="G41" s="29"/>
      <c r="K41" s="52">
        <f t="shared" si="28"/>
        <v>45047</v>
      </c>
      <c r="L41" s="53">
        <f t="shared" ca="1" si="33"/>
        <v>5659632</v>
      </c>
      <c r="M41" s="191">
        <v>0</v>
      </c>
      <c r="N41" s="30"/>
      <c r="O41" s="53">
        <f>Data!$BO18</f>
        <v>5412483.0907180533</v>
      </c>
      <c r="P41" s="87">
        <f t="shared" si="29"/>
        <v>1</v>
      </c>
      <c r="Q41" s="30"/>
      <c r="R41" s="53">
        <f t="shared" ca="1" si="30"/>
        <v>5412483</v>
      </c>
      <c r="S41" s="88">
        <f>+Data!BN18</f>
        <v>0.98217546750704832</v>
      </c>
      <c r="T41" s="67">
        <f ca="1">+Final!J21</f>
        <v>0.98217548396918708</v>
      </c>
      <c r="U41" s="89">
        <f t="shared" ca="1" si="31"/>
        <v>1.6462138763273515E-8</v>
      </c>
      <c r="V41" s="450" t="str">
        <f ca="1">IF(Final!L21&lt;0,"Problem","ok")</f>
        <v>ok</v>
      </c>
      <c r="W41" s="66">
        <f ca="1">Final!$R21</f>
        <v>0.71747213029414691</v>
      </c>
      <c r="X41" s="43">
        <f ca="1">Final!$L21</f>
        <v>96474.890000002459</v>
      </c>
      <c r="Y41" s="43">
        <f ca="1">Final!$C21</f>
        <v>5412483</v>
      </c>
      <c r="Z41" s="43">
        <f>Data!$AB$142</f>
        <v>5269479.2099999841</v>
      </c>
      <c r="AA41" s="43">
        <f t="shared" ca="1" si="32"/>
        <v>143003.79000001587</v>
      </c>
      <c r="AB41" s="43">
        <f ca="1">SUM(AA31:AA$41)</f>
        <v>3376189.2400000906</v>
      </c>
      <c r="AC41" s="67">
        <f ca="1">AB41/SUM(Y31:Y$41)</f>
        <v>5.1979913229819825E-2</v>
      </c>
    </row>
    <row r="42" spans="1:29" x14ac:dyDescent="0.2">
      <c r="C42" s="30" t="s">
        <v>159</v>
      </c>
      <c r="D42" s="30"/>
      <c r="E42" s="30"/>
      <c r="F42" s="30"/>
      <c r="G42" s="70">
        <f ca="1">+Trends!E30</f>
        <v>-7.1988574007393188E-3</v>
      </c>
      <c r="H42" s="70">
        <f ca="1">Trends!$W$30</f>
        <v>-7.1988574007393188E-3</v>
      </c>
      <c r="I42" s="67"/>
      <c r="K42" s="52">
        <f t="shared" si="28"/>
        <v>45017</v>
      </c>
      <c r="L42" s="53">
        <f t="shared" ca="1" si="33"/>
        <v>5124652</v>
      </c>
      <c r="M42" s="191">
        <v>0</v>
      </c>
      <c r="N42" s="30"/>
      <c r="O42" s="53">
        <f>Data!$BO19</f>
        <v>4838676.1872201031</v>
      </c>
      <c r="P42" s="87">
        <f t="shared" si="29"/>
        <v>1</v>
      </c>
      <c r="Q42" s="30"/>
      <c r="R42" s="53">
        <f t="shared" ca="1" si="30"/>
        <v>4838676</v>
      </c>
      <c r="S42" s="88">
        <f>+Data!BN19</f>
        <v>0.98447441318381057</v>
      </c>
      <c r="T42" s="67">
        <f ca="1">+Final!J22</f>
        <v>0.98447445127551203</v>
      </c>
      <c r="U42" s="89">
        <f t="shared" ca="1" si="31"/>
        <v>3.80917014597415E-8</v>
      </c>
      <c r="V42" s="450" t="str">
        <f ca="1">IF(Final!L22&lt;0,"Problem","ok")</f>
        <v>ok</v>
      </c>
      <c r="W42" s="66">
        <f ca="1">Final!$R22</f>
        <v>0.55866066780702617</v>
      </c>
      <c r="X42" s="43">
        <f ca="1">Final!$L22</f>
        <v>75123.100000010803</v>
      </c>
      <c r="Y42" s="43">
        <f ca="1">Final!$C22</f>
        <v>4838676</v>
      </c>
      <c r="Z42" s="43">
        <f>Data!$AA$142</f>
        <v>4199208.1499999892</v>
      </c>
      <c r="AA42" s="43">
        <f t="shared" ca="1" si="32"/>
        <v>639467.8500000108</v>
      </c>
      <c r="AB42" s="43">
        <f ca="1">SUM(AA31:AA$42)</f>
        <v>4015657.0900001014</v>
      </c>
      <c r="AC42" s="67">
        <f ca="1">AB42/SUM(Y31:Y$42)</f>
        <v>5.7538749911486518E-2</v>
      </c>
    </row>
    <row r="43" spans="1:29" ht="12" thickBot="1" x14ac:dyDescent="0.25">
      <c r="C43" s="30" t="s">
        <v>602</v>
      </c>
      <c r="D43" s="30"/>
      <c r="E43" s="30"/>
      <c r="F43" s="30"/>
      <c r="G43" s="70">
        <f ca="1">+Trends!F30</f>
        <v>-1.4571234481074622E-2</v>
      </c>
      <c r="H43" s="70">
        <f ca="1">Trends!$X$30</f>
        <v>-1.4571234481074622E-2</v>
      </c>
      <c r="I43" s="67"/>
      <c r="S43" s="90"/>
      <c r="T43" s="91"/>
      <c r="U43" s="92"/>
    </row>
    <row r="44" spans="1:29" ht="12" thickTop="1" x14ac:dyDescent="0.2">
      <c r="C44" s="30" t="s">
        <v>603</v>
      </c>
      <c r="D44" s="30"/>
      <c r="E44" s="30"/>
      <c r="F44" s="30"/>
      <c r="G44" s="70">
        <f ca="1">+Trends!G30</f>
        <v>-1.1264288987076782E-2</v>
      </c>
      <c r="H44" s="70">
        <f ca="1">Trends!$Y$30</f>
        <v>-1.1264288987076782E-2</v>
      </c>
      <c r="I44" s="67"/>
    </row>
    <row r="47" spans="1:29" ht="15.75" x14ac:dyDescent="0.25">
      <c r="A47" s="140" t="s">
        <v>388</v>
      </c>
    </row>
    <row r="49" spans="1:13" x14ac:dyDescent="0.2">
      <c r="A49" s="1" t="s">
        <v>782</v>
      </c>
    </row>
    <row r="50" spans="1:13" x14ac:dyDescent="0.2">
      <c r="A50" s="30" t="s">
        <v>160</v>
      </c>
      <c r="B50" s="30"/>
    </row>
    <row r="51" spans="1:13" x14ac:dyDescent="0.2">
      <c r="D51" s="50" t="s">
        <v>655</v>
      </c>
    </row>
    <row r="52" spans="1:13" x14ac:dyDescent="0.2">
      <c r="A52" s="321">
        <f>DATE(2000,1,1)</f>
        <v>36526</v>
      </c>
      <c r="B52" s="94">
        <v>0</v>
      </c>
      <c r="C52" s="178"/>
      <c r="D52" s="178" t="s">
        <v>727</v>
      </c>
      <c r="F52" s="178"/>
      <c r="G52" s="178"/>
      <c r="H52" s="178"/>
      <c r="I52" s="178"/>
      <c r="J52" s="178"/>
      <c r="K52" s="178"/>
      <c r="L52" s="178"/>
      <c r="M52" s="178"/>
    </row>
    <row r="53" spans="1:13" x14ac:dyDescent="0.2">
      <c r="A53" s="321">
        <f>DATE(2010,1,1)</f>
        <v>40179</v>
      </c>
      <c r="B53" s="94">
        <v>0</v>
      </c>
      <c r="C53" s="178"/>
      <c r="D53" s="178"/>
      <c r="F53" s="178"/>
      <c r="G53" s="178"/>
      <c r="H53" s="178"/>
      <c r="I53" s="178"/>
      <c r="J53" s="178"/>
      <c r="K53" s="178"/>
      <c r="L53" s="178"/>
      <c r="M53" s="178"/>
    </row>
    <row r="54" spans="1:13" x14ac:dyDescent="0.2">
      <c r="A54" s="321">
        <f>DATE(2010,1,1)</f>
        <v>40179</v>
      </c>
      <c r="B54" s="94">
        <v>0</v>
      </c>
      <c r="C54" s="178"/>
      <c r="D54" s="178"/>
      <c r="E54" s="178"/>
      <c r="F54" s="178"/>
      <c r="G54" s="178"/>
      <c r="H54" s="178"/>
      <c r="I54" s="178"/>
      <c r="J54" s="178"/>
      <c r="K54" s="178"/>
      <c r="L54" s="178"/>
      <c r="M54" s="178"/>
    </row>
    <row r="55" spans="1:13" x14ac:dyDescent="0.2">
      <c r="A55" s="321">
        <f>DATE(2010,1,1)</f>
        <v>40179</v>
      </c>
      <c r="B55" s="94">
        <v>0</v>
      </c>
      <c r="C55" s="178"/>
      <c r="D55" s="178"/>
      <c r="E55" s="178"/>
      <c r="F55" s="178"/>
      <c r="G55" s="178"/>
      <c r="H55" s="178"/>
      <c r="I55" s="178"/>
      <c r="J55" s="178"/>
      <c r="K55" s="178"/>
      <c r="L55" s="178"/>
      <c r="M55" s="178"/>
    </row>
    <row r="56" spans="1:13" x14ac:dyDescent="0.2">
      <c r="A56" s="321">
        <f t="shared" ref="A56:A74" si="34">DATE(2010,1,1)</f>
        <v>40179</v>
      </c>
      <c r="B56" s="94">
        <v>0</v>
      </c>
      <c r="C56" s="178"/>
      <c r="D56" s="178"/>
      <c r="E56" s="178"/>
      <c r="F56" s="178"/>
      <c r="G56" s="178"/>
      <c r="H56" s="178"/>
      <c r="I56" s="178"/>
      <c r="J56" s="178"/>
      <c r="K56" s="178"/>
      <c r="L56" s="178"/>
      <c r="M56" s="178"/>
    </row>
    <row r="57" spans="1:13" x14ac:dyDescent="0.2">
      <c r="A57" s="321">
        <f t="shared" si="34"/>
        <v>40179</v>
      </c>
      <c r="B57" s="94">
        <v>0</v>
      </c>
      <c r="C57" s="178"/>
      <c r="D57" s="178"/>
      <c r="E57" s="178"/>
      <c r="F57" s="178"/>
      <c r="G57" s="178"/>
      <c r="H57" s="178"/>
      <c r="I57" s="178"/>
      <c r="J57" s="178"/>
      <c r="K57" s="178"/>
      <c r="L57" s="178"/>
      <c r="M57" s="178"/>
    </row>
    <row r="58" spans="1:13" x14ac:dyDescent="0.2">
      <c r="A58" s="321">
        <f t="shared" si="34"/>
        <v>40179</v>
      </c>
      <c r="B58" s="94">
        <v>0</v>
      </c>
      <c r="C58" s="178"/>
      <c r="D58" s="178"/>
      <c r="E58" s="178"/>
      <c r="F58" s="178"/>
      <c r="G58" s="178"/>
      <c r="H58" s="178"/>
      <c r="I58" s="178"/>
      <c r="J58" s="178"/>
      <c r="K58" s="178"/>
      <c r="L58" s="178"/>
      <c r="M58" s="178"/>
    </row>
    <row r="59" spans="1:13" x14ac:dyDescent="0.2">
      <c r="A59" s="321">
        <f t="shared" si="34"/>
        <v>40179</v>
      </c>
      <c r="B59" s="94">
        <v>0</v>
      </c>
      <c r="C59" s="178"/>
      <c r="D59" s="178"/>
      <c r="E59" s="178" t="s">
        <v>345</v>
      </c>
      <c r="F59" s="178"/>
      <c r="G59" s="178"/>
      <c r="H59" s="178"/>
      <c r="I59" s="178"/>
      <c r="J59" s="178"/>
      <c r="K59" s="178"/>
      <c r="L59" s="178"/>
      <c r="M59" s="178"/>
    </row>
    <row r="60" spans="1:13" x14ac:dyDescent="0.2">
      <c r="A60" s="321">
        <f t="shared" si="34"/>
        <v>40179</v>
      </c>
      <c r="B60" s="94">
        <v>0</v>
      </c>
      <c r="C60" s="178"/>
      <c r="D60" s="178"/>
      <c r="E60" s="178" t="s">
        <v>645</v>
      </c>
      <c r="F60" s="178"/>
      <c r="G60" s="178"/>
      <c r="H60" s="178"/>
      <c r="I60" s="178"/>
      <c r="J60" s="178"/>
      <c r="K60" s="178"/>
      <c r="L60" s="178"/>
      <c r="M60" s="178"/>
    </row>
    <row r="61" spans="1:13" x14ac:dyDescent="0.2">
      <c r="A61" s="321">
        <f t="shared" si="34"/>
        <v>40179</v>
      </c>
      <c r="B61" s="94">
        <v>0</v>
      </c>
      <c r="C61" s="178"/>
      <c r="D61" s="178"/>
      <c r="E61" s="178"/>
      <c r="F61" s="178"/>
      <c r="G61" s="178"/>
      <c r="H61" s="178"/>
      <c r="I61" s="178"/>
      <c r="J61" s="178"/>
      <c r="K61" s="178"/>
      <c r="L61" s="178"/>
      <c r="M61" s="178"/>
    </row>
    <row r="62" spans="1:13" x14ac:dyDescent="0.2">
      <c r="A62" s="321">
        <f t="shared" si="34"/>
        <v>40179</v>
      </c>
      <c r="B62" s="94">
        <v>0</v>
      </c>
      <c r="C62" s="178"/>
      <c r="D62" s="178"/>
      <c r="E62" s="178"/>
      <c r="F62" s="178"/>
      <c r="G62" s="178"/>
      <c r="H62" s="178"/>
      <c r="I62" s="178"/>
      <c r="J62" s="178"/>
      <c r="K62" s="178"/>
      <c r="L62" s="178"/>
      <c r="M62" s="178"/>
    </row>
    <row r="63" spans="1:13" x14ac:dyDescent="0.2">
      <c r="A63" s="321">
        <f t="shared" si="34"/>
        <v>40179</v>
      </c>
      <c r="B63" s="94">
        <v>0</v>
      </c>
      <c r="C63" s="178"/>
      <c r="D63" s="178"/>
      <c r="E63" s="178"/>
      <c r="F63" s="178"/>
      <c r="G63" s="178"/>
      <c r="H63" s="178"/>
      <c r="I63" s="178"/>
      <c r="J63" s="178"/>
      <c r="K63" s="178"/>
      <c r="L63" s="178"/>
      <c r="M63" s="178"/>
    </row>
    <row r="64" spans="1:13" x14ac:dyDescent="0.2">
      <c r="A64" s="321">
        <f t="shared" si="34"/>
        <v>40179</v>
      </c>
      <c r="B64" s="94">
        <v>0</v>
      </c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</row>
    <row r="65" spans="1:13" x14ac:dyDescent="0.2">
      <c r="A65" s="321">
        <f t="shared" si="34"/>
        <v>40179</v>
      </c>
      <c r="B65" s="94">
        <v>0</v>
      </c>
      <c r="C65" s="178"/>
      <c r="D65" s="178"/>
      <c r="E65" s="178"/>
      <c r="F65" s="178"/>
      <c r="G65" s="178"/>
      <c r="H65" s="178"/>
      <c r="I65" s="178"/>
      <c r="J65" s="178"/>
      <c r="K65" s="178"/>
      <c r="L65" s="178"/>
      <c r="M65" s="178"/>
    </row>
    <row r="66" spans="1:13" x14ac:dyDescent="0.2">
      <c r="A66" s="321">
        <f t="shared" si="34"/>
        <v>40179</v>
      </c>
      <c r="B66" s="94">
        <v>0</v>
      </c>
      <c r="C66" s="178"/>
      <c r="D66" s="178"/>
      <c r="E66" s="178"/>
      <c r="F66" s="178"/>
      <c r="G66" s="178"/>
      <c r="H66" s="178"/>
      <c r="I66" s="178"/>
      <c r="J66" s="178"/>
      <c r="K66" s="178"/>
      <c r="L66" s="178"/>
      <c r="M66" s="178"/>
    </row>
    <row r="67" spans="1:13" x14ac:dyDescent="0.2">
      <c r="A67" s="321">
        <f t="shared" si="34"/>
        <v>40179</v>
      </c>
      <c r="B67" s="94">
        <v>0</v>
      </c>
      <c r="C67" s="178"/>
      <c r="D67" s="178"/>
      <c r="E67" s="178"/>
      <c r="F67" s="178"/>
      <c r="G67" s="178"/>
      <c r="H67" s="178"/>
      <c r="I67" s="178"/>
      <c r="J67" s="178"/>
      <c r="K67" s="178"/>
      <c r="L67" s="178"/>
      <c r="M67" s="178"/>
    </row>
    <row r="68" spans="1:13" x14ac:dyDescent="0.2">
      <c r="A68" s="321">
        <f t="shared" si="34"/>
        <v>40179</v>
      </c>
      <c r="B68" s="94">
        <v>0</v>
      </c>
      <c r="C68" s="178"/>
      <c r="D68" s="178"/>
      <c r="E68" s="178"/>
      <c r="F68" s="178"/>
      <c r="G68" s="178"/>
      <c r="H68" s="178"/>
      <c r="I68" s="178"/>
      <c r="J68" s="178"/>
      <c r="K68" s="178"/>
      <c r="L68" s="178"/>
      <c r="M68" s="178"/>
    </row>
    <row r="69" spans="1:13" x14ac:dyDescent="0.2">
      <c r="A69" s="321">
        <f t="shared" si="34"/>
        <v>40179</v>
      </c>
      <c r="B69" s="94">
        <v>0</v>
      </c>
      <c r="C69" s="178"/>
      <c r="D69" s="178"/>
      <c r="E69" s="178"/>
      <c r="F69" s="178"/>
      <c r="G69" s="178"/>
      <c r="H69" s="178"/>
      <c r="I69" s="178"/>
      <c r="J69" s="178"/>
      <c r="K69" s="178"/>
      <c r="L69" s="178"/>
      <c r="M69" s="178"/>
    </row>
    <row r="70" spans="1:13" x14ac:dyDescent="0.2">
      <c r="A70" s="321">
        <f t="shared" si="34"/>
        <v>40179</v>
      </c>
      <c r="B70" s="94">
        <v>0</v>
      </c>
      <c r="C70" s="178"/>
      <c r="D70" s="178"/>
      <c r="E70" s="178"/>
      <c r="F70" s="178"/>
      <c r="G70" s="178"/>
      <c r="H70" s="178"/>
      <c r="I70" s="178"/>
      <c r="J70" s="178"/>
      <c r="K70" s="178"/>
      <c r="L70" s="178"/>
      <c r="M70" s="178"/>
    </row>
    <row r="71" spans="1:13" x14ac:dyDescent="0.2">
      <c r="A71" s="321">
        <f t="shared" si="34"/>
        <v>40179</v>
      </c>
      <c r="B71" s="94">
        <v>0</v>
      </c>
      <c r="C71" s="178"/>
      <c r="D71" s="178"/>
      <c r="E71" s="178"/>
      <c r="F71" s="178"/>
      <c r="G71" s="178"/>
      <c r="H71" s="178"/>
      <c r="I71" s="178"/>
      <c r="J71" s="178"/>
      <c r="K71" s="178"/>
      <c r="L71" s="178"/>
      <c r="M71" s="178"/>
    </row>
    <row r="72" spans="1:13" x14ac:dyDescent="0.2">
      <c r="A72" s="321">
        <f t="shared" si="34"/>
        <v>40179</v>
      </c>
      <c r="B72" s="94">
        <v>0</v>
      </c>
      <c r="C72" s="178"/>
      <c r="D72" s="178"/>
      <c r="E72" s="178"/>
      <c r="F72" s="178"/>
      <c r="G72" s="178"/>
      <c r="H72" s="178"/>
      <c r="I72" s="178"/>
      <c r="J72" s="178"/>
      <c r="K72" s="178"/>
      <c r="L72" s="178"/>
      <c r="M72" s="178"/>
    </row>
    <row r="73" spans="1:13" x14ac:dyDescent="0.2">
      <c r="A73" s="321">
        <f t="shared" si="34"/>
        <v>40179</v>
      </c>
      <c r="B73" s="94">
        <v>0</v>
      </c>
      <c r="C73" s="178"/>
      <c r="D73" s="178"/>
      <c r="E73" s="178"/>
      <c r="F73" s="178"/>
      <c r="G73" s="178"/>
      <c r="H73" s="178"/>
      <c r="I73" s="178"/>
      <c r="J73" s="178"/>
      <c r="K73" s="178"/>
      <c r="L73" s="178"/>
      <c r="M73" s="178"/>
    </row>
    <row r="74" spans="1:13" x14ac:dyDescent="0.2">
      <c r="A74" s="321">
        <f t="shared" si="34"/>
        <v>40179</v>
      </c>
      <c r="B74" s="94">
        <v>0</v>
      </c>
      <c r="C74" s="178"/>
      <c r="D74" s="178"/>
      <c r="E74" s="178"/>
      <c r="F74" s="178"/>
      <c r="G74" s="178"/>
      <c r="H74" s="178"/>
      <c r="I74" s="178"/>
      <c r="J74" s="178"/>
      <c r="K74" s="178"/>
      <c r="L74" s="178"/>
      <c r="M74" s="178"/>
    </row>
    <row r="75" spans="1:13" x14ac:dyDescent="0.2">
      <c r="A75" s="178"/>
      <c r="B75" s="178"/>
      <c r="C75" s="178"/>
      <c r="D75" s="178"/>
      <c r="E75" s="178"/>
      <c r="F75" s="178"/>
      <c r="G75" s="178"/>
      <c r="H75" s="178"/>
      <c r="I75" s="178"/>
    </row>
    <row r="76" spans="1:13" x14ac:dyDescent="0.2">
      <c r="A76" s="178" t="s">
        <v>387</v>
      </c>
      <c r="B76" s="178"/>
      <c r="C76" s="178"/>
      <c r="D76" s="178"/>
      <c r="E76" s="178"/>
      <c r="F76" s="178"/>
      <c r="G76" s="178"/>
      <c r="H76" s="178"/>
      <c r="I76" s="178"/>
    </row>
    <row r="77" spans="1:13" x14ac:dyDescent="0.2">
      <c r="A77" s="178"/>
      <c r="B77" s="178"/>
      <c r="C77" s="178"/>
      <c r="D77" s="178"/>
      <c r="E77" s="178"/>
      <c r="F77" s="178"/>
      <c r="G77" s="178"/>
      <c r="H77" s="178"/>
      <c r="I77" s="178"/>
    </row>
    <row r="78" spans="1:13" x14ac:dyDescent="0.2">
      <c r="A78" s="178"/>
      <c r="B78" s="178"/>
      <c r="C78" s="312" t="s">
        <v>161</v>
      </c>
      <c r="D78" s="178"/>
      <c r="E78" s="178"/>
      <c r="F78" s="178"/>
      <c r="G78" s="178"/>
      <c r="H78" s="178"/>
      <c r="I78" s="178"/>
    </row>
    <row r="79" spans="1:13" x14ac:dyDescent="0.2">
      <c r="A79" s="178"/>
      <c r="B79" s="178"/>
      <c r="C79" s="312" t="s">
        <v>162</v>
      </c>
      <c r="D79" s="178"/>
      <c r="E79" s="178"/>
      <c r="F79" s="178"/>
      <c r="G79" s="178"/>
      <c r="H79" s="178"/>
      <c r="I79" s="178"/>
    </row>
    <row r="80" spans="1:13" x14ac:dyDescent="0.2">
      <c r="A80" s="178"/>
      <c r="B80" s="312" t="s">
        <v>163</v>
      </c>
      <c r="C80" s="312" t="s">
        <v>164</v>
      </c>
      <c r="D80" s="178"/>
      <c r="E80" s="178"/>
      <c r="F80" s="178"/>
      <c r="G80" s="178"/>
      <c r="H80" s="178"/>
      <c r="I80" s="178"/>
    </row>
    <row r="81" spans="1:9" x14ac:dyDescent="0.2">
      <c r="A81" s="323">
        <f>DATE(1990,1,1)</f>
        <v>32874</v>
      </c>
      <c r="B81" s="76">
        <v>1</v>
      </c>
      <c r="C81" s="76">
        <f t="shared" ref="C81:C102" si="35">B82*C82</f>
        <v>1</v>
      </c>
      <c r="D81" s="178"/>
      <c r="E81" s="178"/>
      <c r="F81" s="178"/>
      <c r="G81" s="178"/>
      <c r="H81" s="178"/>
      <c r="I81" s="178"/>
    </row>
    <row r="82" spans="1:9" x14ac:dyDescent="0.2">
      <c r="A82" s="100">
        <f t="shared" ref="A82:A102" si="36">IF(A52&gt;0,A52,DATE(1990,12,31))</f>
        <v>36526</v>
      </c>
      <c r="B82" s="76">
        <f t="shared" ref="B82:B102" si="37">IF(B52&lt;&gt;0,1+B52,1)</f>
        <v>1</v>
      </c>
      <c r="C82" s="76">
        <f t="shared" si="35"/>
        <v>1</v>
      </c>
      <c r="D82" s="178"/>
      <c r="E82" s="178"/>
      <c r="F82" s="178"/>
      <c r="G82" s="178"/>
      <c r="H82" s="178"/>
      <c r="I82" s="178"/>
    </row>
    <row r="83" spans="1:9" x14ac:dyDescent="0.2">
      <c r="A83" s="100">
        <f t="shared" si="36"/>
        <v>40179</v>
      </c>
      <c r="B83" s="76">
        <f t="shared" si="37"/>
        <v>1</v>
      </c>
      <c r="C83" s="76">
        <f t="shared" si="35"/>
        <v>1</v>
      </c>
      <c r="D83" s="178"/>
      <c r="E83" s="178"/>
      <c r="F83" s="178"/>
      <c r="G83" s="178"/>
      <c r="H83" s="178"/>
      <c r="I83" s="178"/>
    </row>
    <row r="84" spans="1:9" x14ac:dyDescent="0.2">
      <c r="A84" s="100">
        <f t="shared" si="36"/>
        <v>40179</v>
      </c>
      <c r="B84" s="76">
        <f t="shared" si="37"/>
        <v>1</v>
      </c>
      <c r="C84" s="76">
        <f t="shared" si="35"/>
        <v>1</v>
      </c>
      <c r="D84" s="178"/>
      <c r="E84" s="178"/>
      <c r="F84" s="178"/>
      <c r="G84" s="178"/>
      <c r="H84" s="178"/>
      <c r="I84" s="178"/>
    </row>
    <row r="85" spans="1:9" x14ac:dyDescent="0.2">
      <c r="A85" s="100">
        <f t="shared" si="36"/>
        <v>40179</v>
      </c>
      <c r="B85" s="76">
        <f t="shared" si="37"/>
        <v>1</v>
      </c>
      <c r="C85" s="76">
        <f t="shared" si="35"/>
        <v>1</v>
      </c>
      <c r="D85" s="178"/>
      <c r="E85" s="178"/>
      <c r="F85" s="178"/>
      <c r="G85" s="178"/>
      <c r="H85" s="178"/>
      <c r="I85" s="178"/>
    </row>
    <row r="86" spans="1:9" x14ac:dyDescent="0.2">
      <c r="A86" s="100">
        <f t="shared" si="36"/>
        <v>40179</v>
      </c>
      <c r="B86" s="76">
        <f t="shared" si="37"/>
        <v>1</v>
      </c>
      <c r="C86" s="76">
        <f t="shared" si="35"/>
        <v>1</v>
      </c>
      <c r="D86" s="178"/>
      <c r="E86" s="178"/>
      <c r="F86" s="178"/>
      <c r="G86" s="178"/>
      <c r="H86" s="178"/>
      <c r="I86" s="178"/>
    </row>
    <row r="87" spans="1:9" x14ac:dyDescent="0.2">
      <c r="A87" s="100">
        <f t="shared" si="36"/>
        <v>40179</v>
      </c>
      <c r="B87" s="76">
        <f t="shared" si="37"/>
        <v>1</v>
      </c>
      <c r="C87" s="76">
        <f t="shared" si="35"/>
        <v>1</v>
      </c>
      <c r="D87" s="178"/>
      <c r="E87" s="178"/>
      <c r="F87" s="178"/>
      <c r="G87" s="178"/>
      <c r="H87" s="178"/>
      <c r="I87" s="178"/>
    </row>
    <row r="88" spans="1:9" x14ac:dyDescent="0.2">
      <c r="A88" s="100">
        <f t="shared" si="36"/>
        <v>40179</v>
      </c>
      <c r="B88" s="76">
        <f t="shared" si="37"/>
        <v>1</v>
      </c>
      <c r="C88" s="76">
        <f t="shared" si="35"/>
        <v>1</v>
      </c>
      <c r="D88" s="178"/>
      <c r="E88" s="178"/>
      <c r="F88" s="178"/>
      <c r="G88" s="178"/>
      <c r="H88" s="178"/>
      <c r="I88" s="178"/>
    </row>
    <row r="89" spans="1:9" x14ac:dyDescent="0.2">
      <c r="A89" s="100">
        <f t="shared" si="36"/>
        <v>40179</v>
      </c>
      <c r="B89" s="76">
        <f t="shared" si="37"/>
        <v>1</v>
      </c>
      <c r="C89" s="76">
        <f t="shared" si="35"/>
        <v>1</v>
      </c>
      <c r="D89" s="178"/>
      <c r="E89" s="178"/>
      <c r="F89" s="178"/>
      <c r="G89" s="178"/>
      <c r="H89" s="178"/>
      <c r="I89" s="178"/>
    </row>
    <row r="90" spans="1:9" x14ac:dyDescent="0.2">
      <c r="A90" s="100">
        <f t="shared" si="36"/>
        <v>40179</v>
      </c>
      <c r="B90" s="76">
        <f t="shared" si="37"/>
        <v>1</v>
      </c>
      <c r="C90" s="76">
        <f t="shared" si="35"/>
        <v>1</v>
      </c>
      <c r="D90" s="178"/>
      <c r="E90" s="178"/>
      <c r="F90" s="178"/>
      <c r="G90" s="178"/>
      <c r="H90" s="178"/>
      <c r="I90" s="178"/>
    </row>
    <row r="91" spans="1:9" x14ac:dyDescent="0.2">
      <c r="A91" s="100">
        <f t="shared" si="36"/>
        <v>40179</v>
      </c>
      <c r="B91" s="76">
        <f t="shared" si="37"/>
        <v>1</v>
      </c>
      <c r="C91" s="76">
        <f t="shared" si="35"/>
        <v>1</v>
      </c>
      <c r="D91" s="178"/>
      <c r="E91" s="178"/>
      <c r="F91" s="178"/>
      <c r="G91" s="178"/>
      <c r="H91" s="178"/>
      <c r="I91" s="178"/>
    </row>
    <row r="92" spans="1:9" x14ac:dyDescent="0.2">
      <c r="A92" s="100">
        <f t="shared" si="36"/>
        <v>40179</v>
      </c>
      <c r="B92" s="76">
        <f t="shared" si="37"/>
        <v>1</v>
      </c>
      <c r="C92" s="76">
        <f t="shared" si="35"/>
        <v>1</v>
      </c>
      <c r="D92" s="178"/>
      <c r="E92" s="178"/>
      <c r="F92" s="178"/>
      <c r="G92" s="178"/>
      <c r="H92" s="178"/>
      <c r="I92" s="178"/>
    </row>
    <row r="93" spans="1:9" x14ac:dyDescent="0.2">
      <c r="A93" s="100">
        <f t="shared" si="36"/>
        <v>40179</v>
      </c>
      <c r="B93" s="76">
        <f t="shared" si="37"/>
        <v>1</v>
      </c>
      <c r="C93" s="76">
        <f t="shared" si="35"/>
        <v>1</v>
      </c>
      <c r="D93" s="178"/>
      <c r="E93" s="178"/>
      <c r="F93" s="178"/>
      <c r="G93" s="178"/>
      <c r="H93" s="178"/>
      <c r="I93" s="178"/>
    </row>
    <row r="94" spans="1:9" x14ac:dyDescent="0.2">
      <c r="A94" s="100">
        <f t="shared" si="36"/>
        <v>40179</v>
      </c>
      <c r="B94" s="76">
        <f t="shared" si="37"/>
        <v>1</v>
      </c>
      <c r="C94" s="76">
        <f t="shared" si="35"/>
        <v>1</v>
      </c>
      <c r="D94" s="178"/>
      <c r="E94" s="178"/>
      <c r="F94" s="178"/>
      <c r="G94" s="178"/>
      <c r="H94" s="178"/>
      <c r="I94" s="178"/>
    </row>
    <row r="95" spans="1:9" x14ac:dyDescent="0.2">
      <c r="A95" s="100">
        <f t="shared" si="36"/>
        <v>40179</v>
      </c>
      <c r="B95" s="76">
        <f t="shared" si="37"/>
        <v>1</v>
      </c>
      <c r="C95" s="76">
        <f t="shared" si="35"/>
        <v>1</v>
      </c>
      <c r="D95" s="178"/>
      <c r="E95" s="178"/>
      <c r="F95" s="178"/>
      <c r="G95" s="178"/>
      <c r="H95" s="178"/>
      <c r="I95" s="178"/>
    </row>
    <row r="96" spans="1:9" x14ac:dyDescent="0.2">
      <c r="A96" s="100">
        <f t="shared" si="36"/>
        <v>40179</v>
      </c>
      <c r="B96" s="76">
        <f t="shared" si="37"/>
        <v>1</v>
      </c>
      <c r="C96" s="76">
        <f t="shared" si="35"/>
        <v>1</v>
      </c>
      <c r="D96" s="178"/>
      <c r="E96" s="178"/>
      <c r="F96" s="178"/>
      <c r="G96" s="178"/>
      <c r="H96" s="178"/>
      <c r="I96" s="178"/>
    </row>
    <row r="97" spans="1:16" x14ac:dyDescent="0.2">
      <c r="A97" s="100">
        <f t="shared" si="36"/>
        <v>40179</v>
      </c>
      <c r="B97" s="76">
        <f t="shared" si="37"/>
        <v>1</v>
      </c>
      <c r="C97" s="76">
        <f t="shared" si="35"/>
        <v>1</v>
      </c>
      <c r="D97" s="178"/>
      <c r="E97" s="178"/>
      <c r="F97" s="178"/>
      <c r="G97" s="178"/>
      <c r="H97" s="178"/>
      <c r="I97" s="178"/>
    </row>
    <row r="98" spans="1:16" x14ac:dyDescent="0.2">
      <c r="A98" s="100">
        <f t="shared" si="36"/>
        <v>40179</v>
      </c>
      <c r="B98" s="76">
        <f t="shared" si="37"/>
        <v>1</v>
      </c>
      <c r="C98" s="76">
        <f t="shared" si="35"/>
        <v>1</v>
      </c>
      <c r="D98" s="178"/>
      <c r="E98" s="178"/>
      <c r="F98" s="178"/>
      <c r="G98" s="178"/>
      <c r="H98" s="178"/>
      <c r="I98" s="178"/>
    </row>
    <row r="99" spans="1:16" x14ac:dyDescent="0.2">
      <c r="A99" s="100">
        <f t="shared" si="36"/>
        <v>40179</v>
      </c>
      <c r="B99" s="76">
        <f t="shared" si="37"/>
        <v>1</v>
      </c>
      <c r="C99" s="76">
        <f t="shared" si="35"/>
        <v>1</v>
      </c>
      <c r="D99" s="178"/>
      <c r="E99" s="178"/>
      <c r="F99" s="178"/>
      <c r="G99" s="178"/>
      <c r="H99" s="178"/>
      <c r="I99" s="178"/>
    </row>
    <row r="100" spans="1:16" x14ac:dyDescent="0.2">
      <c r="A100" s="100">
        <f t="shared" si="36"/>
        <v>40179</v>
      </c>
      <c r="B100" s="76">
        <f t="shared" si="37"/>
        <v>1</v>
      </c>
      <c r="C100" s="76">
        <f t="shared" si="35"/>
        <v>1</v>
      </c>
      <c r="D100" s="178"/>
      <c r="E100" s="178"/>
      <c r="F100" s="178"/>
      <c r="G100" s="178"/>
      <c r="H100" s="178"/>
      <c r="I100" s="178"/>
    </row>
    <row r="101" spans="1:16" x14ac:dyDescent="0.2">
      <c r="A101" s="100">
        <f t="shared" si="36"/>
        <v>40179</v>
      </c>
      <c r="B101" s="76">
        <f t="shared" si="37"/>
        <v>1</v>
      </c>
      <c r="C101" s="76">
        <f t="shared" si="35"/>
        <v>1</v>
      </c>
      <c r="D101" s="178"/>
      <c r="E101" s="178"/>
      <c r="F101" s="178"/>
      <c r="G101" s="178"/>
      <c r="H101" s="178"/>
      <c r="I101" s="178"/>
    </row>
    <row r="102" spans="1:16" x14ac:dyDescent="0.2">
      <c r="A102" s="100">
        <f t="shared" si="36"/>
        <v>40179</v>
      </c>
      <c r="B102" s="76">
        <f t="shared" si="37"/>
        <v>1</v>
      </c>
      <c r="C102" s="76">
        <f t="shared" si="35"/>
        <v>1</v>
      </c>
      <c r="D102" s="178"/>
      <c r="E102" s="178"/>
      <c r="F102" s="178"/>
      <c r="G102" s="178"/>
      <c r="H102" s="178"/>
      <c r="I102" s="178"/>
    </row>
    <row r="103" spans="1:16" x14ac:dyDescent="0.2">
      <c r="A103" s="100">
        <f>IF(A73&gt;0,A73,DATE(1990,12,31))</f>
        <v>40179</v>
      </c>
      <c r="B103" s="76">
        <f>IF(B73&lt;&gt;0,1+B73,1)</f>
        <v>1</v>
      </c>
      <c r="C103" s="76">
        <f>B104*C104</f>
        <v>1</v>
      </c>
      <c r="D103" s="178"/>
      <c r="E103" s="178"/>
      <c r="F103" s="178"/>
      <c r="G103" s="178"/>
      <c r="H103" s="178"/>
      <c r="I103" s="178"/>
    </row>
    <row r="104" spans="1:16" x14ac:dyDescent="0.2">
      <c r="A104" s="100">
        <f>IF(A74&gt;0,A74,DATE(1990,12,31))</f>
        <v>40179</v>
      </c>
      <c r="B104" s="76">
        <f>IF(B74&lt;&gt;0,1+B74,1)</f>
        <v>1</v>
      </c>
      <c r="C104" s="322">
        <v>1</v>
      </c>
      <c r="D104" s="178"/>
      <c r="E104" s="178"/>
      <c r="F104" s="178"/>
      <c r="G104" s="178"/>
      <c r="H104" s="178"/>
      <c r="I104" s="178"/>
    </row>
    <row r="105" spans="1:16" x14ac:dyDescent="0.2">
      <c r="A105" s="178"/>
      <c r="B105" s="178"/>
      <c r="C105" s="178"/>
      <c r="D105" s="178"/>
      <c r="E105" s="178"/>
      <c r="F105" s="178"/>
      <c r="G105" s="178"/>
      <c r="H105" s="178"/>
      <c r="I105" s="178"/>
    </row>
    <row r="106" spans="1:16" x14ac:dyDescent="0.2">
      <c r="A106" s="178"/>
      <c r="B106" s="178"/>
      <c r="C106" s="178"/>
      <c r="D106" s="178"/>
      <c r="E106" s="178"/>
      <c r="F106" s="178"/>
      <c r="G106" s="178"/>
      <c r="H106" s="178"/>
      <c r="I106" s="178"/>
    </row>
    <row r="108" spans="1:16" x14ac:dyDescent="0.2">
      <c r="A108" s="3" t="s">
        <v>165</v>
      </c>
      <c r="C108" s="9" t="s">
        <v>135</v>
      </c>
      <c r="D108" s="10">
        <f>Final!AI37</f>
        <v>1</v>
      </c>
      <c r="E108" s="171">
        <f>Final!$AM$37</f>
        <v>0</v>
      </c>
      <c r="F108" s="10"/>
      <c r="G108" s="11"/>
    </row>
    <row r="110" spans="1:16" x14ac:dyDescent="0.2">
      <c r="B110" s="2" t="s">
        <v>166</v>
      </c>
      <c r="C110" s="2" t="s">
        <v>167</v>
      </c>
      <c r="D110" s="2" t="s">
        <v>168</v>
      </c>
      <c r="E110" s="2" t="s">
        <v>651</v>
      </c>
      <c r="O110" s="2"/>
      <c r="P110" s="2"/>
    </row>
    <row r="111" spans="1:16" x14ac:dyDescent="0.2">
      <c r="A111" s="8" t="s">
        <v>41</v>
      </c>
      <c r="B111" s="8" t="s">
        <v>169</v>
      </c>
      <c r="C111" s="8" t="s">
        <v>169</v>
      </c>
      <c r="D111" s="8" t="s">
        <v>170</v>
      </c>
      <c r="E111" s="8" t="s">
        <v>652</v>
      </c>
      <c r="F111" s="8" t="s">
        <v>135</v>
      </c>
      <c r="N111" s="8"/>
      <c r="O111" s="8"/>
      <c r="P111" s="8"/>
    </row>
    <row r="112" spans="1:16" x14ac:dyDescent="0.2">
      <c r="A112" s="98">
        <v>1</v>
      </c>
      <c r="B112" s="96">
        <v>1</v>
      </c>
      <c r="C112" s="96">
        <v>1.02</v>
      </c>
      <c r="D112" s="97">
        <v>1.0295852202478231</v>
      </c>
      <c r="E112" s="97">
        <v>1</v>
      </c>
      <c r="F112" s="96">
        <f>CHOOSE($D$108,B112,C112,D112,E112)</f>
        <v>1</v>
      </c>
      <c r="N112" s="2"/>
      <c r="O112" s="76"/>
      <c r="P112" s="76"/>
    </row>
    <row r="113" spans="1:16" x14ac:dyDescent="0.2">
      <c r="A113" s="98">
        <f t="shared" ref="A113:A123" si="38">1+A112</f>
        <v>2</v>
      </c>
      <c r="B113" s="96">
        <v>1</v>
      </c>
      <c r="C113" s="96">
        <v>0.97</v>
      </c>
      <c r="D113" s="97">
        <v>0.98496688058813564</v>
      </c>
      <c r="E113" s="97">
        <v>1</v>
      </c>
      <c r="F113" s="96">
        <f t="shared" ref="F113:F123" si="39">CHOOSE($D$108,B113,C113,D113,E113)</f>
        <v>1</v>
      </c>
      <c r="N113" s="2"/>
      <c r="O113" s="76"/>
      <c r="P113" s="76"/>
    </row>
    <row r="114" spans="1:16" x14ac:dyDescent="0.2">
      <c r="A114" s="98">
        <f t="shared" si="38"/>
        <v>3</v>
      </c>
      <c r="B114" s="96">
        <v>1</v>
      </c>
      <c r="C114" s="96">
        <v>1.03</v>
      </c>
      <c r="D114" s="97">
        <v>0.98678537695458468</v>
      </c>
      <c r="E114" s="97">
        <v>1</v>
      </c>
      <c r="F114" s="96">
        <f t="shared" si="39"/>
        <v>1</v>
      </c>
      <c r="H114" t="s">
        <v>568</v>
      </c>
      <c r="N114" s="2"/>
      <c r="O114" s="76"/>
      <c r="P114" s="76"/>
    </row>
    <row r="115" spans="1:16" x14ac:dyDescent="0.2">
      <c r="A115" s="98">
        <f t="shared" si="38"/>
        <v>4</v>
      </c>
      <c r="B115" s="96">
        <v>1</v>
      </c>
      <c r="C115" s="96">
        <v>1.01</v>
      </c>
      <c r="D115" s="97">
        <v>0.98147387271836672</v>
      </c>
      <c r="E115" s="97">
        <v>1</v>
      </c>
      <c r="F115" s="96">
        <f t="shared" si="39"/>
        <v>1</v>
      </c>
      <c r="H115" t="s">
        <v>569</v>
      </c>
      <c r="N115" s="2"/>
      <c r="O115" s="76"/>
      <c r="P115" s="76"/>
    </row>
    <row r="116" spans="1:16" x14ac:dyDescent="0.2">
      <c r="A116" s="98">
        <f t="shared" si="38"/>
        <v>5</v>
      </c>
      <c r="B116" s="96">
        <v>1</v>
      </c>
      <c r="C116" s="96">
        <v>1.02</v>
      </c>
      <c r="D116" s="97">
        <v>1.005539820370819</v>
      </c>
      <c r="E116" s="97">
        <v>1</v>
      </c>
      <c r="F116" s="96">
        <f t="shared" si="39"/>
        <v>1</v>
      </c>
      <c r="H116" t="s">
        <v>570</v>
      </c>
      <c r="N116" s="2"/>
      <c r="O116" s="76"/>
      <c r="P116" s="76"/>
    </row>
    <row r="117" spans="1:16" x14ac:dyDescent="0.2">
      <c r="A117" s="98">
        <f t="shared" si="38"/>
        <v>6</v>
      </c>
      <c r="B117" s="96">
        <v>1</v>
      </c>
      <c r="C117" s="96">
        <v>1.02</v>
      </c>
      <c r="D117" s="97">
        <v>0.97407352177961348</v>
      </c>
      <c r="E117" s="97">
        <v>1</v>
      </c>
      <c r="F117" s="96">
        <f t="shared" si="39"/>
        <v>1</v>
      </c>
      <c r="N117" s="2"/>
      <c r="O117" s="76"/>
      <c r="P117" s="76"/>
    </row>
    <row r="118" spans="1:16" x14ac:dyDescent="0.2">
      <c r="A118" s="98">
        <f t="shared" si="38"/>
        <v>7</v>
      </c>
      <c r="B118" s="96">
        <v>1</v>
      </c>
      <c r="C118" s="96">
        <v>0.98</v>
      </c>
      <c r="D118" s="97">
        <v>1.0098212809989611</v>
      </c>
      <c r="E118" s="97">
        <v>1</v>
      </c>
      <c r="F118" s="96">
        <f t="shared" si="39"/>
        <v>1</v>
      </c>
      <c r="H118" s="1" t="s">
        <v>571</v>
      </c>
      <c r="I118" s="1"/>
      <c r="N118" s="2"/>
      <c r="O118" s="76"/>
      <c r="P118" s="76"/>
    </row>
    <row r="119" spans="1:16" x14ac:dyDescent="0.2">
      <c r="A119" s="98">
        <f t="shared" si="38"/>
        <v>8</v>
      </c>
      <c r="B119" s="96">
        <v>1</v>
      </c>
      <c r="C119" s="96">
        <v>1.02</v>
      </c>
      <c r="D119" s="97">
        <v>1.0148263466406608</v>
      </c>
      <c r="E119" s="97">
        <v>1</v>
      </c>
      <c r="F119" s="96">
        <f t="shared" si="39"/>
        <v>1</v>
      </c>
      <c r="H119" t="s">
        <v>572</v>
      </c>
      <c r="N119" s="2"/>
      <c r="O119" s="76"/>
      <c r="P119" s="76"/>
    </row>
    <row r="120" spans="1:16" x14ac:dyDescent="0.2">
      <c r="A120" s="98">
        <f t="shared" si="38"/>
        <v>9</v>
      </c>
      <c r="B120" s="96">
        <v>1</v>
      </c>
      <c r="C120" s="96">
        <v>0.99</v>
      </c>
      <c r="D120" s="97">
        <v>0.99029093971683724</v>
      </c>
      <c r="E120" s="97">
        <v>1</v>
      </c>
      <c r="F120" s="96">
        <f t="shared" si="39"/>
        <v>1</v>
      </c>
      <c r="N120" s="2"/>
      <c r="O120" s="76"/>
      <c r="P120" s="76"/>
    </row>
    <row r="121" spans="1:16" x14ac:dyDescent="0.2">
      <c r="A121" s="98">
        <f t="shared" si="38"/>
        <v>10</v>
      </c>
      <c r="B121" s="96">
        <v>1</v>
      </c>
      <c r="C121" s="96">
        <v>1.01</v>
      </c>
      <c r="D121" s="97">
        <v>1.0458139221025458</v>
      </c>
      <c r="E121" s="97">
        <v>1</v>
      </c>
      <c r="F121" s="96">
        <f t="shared" si="39"/>
        <v>1</v>
      </c>
      <c r="N121" s="2"/>
      <c r="O121" s="76"/>
      <c r="P121" s="76"/>
    </row>
    <row r="122" spans="1:16" x14ac:dyDescent="0.2">
      <c r="A122" s="98">
        <f t="shared" si="38"/>
        <v>11</v>
      </c>
      <c r="B122" s="96">
        <v>1</v>
      </c>
      <c r="C122" s="96">
        <v>0.98</v>
      </c>
      <c r="D122" s="97">
        <v>0.98719092074475234</v>
      </c>
      <c r="E122" s="97">
        <v>1</v>
      </c>
      <c r="F122" s="96">
        <f t="shared" si="39"/>
        <v>1</v>
      </c>
      <c r="N122" s="2"/>
      <c r="O122" s="76"/>
      <c r="P122" s="76"/>
    </row>
    <row r="123" spans="1:16" x14ac:dyDescent="0.2">
      <c r="A123" s="98">
        <f t="shared" si="38"/>
        <v>12</v>
      </c>
      <c r="B123" s="96">
        <v>1</v>
      </c>
      <c r="C123" s="96">
        <v>0.95</v>
      </c>
      <c r="D123" s="97">
        <v>0.98963189713690081</v>
      </c>
      <c r="E123" s="97">
        <v>1</v>
      </c>
      <c r="F123" s="96">
        <f t="shared" si="39"/>
        <v>1</v>
      </c>
      <c r="N123" s="2"/>
      <c r="O123" s="76"/>
      <c r="P123" s="76"/>
    </row>
    <row r="124" spans="1:16" x14ac:dyDescent="0.2">
      <c r="A124" s="13" t="s">
        <v>86</v>
      </c>
      <c r="B124" s="99">
        <f>SUM(B112:B123)</f>
        <v>12</v>
      </c>
      <c r="C124" s="99">
        <f>SUM(C112:C123)</f>
        <v>12</v>
      </c>
      <c r="D124" s="99">
        <f>SUM(D112:D123)</f>
        <v>12.000000000000002</v>
      </c>
      <c r="E124" s="99">
        <f>SUM(E112:E123)</f>
        <v>12</v>
      </c>
      <c r="F124" s="99">
        <f>SUM(F112:F123)</f>
        <v>12</v>
      </c>
      <c r="N124" s="2"/>
      <c r="O124" s="76"/>
      <c r="P124" s="76"/>
    </row>
    <row r="126" spans="1:16" x14ac:dyDescent="0.2">
      <c r="A126" t="s">
        <v>766</v>
      </c>
    </row>
    <row r="127" spans="1:16" x14ac:dyDescent="0.2">
      <c r="A127" t="s">
        <v>767</v>
      </c>
    </row>
  </sheetData>
  <phoneticPr fontId="0" type="noConversion"/>
  <conditionalFormatting sqref="V31:V42">
    <cfRule type="cellIs" dxfId="19" priority="5" operator="equal">
      <formula>"""$V$31:$V$42"</formula>
    </cfRule>
  </conditionalFormatting>
  <conditionalFormatting sqref="V31:V42">
    <cfRule type="cellIs" dxfId="18" priority="2" operator="equal">
      <formula>"Problem"</formula>
    </cfRule>
    <cfRule type="cellIs" dxfId="17" priority="3" operator="lessThan">
      <formula>0</formula>
    </cfRule>
    <cfRule type="cellIs" dxfId="16" priority="4" operator="lessThan">
      <formula>0</formula>
    </cfRule>
  </conditionalFormatting>
  <conditionalFormatting sqref="V32:V42">
    <cfRule type="cellIs" dxfId="15" priority="1" operator="equal">
      <formula>"Problem"</formula>
    </cfRule>
  </conditionalFormatting>
  <pageMargins left="0.75" right="0.75" top="0.75" bottom="0.75" header="0.5" footer="0.5"/>
  <pageSetup scale="95" firstPageNumber="3" orientation="landscape" useFirstPageNumber="1" horizontalDpi="300" verticalDpi="300" r:id="rId1"/>
  <headerFooter alignWithMargins="0">
    <oddFooter>&amp;L&amp;D  &amp;F:  &amp;A    Page &amp;P&amp;CLicensed to ARM by C F Larimer Consulting, LLC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PrintBox">
                <anchor moveWithCells="1" sizeWithCells="1">
                  <from>
                    <xdr:col>0</xdr:col>
                    <xdr:colOff>161925</xdr:colOff>
                    <xdr:row>0</xdr:row>
                    <xdr:rowOff>38100</xdr:rowOff>
                  </from>
                  <to>
                    <xdr:col>0</xdr:col>
                    <xdr:colOff>523875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PrintBox">
                <anchor moveWithCells="1" sizeWithCells="1">
                  <from>
                    <xdr:col>10</xdr:col>
                    <xdr:colOff>114300</xdr:colOff>
                    <xdr:row>46</xdr:row>
                    <xdr:rowOff>38100</xdr:rowOff>
                  </from>
                  <to>
                    <xdr:col>11</xdr:col>
                    <xdr:colOff>495300</xdr:colOff>
                    <xdr:row>48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PrintBox">
                <anchor moveWithCells="1" sizeWithCells="1">
                  <from>
                    <xdr:col>10</xdr:col>
                    <xdr:colOff>114300</xdr:colOff>
                    <xdr:row>75</xdr:row>
                    <xdr:rowOff>38100</xdr:rowOff>
                  </from>
                  <to>
                    <xdr:col>11</xdr:col>
                    <xdr:colOff>495300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PrintBox">
                <anchor moveWithCells="1" sizeWithCells="1">
                  <from>
                    <xdr:col>10</xdr:col>
                    <xdr:colOff>114300</xdr:colOff>
                    <xdr:row>107</xdr:row>
                    <xdr:rowOff>38100</xdr:rowOff>
                  </from>
                  <to>
                    <xdr:col>11</xdr:col>
                    <xdr:colOff>495300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8" name="Button 3">
              <controlPr defaultSize="0" print="0" autoFill="0" autoPict="0" macro="[0]!PrintBox">
                <anchor moveWithCells="1" sizeWithCells="1">
                  <from>
                    <xdr:col>7</xdr:col>
                    <xdr:colOff>361950</xdr:colOff>
                    <xdr:row>7</xdr:row>
                    <xdr:rowOff>0</xdr:rowOff>
                  </from>
                  <to>
                    <xdr:col>8</xdr:col>
                    <xdr:colOff>314325</xdr:colOff>
                    <xdr:row>10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2"/>
  </sheetPr>
  <dimension ref="A1:W102"/>
  <sheetViews>
    <sheetView workbookViewId="0">
      <selection activeCell="K40" sqref="K40"/>
    </sheetView>
  </sheetViews>
  <sheetFormatPr defaultRowHeight="11.25" x14ac:dyDescent="0.2"/>
  <cols>
    <col min="1" max="1" width="13.1640625" customWidth="1"/>
    <col min="5" max="6" width="12.33203125" customWidth="1"/>
    <col min="8" max="8" width="12.1640625" customWidth="1"/>
    <col min="9" max="9" width="11.5" customWidth="1"/>
    <col min="10" max="10" width="12" customWidth="1"/>
    <col min="11" max="11" width="12.1640625" customWidth="1"/>
    <col min="13" max="13" width="11.5" customWidth="1"/>
    <col min="14" max="14" width="12.6640625" customWidth="1"/>
    <col min="17" max="17" width="11.6640625" customWidth="1"/>
    <col min="23" max="23" width="14.33203125" customWidth="1"/>
  </cols>
  <sheetData>
    <row r="1" spans="1:23" ht="12.75" x14ac:dyDescent="0.2">
      <c r="A1" s="47" t="s">
        <v>192</v>
      </c>
      <c r="D1" s="34" t="str">
        <f>Data!$C$1</f>
        <v>Allied Pacific (APC Commerical)</v>
      </c>
      <c r="Q1" s="161" t="s">
        <v>465</v>
      </c>
      <c r="T1" t="s">
        <v>203</v>
      </c>
    </row>
    <row r="2" spans="1:23" x14ac:dyDescent="0.2">
      <c r="A2" s="249" t="s">
        <v>959</v>
      </c>
      <c r="D2" s="130" t="s">
        <v>358</v>
      </c>
      <c r="M2" s="9"/>
      <c r="N2" s="619"/>
      <c r="O2" s="620" t="s">
        <v>1068</v>
      </c>
      <c r="P2" s="619"/>
      <c r="Q2" s="621"/>
    </row>
    <row r="3" spans="1:23" x14ac:dyDescent="0.2">
      <c r="A3" s="47" t="s">
        <v>193</v>
      </c>
      <c r="B3" s="2" t="s">
        <v>189</v>
      </c>
      <c r="F3" s="37" t="s">
        <v>192</v>
      </c>
      <c r="H3" s="2" t="s">
        <v>215</v>
      </c>
      <c r="I3" s="2" t="s">
        <v>215</v>
      </c>
      <c r="J3" s="2" t="s">
        <v>204</v>
      </c>
      <c r="N3" s="2" t="s">
        <v>204</v>
      </c>
      <c r="O3" s="2" t="s">
        <v>82</v>
      </c>
      <c r="P3" s="37" t="s">
        <v>357</v>
      </c>
      <c r="Q3" s="2" t="s">
        <v>82</v>
      </c>
      <c r="U3" s="2" t="s">
        <v>204</v>
      </c>
      <c r="V3" s="2"/>
      <c r="W3" s="2" t="s">
        <v>82</v>
      </c>
    </row>
    <row r="4" spans="1:23" x14ac:dyDescent="0.2">
      <c r="A4" s="2">
        <f>Final!$AO$19</f>
        <v>0</v>
      </c>
      <c r="B4" s="29" t="s">
        <v>141</v>
      </c>
      <c r="D4" s="29" t="s">
        <v>41</v>
      </c>
      <c r="F4" s="29" t="s">
        <v>323</v>
      </c>
      <c r="H4" s="29" t="s">
        <v>80</v>
      </c>
      <c r="I4" s="29" t="s">
        <v>216</v>
      </c>
      <c r="J4" s="29" t="s">
        <v>82</v>
      </c>
      <c r="M4" s="29" t="s">
        <v>41</v>
      </c>
      <c r="N4" s="29" t="s">
        <v>82</v>
      </c>
      <c r="O4" s="29" t="s">
        <v>217</v>
      </c>
      <c r="P4" s="29" t="s">
        <v>82</v>
      </c>
      <c r="Q4" s="29" t="s">
        <v>218</v>
      </c>
      <c r="T4" s="29" t="s">
        <v>41</v>
      </c>
      <c r="U4" s="8" t="s">
        <v>82</v>
      </c>
      <c r="V4" s="8" t="s">
        <v>205</v>
      </c>
      <c r="W4" s="8" t="s">
        <v>206</v>
      </c>
    </row>
    <row r="5" spans="1:23" x14ac:dyDescent="0.2">
      <c r="A5" s="43">
        <f>Data!$BO8</f>
        <v>5368552.6631621839</v>
      </c>
      <c r="B5" s="74">
        <f>Data!$BN8</f>
        <v>0.21553914296864224</v>
      </c>
      <c r="D5" s="52">
        <f>Data!$AV8</f>
        <v>45352</v>
      </c>
      <c r="E5" s="30"/>
      <c r="F5" s="53"/>
      <c r="G5" s="30"/>
      <c r="H5" s="35"/>
      <c r="I5" s="35"/>
      <c r="J5" s="53"/>
      <c r="M5" s="2"/>
      <c r="T5" s="52">
        <f>Data!$AV8</f>
        <v>45352</v>
      </c>
      <c r="U5" s="43">
        <f>J5</f>
        <v>0</v>
      </c>
      <c r="V5">
        <f>IF(U5=0,0,1)</f>
        <v>0</v>
      </c>
      <c r="W5" s="43">
        <f>U5^2</f>
        <v>0</v>
      </c>
    </row>
    <row r="6" spans="1:23" x14ac:dyDescent="0.2">
      <c r="A6" s="43">
        <f>Data!$BO9</f>
        <v>5349604.5010541072</v>
      </c>
      <c r="B6" s="74">
        <f>Data!$BN9</f>
        <v>0.7322408374727789</v>
      </c>
      <c r="D6" s="52">
        <f>Data!$AV9</f>
        <v>45323</v>
      </c>
      <c r="E6" s="30"/>
      <c r="F6" s="53"/>
      <c r="G6" s="30"/>
      <c r="H6" s="35"/>
      <c r="I6" s="35"/>
      <c r="J6" s="53"/>
      <c r="M6" s="2"/>
      <c r="T6" s="52">
        <f>Data!$AV9</f>
        <v>45323</v>
      </c>
      <c r="U6" s="43">
        <f t="shared" ref="U6:U22" si="0">J6</f>
        <v>0</v>
      </c>
      <c r="V6">
        <f t="shared" ref="V6:V22" si="1">IF(U6=0,0,1)</f>
        <v>0</v>
      </c>
      <c r="W6" s="43">
        <f t="shared" ref="W6:W22" si="2">U6^2</f>
        <v>0</v>
      </c>
    </row>
    <row r="7" spans="1:23" x14ac:dyDescent="0.2">
      <c r="A7" s="43">
        <f>Data!$BO10</f>
        <v>5919443.5991159491</v>
      </c>
      <c r="B7" s="74">
        <f>Data!$BN10</f>
        <v>0.87409588137181282</v>
      </c>
      <c r="D7" s="52">
        <f>Data!$AV10</f>
        <v>45292</v>
      </c>
      <c r="E7" s="30"/>
      <c r="F7" s="53"/>
      <c r="G7" s="30"/>
      <c r="H7" s="35"/>
      <c r="I7" s="35"/>
      <c r="J7" s="53"/>
      <c r="M7" s="2"/>
      <c r="T7" s="52">
        <f>Data!$AV10</f>
        <v>45292</v>
      </c>
      <c r="U7" s="43">
        <f t="shared" si="0"/>
        <v>0</v>
      </c>
      <c r="V7">
        <f t="shared" si="1"/>
        <v>0</v>
      </c>
      <c r="W7" s="43">
        <f t="shared" si="2"/>
        <v>0</v>
      </c>
    </row>
    <row r="8" spans="1:23" x14ac:dyDescent="0.2">
      <c r="A8" s="43">
        <f>Data!$BO11</f>
        <v>5703063.7767345319</v>
      </c>
      <c r="B8" s="74">
        <f>Data!$BN11</f>
        <v>0.92837614609871677</v>
      </c>
      <c r="D8" s="52">
        <f>Data!$AV11</f>
        <v>45261</v>
      </c>
      <c r="E8" s="30"/>
      <c r="F8" s="53"/>
      <c r="G8" s="30"/>
      <c r="H8" s="35"/>
      <c r="I8" s="35"/>
      <c r="J8" s="53"/>
      <c r="M8" s="52"/>
      <c r="N8" s="53"/>
      <c r="O8" s="75"/>
      <c r="P8" s="53"/>
      <c r="Q8" s="105"/>
      <c r="T8" s="52">
        <f>Data!$AV11</f>
        <v>45261</v>
      </c>
      <c r="U8" s="43">
        <f t="shared" si="0"/>
        <v>0</v>
      </c>
      <c r="V8">
        <f t="shared" si="1"/>
        <v>0</v>
      </c>
      <c r="W8" s="43">
        <f t="shared" si="2"/>
        <v>0</v>
      </c>
    </row>
    <row r="9" spans="1:23" x14ac:dyDescent="0.2">
      <c r="A9" s="43">
        <f>Data!$BO12</f>
        <v>6005201.8194632865</v>
      </c>
      <c r="B9" s="74">
        <f>Data!$BN12</f>
        <v>0.94777800665301637</v>
      </c>
      <c r="D9" s="52">
        <f>Data!$AV12</f>
        <v>45231</v>
      </c>
      <c r="E9" s="30"/>
      <c r="F9" s="53">
        <f t="shared" ref="F9:F22" si="3">A9</f>
        <v>6005201.8194632865</v>
      </c>
      <c r="G9" s="30"/>
      <c r="H9" s="35">
        <f>Data!$AP12</f>
        <v>0</v>
      </c>
      <c r="I9" s="35">
        <f>H9/Data!AO12*12000</f>
        <v>0</v>
      </c>
      <c r="J9" s="53">
        <f t="shared" ref="J9:J22" si="4">IF(ISERR(1/H9),0,+F9/H9)</f>
        <v>0</v>
      </c>
      <c r="M9" s="52">
        <f>+D9</f>
        <v>45231</v>
      </c>
      <c r="N9" s="53">
        <f t="shared" ref="N9:N19" si="5">J9</f>
        <v>0</v>
      </c>
      <c r="O9" s="75">
        <f t="shared" ref="O9:O19" si="6">VLOOKUP(M9,$A$88:$C$94,3)</f>
        <v>1</v>
      </c>
      <c r="P9" s="53">
        <f t="shared" ref="P9:P19" si="7">N9*O9</f>
        <v>0</v>
      </c>
      <c r="Q9" s="105">
        <f t="shared" ref="Q9:Q19" si="8">P9</f>
        <v>0</v>
      </c>
      <c r="T9" s="52">
        <f>Data!$AV12</f>
        <v>45231</v>
      </c>
      <c r="U9" s="43">
        <f t="shared" si="0"/>
        <v>0</v>
      </c>
      <c r="V9">
        <f t="shared" si="1"/>
        <v>0</v>
      </c>
      <c r="W9" s="43">
        <f t="shared" si="2"/>
        <v>0</v>
      </c>
    </row>
    <row r="10" spans="1:23" x14ac:dyDescent="0.2">
      <c r="A10" s="43">
        <f>Data!$BO13</f>
        <v>6394677.8210517066</v>
      </c>
      <c r="B10" s="74">
        <f>Data!$BN13</f>
        <v>0.95685483322655829</v>
      </c>
      <c r="D10" s="52">
        <f>Data!$AV13</f>
        <v>45200</v>
      </c>
      <c r="E10" s="30"/>
      <c r="F10" s="53">
        <f t="shared" si="3"/>
        <v>6394677.8210517066</v>
      </c>
      <c r="G10" s="30"/>
      <c r="H10" s="35">
        <f>Data!$AP13</f>
        <v>0</v>
      </c>
      <c r="I10" s="35">
        <f>H10/Data!AO13*12000</f>
        <v>0</v>
      </c>
      <c r="J10" s="53">
        <f>IF(ISERR(1/H10),0,+F10/H10)</f>
        <v>0</v>
      </c>
      <c r="M10" s="52">
        <f t="shared" ref="M10:M19" si="9">+D10</f>
        <v>45200</v>
      </c>
      <c r="N10" s="53">
        <f t="shared" si="5"/>
        <v>0</v>
      </c>
      <c r="O10" s="75">
        <f t="shared" si="6"/>
        <v>1</v>
      </c>
      <c r="P10" s="53">
        <f t="shared" si="7"/>
        <v>0</v>
      </c>
      <c r="Q10" s="105">
        <f t="shared" si="8"/>
        <v>0</v>
      </c>
      <c r="T10" s="52">
        <f>Data!$AV13</f>
        <v>45200</v>
      </c>
      <c r="U10" s="43">
        <f t="shared" si="0"/>
        <v>0</v>
      </c>
      <c r="V10">
        <f t="shared" si="1"/>
        <v>0</v>
      </c>
      <c r="W10" s="43">
        <f t="shared" si="2"/>
        <v>0</v>
      </c>
    </row>
    <row r="11" spans="1:23" x14ac:dyDescent="0.2">
      <c r="A11" s="43">
        <f>Data!$BO14</f>
        <v>5476270.6222521747</v>
      </c>
      <c r="B11" s="74">
        <f>Data!$BN14</f>
        <v>0.96398179238062165</v>
      </c>
      <c r="D11" s="52">
        <f>Data!$AV14</f>
        <v>45170</v>
      </c>
      <c r="E11" s="30"/>
      <c r="F11" s="53">
        <f t="shared" si="3"/>
        <v>5476270.6222521747</v>
      </c>
      <c r="G11" s="30"/>
      <c r="H11" s="35">
        <f>Data!$AP14</f>
        <v>0</v>
      </c>
      <c r="I11" s="35">
        <f>H11/Data!AO14*12000</f>
        <v>0</v>
      </c>
      <c r="J11" s="53">
        <f t="shared" si="4"/>
        <v>0</v>
      </c>
      <c r="M11" s="52">
        <f t="shared" si="9"/>
        <v>45170</v>
      </c>
      <c r="N11" s="53">
        <f t="shared" si="5"/>
        <v>0</v>
      </c>
      <c r="O11" s="75">
        <f t="shared" si="6"/>
        <v>1</v>
      </c>
      <c r="P11" s="53">
        <f t="shared" si="7"/>
        <v>0</v>
      </c>
      <c r="Q11" s="105">
        <f t="shared" si="8"/>
        <v>0</v>
      </c>
      <c r="T11" s="52">
        <f>Data!$AV14</f>
        <v>45170</v>
      </c>
      <c r="U11" s="43">
        <f t="shared" si="0"/>
        <v>0</v>
      </c>
      <c r="V11">
        <f t="shared" si="1"/>
        <v>0</v>
      </c>
      <c r="W11" s="43">
        <f t="shared" si="2"/>
        <v>0</v>
      </c>
    </row>
    <row r="12" spans="1:23" x14ac:dyDescent="0.2">
      <c r="A12" s="43">
        <f>Data!$BO15</f>
        <v>6008617.6966927741</v>
      </c>
      <c r="B12" s="74">
        <f>Data!$BN15</f>
        <v>0.97132728101712662</v>
      </c>
      <c r="D12" s="52">
        <f>Data!$AV15</f>
        <v>45139</v>
      </c>
      <c r="E12" s="30"/>
      <c r="F12" s="53">
        <f t="shared" si="3"/>
        <v>6008617.6966927741</v>
      </c>
      <c r="G12" s="30"/>
      <c r="H12" s="35">
        <f>Data!$AP15</f>
        <v>0</v>
      </c>
      <c r="I12" s="35">
        <f>H12/Data!AO15*12000</f>
        <v>0</v>
      </c>
      <c r="J12" s="53">
        <f t="shared" si="4"/>
        <v>0</v>
      </c>
      <c r="M12" s="52">
        <f t="shared" si="9"/>
        <v>45139</v>
      </c>
      <c r="N12" s="53">
        <f t="shared" si="5"/>
        <v>0</v>
      </c>
      <c r="O12" s="75">
        <f t="shared" si="6"/>
        <v>1</v>
      </c>
      <c r="P12" s="53">
        <f t="shared" si="7"/>
        <v>0</v>
      </c>
      <c r="Q12" s="105">
        <f t="shared" si="8"/>
        <v>0</v>
      </c>
      <c r="T12" s="52">
        <f>Data!$AV15</f>
        <v>45139</v>
      </c>
      <c r="U12" s="43">
        <f t="shared" si="0"/>
        <v>0</v>
      </c>
      <c r="V12">
        <f t="shared" si="1"/>
        <v>0</v>
      </c>
      <c r="W12" s="43">
        <f t="shared" si="2"/>
        <v>0</v>
      </c>
    </row>
    <row r="13" spans="1:23" x14ac:dyDescent="0.2">
      <c r="A13" s="43">
        <f>Data!$BO16</f>
        <v>5220777.3146197619</v>
      </c>
      <c r="B13" s="74">
        <f>Data!$BN16</f>
        <v>0.97521571083726688</v>
      </c>
      <c r="D13" s="52">
        <f>Data!$AV16</f>
        <v>45108</v>
      </c>
      <c r="E13" s="30"/>
      <c r="F13" s="53">
        <f t="shared" si="3"/>
        <v>5220777.3146197619</v>
      </c>
      <c r="G13" s="30"/>
      <c r="H13" s="35">
        <f>Data!$AP16</f>
        <v>0</v>
      </c>
      <c r="I13" s="35">
        <f>H13/Data!AO16*12000</f>
        <v>0</v>
      </c>
      <c r="J13" s="53">
        <f t="shared" si="4"/>
        <v>0</v>
      </c>
      <c r="M13" s="52">
        <f t="shared" si="9"/>
        <v>45108</v>
      </c>
      <c r="N13" s="53">
        <f t="shared" si="5"/>
        <v>0</v>
      </c>
      <c r="O13" s="75">
        <f t="shared" si="6"/>
        <v>1</v>
      </c>
      <c r="P13" s="53">
        <f t="shared" si="7"/>
        <v>0</v>
      </c>
      <c r="Q13" s="105">
        <f t="shared" si="8"/>
        <v>0</v>
      </c>
      <c r="T13" s="52">
        <f>Data!$AV16</f>
        <v>45108</v>
      </c>
      <c r="U13" s="43">
        <f t="shared" si="0"/>
        <v>0</v>
      </c>
      <c r="V13">
        <f t="shared" si="1"/>
        <v>0</v>
      </c>
      <c r="W13" s="43">
        <f t="shared" si="2"/>
        <v>0</v>
      </c>
    </row>
    <row r="14" spans="1:23" x14ac:dyDescent="0.2">
      <c r="A14" s="43">
        <f>Data!$BO17</f>
        <v>5547486.2566172462</v>
      </c>
      <c r="B14" s="74">
        <f>Data!$BN17</f>
        <v>0.97861987373546322</v>
      </c>
      <c r="D14" s="52">
        <f>Data!$AV17</f>
        <v>45078</v>
      </c>
      <c r="E14" s="30"/>
      <c r="F14" s="53">
        <f t="shared" si="3"/>
        <v>5547486.2566172462</v>
      </c>
      <c r="G14" s="30"/>
      <c r="H14" s="35">
        <f>Data!$AP17</f>
        <v>0</v>
      </c>
      <c r="I14" s="35">
        <f>H14/Data!AO17*12000</f>
        <v>0</v>
      </c>
      <c r="J14" s="53">
        <f t="shared" si="4"/>
        <v>0</v>
      </c>
      <c r="M14" s="52">
        <f t="shared" si="9"/>
        <v>45078</v>
      </c>
      <c r="N14" s="53">
        <f t="shared" si="5"/>
        <v>0</v>
      </c>
      <c r="O14" s="75">
        <f t="shared" si="6"/>
        <v>1</v>
      </c>
      <c r="P14" s="53">
        <f t="shared" si="7"/>
        <v>0</v>
      </c>
      <c r="Q14" s="105">
        <f t="shared" si="8"/>
        <v>0</v>
      </c>
      <c r="T14" s="52">
        <f>Data!$AV17</f>
        <v>45078</v>
      </c>
      <c r="U14" s="43">
        <f t="shared" si="0"/>
        <v>0</v>
      </c>
      <c r="V14">
        <f t="shared" si="1"/>
        <v>0</v>
      </c>
      <c r="W14" s="43">
        <f t="shared" si="2"/>
        <v>0</v>
      </c>
    </row>
    <row r="15" spans="1:23" x14ac:dyDescent="0.2">
      <c r="A15" s="43">
        <f>Data!$BO18</f>
        <v>5412483.0907180533</v>
      </c>
      <c r="B15" s="74">
        <f>Data!$BN18</f>
        <v>0.98217546750704832</v>
      </c>
      <c r="D15" s="52">
        <f>Data!$AV18</f>
        <v>45047</v>
      </c>
      <c r="E15" s="30"/>
      <c r="F15" s="53">
        <f t="shared" si="3"/>
        <v>5412483.0907180533</v>
      </c>
      <c r="G15" s="30"/>
      <c r="H15" s="35">
        <f>Data!$AP18</f>
        <v>0</v>
      </c>
      <c r="I15" s="35">
        <f>H15/Data!AO18*12000</f>
        <v>0</v>
      </c>
      <c r="J15" s="53">
        <f t="shared" si="4"/>
        <v>0</v>
      </c>
      <c r="M15" s="52">
        <f t="shared" si="9"/>
        <v>45047</v>
      </c>
      <c r="N15" s="53">
        <f t="shared" si="5"/>
        <v>0</v>
      </c>
      <c r="O15" s="75">
        <f t="shared" si="6"/>
        <v>1</v>
      </c>
      <c r="P15" s="53">
        <f t="shared" si="7"/>
        <v>0</v>
      </c>
      <c r="Q15" s="105">
        <f t="shared" si="8"/>
        <v>0</v>
      </c>
      <c r="T15" s="52">
        <f>Data!$AV18</f>
        <v>45047</v>
      </c>
      <c r="U15" s="43">
        <f t="shared" si="0"/>
        <v>0</v>
      </c>
      <c r="V15">
        <f t="shared" si="1"/>
        <v>0</v>
      </c>
      <c r="W15" s="43">
        <f t="shared" si="2"/>
        <v>0</v>
      </c>
    </row>
    <row r="16" spans="1:23" x14ac:dyDescent="0.2">
      <c r="A16" s="43">
        <f>Data!$BO19</f>
        <v>4838676.1872201031</v>
      </c>
      <c r="B16" s="74">
        <f>Data!$BN19</f>
        <v>0.98447441318381057</v>
      </c>
      <c r="D16" s="52">
        <f>Data!$AV19</f>
        <v>45017</v>
      </c>
      <c r="E16" s="30"/>
      <c r="F16" s="53">
        <f t="shared" si="3"/>
        <v>4838676.1872201031</v>
      </c>
      <c r="G16" s="30"/>
      <c r="H16" s="35">
        <f>Data!$AP19</f>
        <v>0</v>
      </c>
      <c r="I16" s="35">
        <f>H16/Data!AO19*12000</f>
        <v>0</v>
      </c>
      <c r="J16" s="53">
        <f t="shared" si="4"/>
        <v>0</v>
      </c>
      <c r="M16" s="52">
        <f t="shared" si="9"/>
        <v>45017</v>
      </c>
      <c r="N16" s="53">
        <f t="shared" si="5"/>
        <v>0</v>
      </c>
      <c r="O16" s="75">
        <f t="shared" si="6"/>
        <v>1</v>
      </c>
      <c r="P16" s="53">
        <f t="shared" si="7"/>
        <v>0</v>
      </c>
      <c r="Q16" s="105">
        <f t="shared" si="8"/>
        <v>0</v>
      </c>
      <c r="T16" s="52">
        <f>Data!$AV19</f>
        <v>45017</v>
      </c>
      <c r="U16" s="43">
        <f t="shared" si="0"/>
        <v>0</v>
      </c>
      <c r="V16">
        <f t="shared" si="1"/>
        <v>0</v>
      </c>
      <c r="W16" s="43">
        <f t="shared" si="2"/>
        <v>0</v>
      </c>
    </row>
    <row r="17" spans="1:23" x14ac:dyDescent="0.2">
      <c r="A17" s="43">
        <f>Data!$BO20</f>
        <v>5834981.5740672164</v>
      </c>
      <c r="B17" s="74">
        <f>Data!$BN20</f>
        <v>0.98743498618863002</v>
      </c>
      <c r="D17" s="52">
        <f>Data!$AV20</f>
        <v>44986</v>
      </c>
      <c r="E17" s="30"/>
      <c r="F17" s="53">
        <f t="shared" si="3"/>
        <v>5834981.5740672164</v>
      </c>
      <c r="G17" s="30"/>
      <c r="H17" s="35">
        <f>Data!$AP20</f>
        <v>0</v>
      </c>
      <c r="I17" s="35">
        <f>H17/Data!AO20*12000</f>
        <v>0</v>
      </c>
      <c r="J17" s="53">
        <f t="shared" si="4"/>
        <v>0</v>
      </c>
      <c r="M17" s="52">
        <f t="shared" si="9"/>
        <v>44986</v>
      </c>
      <c r="N17" s="53">
        <f t="shared" si="5"/>
        <v>0</v>
      </c>
      <c r="O17" s="75">
        <f t="shared" si="6"/>
        <v>1</v>
      </c>
      <c r="P17" s="53">
        <f t="shared" si="7"/>
        <v>0</v>
      </c>
      <c r="Q17" s="105">
        <f t="shared" si="8"/>
        <v>0</v>
      </c>
      <c r="T17" s="52">
        <f>Data!$AV20</f>
        <v>44986</v>
      </c>
      <c r="U17" s="43">
        <f t="shared" si="0"/>
        <v>0</v>
      </c>
      <c r="V17">
        <f t="shared" si="1"/>
        <v>0</v>
      </c>
      <c r="W17" s="43">
        <f t="shared" si="2"/>
        <v>0</v>
      </c>
    </row>
    <row r="18" spans="1:23" x14ac:dyDescent="0.2">
      <c r="A18" s="43">
        <f>Data!$BO21</f>
        <v>4821841.9485111265</v>
      </c>
      <c r="B18" s="74">
        <f>Data!$BN21</f>
        <v>0.98959360778579009</v>
      </c>
      <c r="D18" s="52">
        <f>Data!$AV21</f>
        <v>44958</v>
      </c>
      <c r="E18" s="30"/>
      <c r="F18" s="53">
        <f t="shared" si="3"/>
        <v>4821841.9485111265</v>
      </c>
      <c r="G18" s="30"/>
      <c r="H18" s="35">
        <f>Data!$AP21</f>
        <v>0</v>
      </c>
      <c r="I18" s="35">
        <f>H18/Data!AO21*12000</f>
        <v>0</v>
      </c>
      <c r="J18" s="53">
        <f t="shared" si="4"/>
        <v>0</v>
      </c>
      <c r="M18" s="52">
        <f t="shared" si="9"/>
        <v>44958</v>
      </c>
      <c r="N18" s="53">
        <f t="shared" si="5"/>
        <v>0</v>
      </c>
      <c r="O18" s="75">
        <f t="shared" si="6"/>
        <v>1</v>
      </c>
      <c r="P18" s="53">
        <f t="shared" si="7"/>
        <v>0</v>
      </c>
      <c r="Q18" s="105">
        <f t="shared" si="8"/>
        <v>0</v>
      </c>
      <c r="T18" s="52">
        <f>Data!$AV21</f>
        <v>44958</v>
      </c>
      <c r="U18" s="43">
        <f t="shared" si="0"/>
        <v>0</v>
      </c>
      <c r="V18">
        <f t="shared" si="1"/>
        <v>0</v>
      </c>
      <c r="W18" s="43">
        <f t="shared" si="2"/>
        <v>0</v>
      </c>
    </row>
    <row r="19" spans="1:23" x14ac:dyDescent="0.2">
      <c r="A19" s="43">
        <f>Data!$BO22</f>
        <v>4620382.2943228586</v>
      </c>
      <c r="B19" s="74">
        <f>Data!$BN22</f>
        <v>0.99092526296484351</v>
      </c>
      <c r="D19" s="52">
        <f>Data!$AV22</f>
        <v>44927</v>
      </c>
      <c r="E19" s="30"/>
      <c r="F19" s="53">
        <f t="shared" si="3"/>
        <v>4620382.2943228586</v>
      </c>
      <c r="G19" s="30"/>
      <c r="H19" s="35">
        <f>Data!$AP22</f>
        <v>0</v>
      </c>
      <c r="I19" s="35">
        <f>H19/Data!AO22*12000</f>
        <v>0</v>
      </c>
      <c r="J19" s="53">
        <f t="shared" si="4"/>
        <v>0</v>
      </c>
      <c r="M19" s="52">
        <f t="shared" si="9"/>
        <v>44927</v>
      </c>
      <c r="N19" s="53">
        <f t="shared" si="5"/>
        <v>0</v>
      </c>
      <c r="O19" s="75">
        <f t="shared" si="6"/>
        <v>1</v>
      </c>
      <c r="P19" s="53">
        <f t="shared" si="7"/>
        <v>0</v>
      </c>
      <c r="Q19" s="105">
        <f t="shared" si="8"/>
        <v>0</v>
      </c>
      <c r="T19" s="52">
        <f>Data!$AV22</f>
        <v>44927</v>
      </c>
      <c r="U19" s="43">
        <f t="shared" si="0"/>
        <v>0</v>
      </c>
      <c r="V19">
        <f t="shared" si="1"/>
        <v>0</v>
      </c>
      <c r="W19" s="43">
        <f t="shared" si="2"/>
        <v>0</v>
      </c>
    </row>
    <row r="20" spans="1:23" x14ac:dyDescent="0.2">
      <c r="A20" s="43">
        <f>Data!$BO23</f>
        <v>5120495.1487528142</v>
      </c>
      <c r="B20" s="74">
        <f>Data!$BN23</f>
        <v>0.99246409817179737</v>
      </c>
      <c r="D20" s="52">
        <f>Data!$AV23</f>
        <v>44896</v>
      </c>
      <c r="E20" s="30"/>
      <c r="F20" s="53">
        <f t="shared" si="3"/>
        <v>5120495.1487528142</v>
      </c>
      <c r="G20" s="30"/>
      <c r="H20" s="35">
        <f>Data!$AP23</f>
        <v>0</v>
      </c>
      <c r="I20" s="35">
        <f>H20/Data!AO23*12000</f>
        <v>0</v>
      </c>
      <c r="J20" s="53">
        <f t="shared" si="4"/>
        <v>0</v>
      </c>
      <c r="M20" s="52"/>
      <c r="N20" s="53"/>
      <c r="O20" s="75"/>
      <c r="P20" s="53"/>
      <c r="Q20" s="105"/>
      <c r="T20" s="52">
        <f>Data!$AV23</f>
        <v>44896</v>
      </c>
      <c r="U20" s="43">
        <f t="shared" si="0"/>
        <v>0</v>
      </c>
      <c r="V20">
        <f t="shared" si="1"/>
        <v>0</v>
      </c>
      <c r="W20" s="43">
        <f t="shared" si="2"/>
        <v>0</v>
      </c>
    </row>
    <row r="21" spans="1:23" ht="12.75" x14ac:dyDescent="0.2">
      <c r="A21" s="43">
        <f>Data!$BO24</f>
        <v>5047051.0525426669</v>
      </c>
      <c r="B21" s="74">
        <f>Data!$BN24</f>
        <v>0.99302190087320263</v>
      </c>
      <c r="D21" s="52">
        <f>Data!$AV24</f>
        <v>44866</v>
      </c>
      <c r="E21" s="30"/>
      <c r="F21" s="53">
        <f t="shared" si="3"/>
        <v>5047051.0525426669</v>
      </c>
      <c r="G21" s="30"/>
      <c r="H21" s="35">
        <f>Data!$AP24</f>
        <v>0</v>
      </c>
      <c r="I21" s="35">
        <f>H21/Data!AO24*12000</f>
        <v>0</v>
      </c>
      <c r="J21" s="53">
        <f t="shared" si="4"/>
        <v>0</v>
      </c>
      <c r="K21" s="109" t="s">
        <v>202</v>
      </c>
      <c r="L21" s="110"/>
      <c r="M21" s="42"/>
      <c r="N21" s="43"/>
      <c r="O21" s="76"/>
      <c r="P21" s="43"/>
      <c r="Q21" s="57"/>
      <c r="T21" s="52">
        <f>Data!$AV24</f>
        <v>44866</v>
      </c>
      <c r="U21" s="43">
        <f t="shared" si="0"/>
        <v>0</v>
      </c>
      <c r="V21">
        <f t="shared" si="1"/>
        <v>0</v>
      </c>
      <c r="W21" s="43">
        <f t="shared" si="2"/>
        <v>0</v>
      </c>
    </row>
    <row r="22" spans="1:23" ht="12.75" x14ac:dyDescent="0.2">
      <c r="A22" s="43">
        <f>Data!$BO25</f>
        <v>5346516.4463065388</v>
      </c>
      <c r="B22" s="74">
        <f>Data!$BN25</f>
        <v>0.99398298188557066</v>
      </c>
      <c r="D22" s="52">
        <f>Data!$AV25</f>
        <v>44835</v>
      </c>
      <c r="E22" s="30"/>
      <c r="F22" s="53">
        <f t="shared" si="3"/>
        <v>5346516.4463065388</v>
      </c>
      <c r="G22" s="30"/>
      <c r="H22" s="35">
        <f>Data!$AP25</f>
        <v>0</v>
      </c>
      <c r="I22" s="35">
        <f>H22/Data!AO25*12000</f>
        <v>0</v>
      </c>
      <c r="J22" s="53">
        <f t="shared" si="4"/>
        <v>0</v>
      </c>
      <c r="K22" s="111" t="s">
        <v>201</v>
      </c>
      <c r="L22" s="112" t="e">
        <f>W32</f>
        <v>#DIV/0!</v>
      </c>
      <c r="M22" s="42"/>
      <c r="N22" s="43"/>
      <c r="O22" s="76"/>
      <c r="P22" s="43"/>
      <c r="Q22" s="57"/>
      <c r="T22" s="52">
        <f>Data!$AV25</f>
        <v>44835</v>
      </c>
      <c r="U22" s="43">
        <f t="shared" si="0"/>
        <v>0</v>
      </c>
      <c r="V22">
        <f t="shared" si="1"/>
        <v>0</v>
      </c>
      <c r="W22" s="43">
        <f t="shared" si="2"/>
        <v>0</v>
      </c>
    </row>
    <row r="23" spans="1:23" x14ac:dyDescent="0.2">
      <c r="A23" s="43">
        <f>Data!$BO26</f>
        <v>5274149.7107594796</v>
      </c>
      <c r="B23" s="74">
        <f>Data!$BN26</f>
        <v>0.99485353616260019</v>
      </c>
      <c r="D23" s="28"/>
      <c r="H23" s="106" t="s">
        <v>176</v>
      </c>
      <c r="I23" s="51">
        <f>AVERAGE(I5:I22)</f>
        <v>0</v>
      </c>
      <c r="M23" s="58" t="s">
        <v>194</v>
      </c>
      <c r="N23" s="53">
        <f>ROUND(AVERAGE(N5:N22),2)</f>
        <v>0</v>
      </c>
      <c r="O23" s="30"/>
      <c r="P23" s="30"/>
      <c r="Q23" s="53">
        <f>ROUND(AVERAGE(Q5:Q22),2)</f>
        <v>0</v>
      </c>
      <c r="T23" t="s">
        <v>86</v>
      </c>
      <c r="U23" s="43">
        <f>SUM(U5:U22)</f>
        <v>0</v>
      </c>
      <c r="V23">
        <f>SUM(V5:V22)</f>
        <v>0</v>
      </c>
      <c r="W23" s="43">
        <f>SUM(W5:W22)</f>
        <v>0</v>
      </c>
    </row>
    <row r="24" spans="1:23" x14ac:dyDescent="0.2">
      <c r="D24" s="28"/>
      <c r="T24" t="s">
        <v>210</v>
      </c>
      <c r="U24" s="43" t="e">
        <f>+U23/V23</f>
        <v>#DIV/0!</v>
      </c>
      <c r="V24" s="1" t="s">
        <v>209</v>
      </c>
      <c r="W24" s="43" t="e">
        <f>+W23/V23</f>
        <v>#DIV/0!</v>
      </c>
    </row>
    <row r="25" spans="1:23" x14ac:dyDescent="0.2">
      <c r="D25" s="2"/>
      <c r="E25" s="2" t="s">
        <v>215</v>
      </c>
      <c r="F25" s="2" t="s">
        <v>164</v>
      </c>
      <c r="G25" s="2" t="s">
        <v>328</v>
      </c>
      <c r="H25" s="2" t="s">
        <v>183</v>
      </c>
      <c r="I25" s="2" t="s">
        <v>82</v>
      </c>
      <c r="J25" s="2" t="s">
        <v>157</v>
      </c>
      <c r="K25" s="2" t="s">
        <v>184</v>
      </c>
      <c r="P25" s="7" t="s">
        <v>214</v>
      </c>
      <c r="Q25" s="113">
        <f>AVERAGE(MIN(M6:M20),MAX(M6:M20))+15</f>
        <v>45094</v>
      </c>
      <c r="T25" s="1" t="s">
        <v>207</v>
      </c>
    </row>
    <row r="26" spans="1:23" x14ac:dyDescent="0.2">
      <c r="D26" s="29" t="s">
        <v>41</v>
      </c>
      <c r="E26" s="29" t="s">
        <v>80</v>
      </c>
      <c r="F26" s="29" t="s">
        <v>354</v>
      </c>
      <c r="G26" s="29" t="s">
        <v>80</v>
      </c>
      <c r="H26" s="29" t="s">
        <v>82</v>
      </c>
      <c r="I26" s="29" t="s">
        <v>164</v>
      </c>
      <c r="J26" s="29" t="s">
        <v>82</v>
      </c>
      <c r="K26" s="29" t="s">
        <v>85</v>
      </c>
      <c r="P26" s="7" t="s">
        <v>179</v>
      </c>
      <c r="Q26" s="192">
        <v>0.02</v>
      </c>
    </row>
    <row r="27" spans="1:23" x14ac:dyDescent="0.2">
      <c r="D27" s="52">
        <f>D5</f>
        <v>45352</v>
      </c>
      <c r="E27" s="35">
        <f>H5</f>
        <v>0</v>
      </c>
      <c r="F27" s="107">
        <v>1</v>
      </c>
      <c r="G27" s="35">
        <f t="shared" ref="G27:G36" si="10">ROUND(E27/F27,0)</f>
        <v>0</v>
      </c>
      <c r="H27" s="53">
        <f t="shared" ref="H27:H36" si="11">ROUND($Q$23*((1+$Q$26)^((D27+15-Q$25)/365)),2)</f>
        <v>0</v>
      </c>
      <c r="I27" s="75">
        <f t="shared" ref="I27:I36" si="12">1/VLOOKUP(D27,$A$89:$C$95,3)</f>
        <v>1</v>
      </c>
      <c r="J27" s="53">
        <f t="shared" ref="J27:J36" si="13">H27*I27</f>
        <v>0</v>
      </c>
      <c r="K27" s="53">
        <f t="shared" ref="K27:K36" si="14">J27*G27</f>
        <v>0</v>
      </c>
      <c r="T27" s="1" t="s">
        <v>208</v>
      </c>
      <c r="W27" s="66" t="e">
        <f>+W24-U24^2</f>
        <v>#DIV/0!</v>
      </c>
    </row>
    <row r="28" spans="1:23" x14ac:dyDescent="0.2">
      <c r="D28" s="52">
        <f t="shared" ref="D28:D36" si="15">D6</f>
        <v>45323</v>
      </c>
      <c r="E28" s="35">
        <f>H6</f>
        <v>0</v>
      </c>
      <c r="F28" s="108">
        <f t="shared" ref="F28:F36" si="16">$F$27</f>
        <v>1</v>
      </c>
      <c r="G28" s="35">
        <f t="shared" si="10"/>
        <v>0</v>
      </c>
      <c r="H28" s="53">
        <f t="shared" si="11"/>
        <v>0</v>
      </c>
      <c r="I28" s="75">
        <f t="shared" si="12"/>
        <v>1</v>
      </c>
      <c r="J28" s="53">
        <f t="shared" si="13"/>
        <v>0</v>
      </c>
      <c r="K28" s="53">
        <f t="shared" si="14"/>
        <v>0</v>
      </c>
      <c r="T28" t="s">
        <v>201</v>
      </c>
      <c r="W28" s="66" t="e">
        <f>SQRT(W27)</f>
        <v>#DIV/0!</v>
      </c>
    </row>
    <row r="29" spans="1:23" x14ac:dyDescent="0.2">
      <c r="D29" s="52">
        <f t="shared" si="15"/>
        <v>45292</v>
      </c>
      <c r="E29" s="35">
        <f>H7</f>
        <v>0</v>
      </c>
      <c r="F29" s="108">
        <f t="shared" si="16"/>
        <v>1</v>
      </c>
      <c r="G29" s="35">
        <f t="shared" si="10"/>
        <v>0</v>
      </c>
      <c r="H29" s="53">
        <f t="shared" si="11"/>
        <v>0</v>
      </c>
      <c r="I29" s="75">
        <f t="shared" si="12"/>
        <v>1</v>
      </c>
      <c r="J29" s="53">
        <f t="shared" si="13"/>
        <v>0</v>
      </c>
      <c r="K29" s="53">
        <f t="shared" si="14"/>
        <v>0</v>
      </c>
    </row>
    <row r="30" spans="1:23" x14ac:dyDescent="0.2">
      <c r="D30" s="52">
        <f t="shared" si="15"/>
        <v>45261</v>
      </c>
      <c r="E30" s="35">
        <f t="shared" ref="E30:E36" si="17">H8</f>
        <v>0</v>
      </c>
      <c r="F30" s="108">
        <f t="shared" si="16"/>
        <v>1</v>
      </c>
      <c r="G30" s="35">
        <f t="shared" si="10"/>
        <v>0</v>
      </c>
      <c r="H30" s="53">
        <f t="shared" si="11"/>
        <v>0</v>
      </c>
      <c r="I30" s="75">
        <f t="shared" si="12"/>
        <v>1</v>
      </c>
      <c r="J30" s="53">
        <f t="shared" si="13"/>
        <v>0</v>
      </c>
      <c r="K30" s="53">
        <f t="shared" si="14"/>
        <v>0</v>
      </c>
      <c r="T30" t="s">
        <v>211</v>
      </c>
    </row>
    <row r="31" spans="1:23" x14ac:dyDescent="0.2">
      <c r="D31" s="52">
        <f t="shared" si="15"/>
        <v>45231</v>
      </c>
      <c r="E31" s="35">
        <f t="shared" si="17"/>
        <v>0</v>
      </c>
      <c r="F31" s="108">
        <f t="shared" si="16"/>
        <v>1</v>
      </c>
      <c r="G31" s="35">
        <f t="shared" si="10"/>
        <v>0</v>
      </c>
      <c r="H31" s="53">
        <f t="shared" si="11"/>
        <v>0</v>
      </c>
      <c r="I31" s="75">
        <f t="shared" si="12"/>
        <v>1</v>
      </c>
      <c r="J31" s="53">
        <f t="shared" si="13"/>
        <v>0</v>
      </c>
      <c r="K31" s="53">
        <f t="shared" si="14"/>
        <v>0</v>
      </c>
    </row>
    <row r="32" spans="1:23" x14ac:dyDescent="0.2">
      <c r="D32" s="52">
        <f t="shared" si="15"/>
        <v>45200</v>
      </c>
      <c r="E32" s="35">
        <f t="shared" si="17"/>
        <v>0</v>
      </c>
      <c r="F32" s="108">
        <f t="shared" si="16"/>
        <v>1</v>
      </c>
      <c r="G32" s="35">
        <f t="shared" si="10"/>
        <v>0</v>
      </c>
      <c r="H32" s="53">
        <f t="shared" si="11"/>
        <v>0</v>
      </c>
      <c r="I32" s="75">
        <f t="shared" si="12"/>
        <v>1</v>
      </c>
      <c r="J32" s="53">
        <f t="shared" si="13"/>
        <v>0</v>
      </c>
      <c r="K32" s="53">
        <f t="shared" si="14"/>
        <v>0</v>
      </c>
      <c r="T32" t="s">
        <v>212</v>
      </c>
      <c r="U32">
        <f>+V23</f>
        <v>0</v>
      </c>
      <c r="V32" t="s">
        <v>213</v>
      </c>
      <c r="W32" s="66" t="e">
        <f>SQRT((U32*W23-U23^2)/(U32*(U32-1)))</f>
        <v>#DIV/0!</v>
      </c>
    </row>
    <row r="33" spans="2:21" x14ac:dyDescent="0.2">
      <c r="D33" s="52">
        <f t="shared" si="15"/>
        <v>45170</v>
      </c>
      <c r="E33" s="35">
        <f t="shared" si="17"/>
        <v>0</v>
      </c>
      <c r="F33" s="108">
        <f t="shared" si="16"/>
        <v>1</v>
      </c>
      <c r="G33" s="35">
        <f t="shared" si="10"/>
        <v>0</v>
      </c>
      <c r="H33" s="53">
        <f t="shared" si="11"/>
        <v>0</v>
      </c>
      <c r="I33" s="75">
        <f t="shared" si="12"/>
        <v>1</v>
      </c>
      <c r="J33" s="53">
        <f t="shared" si="13"/>
        <v>0</v>
      </c>
      <c r="K33" s="53">
        <f t="shared" si="14"/>
        <v>0</v>
      </c>
      <c r="P33" s="67"/>
    </row>
    <row r="34" spans="2:21" x14ac:dyDescent="0.2">
      <c r="D34" s="52">
        <f t="shared" si="15"/>
        <v>45139</v>
      </c>
      <c r="E34" s="35">
        <f t="shared" si="17"/>
        <v>0</v>
      </c>
      <c r="F34" s="108">
        <f t="shared" si="16"/>
        <v>1</v>
      </c>
      <c r="G34" s="35">
        <f t="shared" si="10"/>
        <v>0</v>
      </c>
      <c r="H34" s="53">
        <f t="shared" si="11"/>
        <v>0</v>
      </c>
      <c r="I34" s="75">
        <f t="shared" si="12"/>
        <v>1</v>
      </c>
      <c r="J34" s="53">
        <f t="shared" si="13"/>
        <v>0</v>
      </c>
      <c r="K34" s="53">
        <f t="shared" si="14"/>
        <v>0</v>
      </c>
    </row>
    <row r="35" spans="2:21" x14ac:dyDescent="0.2">
      <c r="D35" s="52">
        <f t="shared" si="15"/>
        <v>45108</v>
      </c>
      <c r="E35" s="35">
        <f t="shared" si="17"/>
        <v>0</v>
      </c>
      <c r="F35" s="108">
        <f t="shared" si="16"/>
        <v>1</v>
      </c>
      <c r="G35" s="35">
        <f t="shared" si="10"/>
        <v>0</v>
      </c>
      <c r="H35" s="53">
        <f t="shared" si="11"/>
        <v>0</v>
      </c>
      <c r="I35" s="75">
        <f t="shared" si="12"/>
        <v>1</v>
      </c>
      <c r="J35" s="53">
        <f t="shared" si="13"/>
        <v>0</v>
      </c>
      <c r="K35" s="53">
        <f t="shared" si="14"/>
        <v>0</v>
      </c>
      <c r="M35" s="1" t="s">
        <v>669</v>
      </c>
    </row>
    <row r="36" spans="2:21" x14ac:dyDescent="0.2">
      <c r="D36" s="52">
        <f t="shared" si="15"/>
        <v>45078</v>
      </c>
      <c r="E36" s="35">
        <f t="shared" si="17"/>
        <v>0</v>
      </c>
      <c r="F36" s="108">
        <f t="shared" si="16"/>
        <v>1</v>
      </c>
      <c r="G36" s="35">
        <f t="shared" si="10"/>
        <v>0</v>
      </c>
      <c r="H36" s="53">
        <f t="shared" si="11"/>
        <v>0</v>
      </c>
      <c r="I36" s="75">
        <f t="shared" si="12"/>
        <v>1</v>
      </c>
      <c r="J36" s="53">
        <f t="shared" si="13"/>
        <v>0</v>
      </c>
      <c r="K36" s="53">
        <f t="shared" si="14"/>
        <v>0</v>
      </c>
      <c r="M36" t="str">
        <f>Final!$AI$20</f>
        <v>6 Month Method</v>
      </c>
    </row>
    <row r="37" spans="2:21" x14ac:dyDescent="0.2">
      <c r="B37" s="29" t="s">
        <v>359</v>
      </c>
      <c r="D37" s="2"/>
    </row>
    <row r="38" spans="2:21" x14ac:dyDescent="0.2">
      <c r="B38" s="29"/>
      <c r="D38" s="328"/>
      <c r="E38" s="168"/>
      <c r="F38" s="168"/>
      <c r="G38" s="168"/>
      <c r="H38" s="168"/>
      <c r="I38" s="168" t="s">
        <v>667</v>
      </c>
      <c r="J38" s="168"/>
      <c r="K38" s="327"/>
      <c r="L38" s="327"/>
      <c r="M38" s="327"/>
      <c r="N38" s="169"/>
      <c r="P38" s="77" t="s">
        <v>355</v>
      </c>
      <c r="Q38" s="79"/>
    </row>
    <row r="39" spans="2:21" x14ac:dyDescent="0.2">
      <c r="B39" s="2"/>
      <c r="D39" s="29" t="s">
        <v>41</v>
      </c>
      <c r="E39" s="326" t="s">
        <v>665</v>
      </c>
      <c r="F39" s="50"/>
      <c r="G39" s="2"/>
      <c r="H39" s="326" t="s">
        <v>666</v>
      </c>
      <c r="K39" s="50" t="s">
        <v>195</v>
      </c>
      <c r="L39" s="50"/>
      <c r="M39" s="2" t="s">
        <v>144</v>
      </c>
      <c r="N39" s="50" t="s">
        <v>196</v>
      </c>
      <c r="P39" s="50" t="s">
        <v>215</v>
      </c>
      <c r="Q39" s="69" t="s">
        <v>356</v>
      </c>
    </row>
    <row r="40" spans="2:21" x14ac:dyDescent="0.2">
      <c r="B40" s="74">
        <f>Data!$BN8</f>
        <v>0.21553914296864224</v>
      </c>
      <c r="D40" s="52">
        <f t="shared" ref="D40:D49" si="18">D27</f>
        <v>45352</v>
      </c>
      <c r="E40" s="53">
        <f t="shared" ref="E40:E49" si="19">K27</f>
        <v>0</v>
      </c>
      <c r="F40" s="353">
        <v>1</v>
      </c>
      <c r="G40" s="30"/>
      <c r="H40" s="53">
        <f ca="1">+PMPM!L31</f>
        <v>6901567</v>
      </c>
      <c r="I40" s="353">
        <v>0</v>
      </c>
      <c r="J40" s="30"/>
      <c r="K40" s="53">
        <f>Data!$BO8</f>
        <v>5368552.6631621839</v>
      </c>
      <c r="L40" s="87">
        <f>1-F40-I40</f>
        <v>0</v>
      </c>
      <c r="M40" s="30"/>
      <c r="N40" s="53">
        <f>ROUND(IF($F40=1,$E40,$E40*$F40+$H40*$I40+$K40*$L40),0)</f>
        <v>0</v>
      </c>
      <c r="O40" s="30"/>
      <c r="P40" s="35">
        <f t="shared" ref="P40:P49" si="20">+I5</f>
        <v>0</v>
      </c>
      <c r="Q40" s="35">
        <f t="shared" ref="Q40:Q49" si="21">+P40/RSDaysAdj</f>
        <v>0</v>
      </c>
    </row>
    <row r="41" spans="2:21" x14ac:dyDescent="0.2">
      <c r="B41" s="74">
        <f>Data!$BN9</f>
        <v>0.7322408374727789</v>
      </c>
      <c r="D41" s="52">
        <f t="shared" si="18"/>
        <v>45323</v>
      </c>
      <c r="E41" s="53">
        <f t="shared" si="19"/>
        <v>0</v>
      </c>
      <c r="F41" s="353">
        <v>1</v>
      </c>
      <c r="G41" s="30"/>
      <c r="H41" s="53">
        <f ca="1">+PMPM!L32</f>
        <v>6534263</v>
      </c>
      <c r="I41" s="353">
        <v>0</v>
      </c>
      <c r="J41" s="30"/>
      <c r="K41" s="53">
        <f>Data!$BO9</f>
        <v>5349604.5010541072</v>
      </c>
      <c r="L41" s="87">
        <f t="shared" ref="L41:L49" si="22">1-F41-I41</f>
        <v>0</v>
      </c>
      <c r="M41" s="30"/>
      <c r="N41" s="53">
        <f t="shared" ref="N41:N49" si="23">ROUND(IF($F41=1,$E41,$E41*$F41+$H41*$I41+$K41*$L41),0)</f>
        <v>0</v>
      </c>
      <c r="O41" s="30"/>
      <c r="P41" s="35">
        <f t="shared" si="20"/>
        <v>0</v>
      </c>
      <c r="Q41" s="35">
        <f t="shared" si="21"/>
        <v>0</v>
      </c>
    </row>
    <row r="42" spans="2:21" x14ac:dyDescent="0.2">
      <c r="B42" s="74">
        <f>Data!$BN10</f>
        <v>0.87409588137181282</v>
      </c>
      <c r="D42" s="52">
        <f t="shared" si="18"/>
        <v>45292</v>
      </c>
      <c r="E42" s="53">
        <f t="shared" si="19"/>
        <v>0</v>
      </c>
      <c r="F42" s="353">
        <v>1</v>
      </c>
      <c r="G42" s="30"/>
      <c r="H42" s="53">
        <f ca="1">+PMPM!L33</f>
        <v>6836199</v>
      </c>
      <c r="I42" s="353">
        <v>0</v>
      </c>
      <c r="J42" s="30"/>
      <c r="K42" s="53">
        <f>Data!$BO10</f>
        <v>5919443.5991159491</v>
      </c>
      <c r="L42" s="87">
        <f t="shared" si="22"/>
        <v>0</v>
      </c>
      <c r="M42" s="30"/>
      <c r="N42" s="53">
        <f t="shared" si="23"/>
        <v>0</v>
      </c>
      <c r="O42" s="30"/>
      <c r="P42" s="35">
        <f t="shared" si="20"/>
        <v>0</v>
      </c>
      <c r="Q42" s="35">
        <f t="shared" si="21"/>
        <v>0</v>
      </c>
    </row>
    <row r="43" spans="2:21" x14ac:dyDescent="0.2">
      <c r="B43" s="74">
        <f>Data!$BN11</f>
        <v>0.92837614609871677</v>
      </c>
      <c r="D43" s="52">
        <f t="shared" si="18"/>
        <v>45261</v>
      </c>
      <c r="E43" s="53">
        <f t="shared" si="19"/>
        <v>0</v>
      </c>
      <c r="F43" s="353">
        <v>0.75</v>
      </c>
      <c r="G43" s="30"/>
      <c r="H43" s="53">
        <f ca="1">+PMPM!L34</f>
        <v>5651012</v>
      </c>
      <c r="I43" s="353">
        <v>0</v>
      </c>
      <c r="J43" s="30"/>
      <c r="K43" s="53">
        <f>Data!$BO11</f>
        <v>5703063.7767345319</v>
      </c>
      <c r="L43" s="87">
        <f t="shared" si="22"/>
        <v>0.25</v>
      </c>
      <c r="M43" s="30"/>
      <c r="N43" s="53">
        <f t="shared" ca="1" si="23"/>
        <v>1425766</v>
      </c>
      <c r="O43" s="30"/>
      <c r="P43" s="35">
        <f t="shared" si="20"/>
        <v>0</v>
      </c>
      <c r="Q43" s="35">
        <f t="shared" si="21"/>
        <v>0</v>
      </c>
    </row>
    <row r="44" spans="2:21" x14ac:dyDescent="0.2">
      <c r="B44" s="74">
        <f>Data!$BN12</f>
        <v>0.94777800665301637</v>
      </c>
      <c r="D44" s="52">
        <f t="shared" si="18"/>
        <v>45231</v>
      </c>
      <c r="E44" s="53">
        <f t="shared" si="19"/>
        <v>0</v>
      </c>
      <c r="F44" s="353">
        <v>0</v>
      </c>
      <c r="G44" s="30"/>
      <c r="H44" s="53">
        <f ca="1">+PMPM!L35</f>
        <v>5872927</v>
      </c>
      <c r="I44" s="353">
        <v>0.5</v>
      </c>
      <c r="J44" s="30"/>
      <c r="K44" s="53">
        <f>Data!$BO12</f>
        <v>6005201.8194632865</v>
      </c>
      <c r="L44" s="87">
        <f t="shared" si="22"/>
        <v>0.5</v>
      </c>
      <c r="M44" s="30"/>
      <c r="N44" s="53">
        <f t="shared" ca="1" si="23"/>
        <v>5939064</v>
      </c>
      <c r="O44" s="30"/>
      <c r="P44" s="35">
        <f t="shared" si="20"/>
        <v>0</v>
      </c>
      <c r="Q44" s="35">
        <f t="shared" si="21"/>
        <v>0</v>
      </c>
      <c r="S44" s="47"/>
    </row>
    <row r="45" spans="2:21" x14ac:dyDescent="0.2">
      <c r="B45" s="74">
        <f>Data!$BN13</f>
        <v>0.95685483322655829</v>
      </c>
      <c r="D45" s="52">
        <f t="shared" si="18"/>
        <v>45200</v>
      </c>
      <c r="E45" s="53">
        <f t="shared" si="19"/>
        <v>0</v>
      </c>
      <c r="F45" s="353">
        <v>0</v>
      </c>
      <c r="G45" s="30"/>
      <c r="H45" s="53">
        <f ca="1">+PMPM!L36</f>
        <v>5782164</v>
      </c>
      <c r="I45" s="353">
        <v>0.5</v>
      </c>
      <c r="J45" s="30"/>
      <c r="K45" s="53">
        <f>Data!$BO13</f>
        <v>6394677.8210517066</v>
      </c>
      <c r="L45" s="87">
        <f t="shared" si="22"/>
        <v>0.5</v>
      </c>
      <c r="M45" s="30"/>
      <c r="N45" s="53">
        <f t="shared" ca="1" si="23"/>
        <v>6088421</v>
      </c>
      <c r="O45" s="30"/>
      <c r="P45" s="35">
        <f t="shared" si="20"/>
        <v>0</v>
      </c>
      <c r="Q45" s="35">
        <f t="shared" si="21"/>
        <v>0</v>
      </c>
    </row>
    <row r="46" spans="2:21" x14ac:dyDescent="0.2">
      <c r="B46" s="74">
        <f>Data!$BN14</f>
        <v>0.96398179238062165</v>
      </c>
      <c r="D46" s="52">
        <f t="shared" si="18"/>
        <v>45170</v>
      </c>
      <c r="E46" s="53">
        <f t="shared" si="19"/>
        <v>0</v>
      </c>
      <c r="F46" s="353">
        <v>0</v>
      </c>
      <c r="G46" s="30"/>
      <c r="H46" s="53">
        <f ca="1">+PMPM!L37</f>
        <v>5374580</v>
      </c>
      <c r="I46" s="353">
        <v>0.5</v>
      </c>
      <c r="J46" s="30"/>
      <c r="K46" s="53">
        <f>Data!$BO14</f>
        <v>5476270.6222521747</v>
      </c>
      <c r="L46" s="87">
        <f t="shared" si="22"/>
        <v>0.5</v>
      </c>
      <c r="M46" s="30"/>
      <c r="N46" s="53">
        <f t="shared" ca="1" si="23"/>
        <v>5425425</v>
      </c>
      <c r="O46" s="30"/>
      <c r="P46" s="35">
        <f t="shared" si="20"/>
        <v>0</v>
      </c>
      <c r="Q46" s="35">
        <f t="shared" si="21"/>
        <v>0</v>
      </c>
      <c r="U46" s="74"/>
    </row>
    <row r="47" spans="2:21" x14ac:dyDescent="0.2">
      <c r="B47" s="74">
        <f>Data!$BN15</f>
        <v>0.97132728101712662</v>
      </c>
      <c r="D47" s="52">
        <f t="shared" si="18"/>
        <v>45139</v>
      </c>
      <c r="E47" s="53">
        <f t="shared" si="19"/>
        <v>0</v>
      </c>
      <c r="F47" s="353">
        <v>0</v>
      </c>
      <c r="G47" s="30"/>
      <c r="H47" s="53">
        <f ca="1">+PMPM!L38</f>
        <v>5830880</v>
      </c>
      <c r="I47" s="353">
        <v>0.5</v>
      </c>
      <c r="J47" s="30"/>
      <c r="K47" s="53">
        <f>Data!$BO15</f>
        <v>6008617.6966927741</v>
      </c>
      <c r="L47" s="87">
        <f t="shared" si="22"/>
        <v>0.5</v>
      </c>
      <c r="M47" s="30"/>
      <c r="N47" s="53">
        <f t="shared" ca="1" si="23"/>
        <v>5919749</v>
      </c>
      <c r="O47" s="30"/>
      <c r="P47" s="35">
        <f t="shared" si="20"/>
        <v>0</v>
      </c>
      <c r="Q47" s="35">
        <f t="shared" si="21"/>
        <v>0</v>
      </c>
      <c r="U47" s="74"/>
    </row>
    <row r="48" spans="2:21" x14ac:dyDescent="0.2">
      <c r="B48" s="74">
        <f>Data!$BN16</f>
        <v>0.97521571083726688</v>
      </c>
      <c r="D48" s="52">
        <f t="shared" si="18"/>
        <v>45108</v>
      </c>
      <c r="E48" s="53">
        <f t="shared" si="19"/>
        <v>0</v>
      </c>
      <c r="F48" s="353">
        <v>0</v>
      </c>
      <c r="G48" s="30"/>
      <c r="H48" s="53">
        <f ca="1">+PMPM!L39</f>
        <v>5255946</v>
      </c>
      <c r="I48" s="353">
        <v>0.5</v>
      </c>
      <c r="J48" s="30"/>
      <c r="K48" s="53">
        <f>Data!$BO16</f>
        <v>5220777.3146197619</v>
      </c>
      <c r="L48" s="87">
        <f t="shared" si="22"/>
        <v>0.5</v>
      </c>
      <c r="M48" s="30"/>
      <c r="N48" s="53">
        <f t="shared" ca="1" si="23"/>
        <v>5238362</v>
      </c>
      <c r="O48" s="30"/>
      <c r="P48" s="35">
        <f t="shared" si="20"/>
        <v>0</v>
      </c>
      <c r="Q48" s="35">
        <f t="shared" si="21"/>
        <v>0</v>
      </c>
      <c r="U48" s="2"/>
    </row>
    <row r="49" spans="2:21" x14ac:dyDescent="0.2">
      <c r="B49" s="74">
        <f>Data!$BN17</f>
        <v>0.97861987373546322</v>
      </c>
      <c r="D49" s="52">
        <f t="shared" si="18"/>
        <v>45078</v>
      </c>
      <c r="E49" s="53">
        <f t="shared" si="19"/>
        <v>0</v>
      </c>
      <c r="F49" s="353">
        <v>0</v>
      </c>
      <c r="G49" s="30"/>
      <c r="H49" s="53">
        <f ca="1">+PMPM!L40</f>
        <v>5462641</v>
      </c>
      <c r="I49" s="353">
        <v>0.5</v>
      </c>
      <c r="J49" s="30"/>
      <c r="K49" s="53">
        <f>Data!$BO17</f>
        <v>5547486.2566172462</v>
      </c>
      <c r="L49" s="87">
        <f t="shared" si="22"/>
        <v>0.5</v>
      </c>
      <c r="M49" s="30"/>
      <c r="N49" s="53">
        <f t="shared" ca="1" si="23"/>
        <v>5505064</v>
      </c>
      <c r="O49" s="30"/>
      <c r="P49" s="35">
        <f t="shared" si="20"/>
        <v>0</v>
      </c>
      <c r="Q49" s="35">
        <f t="shared" si="21"/>
        <v>0</v>
      </c>
      <c r="U49" s="2"/>
    </row>
    <row r="50" spans="2:21" x14ac:dyDescent="0.2">
      <c r="B50" s="74"/>
      <c r="H50" s="1" t="s">
        <v>668</v>
      </c>
      <c r="O50" s="47" t="s">
        <v>194</v>
      </c>
      <c r="P50" s="35">
        <f>AVERAGE(P40:P49)</f>
        <v>0</v>
      </c>
      <c r="Q50" s="35">
        <f>AVERAGE(Q40:Q49)</f>
        <v>0</v>
      </c>
      <c r="U50" s="74"/>
    </row>
    <row r="51" spans="2:21" x14ac:dyDescent="0.2">
      <c r="Q51" t="s">
        <v>654</v>
      </c>
      <c r="U51" s="74"/>
    </row>
    <row r="52" spans="2:21" x14ac:dyDescent="0.2">
      <c r="D52" s="3" t="s">
        <v>197</v>
      </c>
    </row>
    <row r="54" spans="2:21" ht="12" thickBot="1" x14ac:dyDescent="0.25">
      <c r="J54" s="77" t="s">
        <v>142</v>
      </c>
      <c r="K54" s="78"/>
      <c r="L54" s="78"/>
      <c r="M54" s="78"/>
      <c r="N54" s="78"/>
      <c r="O54" s="79"/>
    </row>
    <row r="55" spans="2:21" ht="12.75" thickTop="1" thickBot="1" x14ac:dyDescent="0.25">
      <c r="D55" s="80" t="s">
        <v>359</v>
      </c>
      <c r="E55" s="81"/>
      <c r="F55" s="82"/>
      <c r="G55" s="2" t="s">
        <v>146</v>
      </c>
      <c r="H55" s="2" t="s">
        <v>99</v>
      </c>
      <c r="O55" s="2" t="s">
        <v>147</v>
      </c>
    </row>
    <row r="56" spans="2:21" ht="12" thickTop="1" x14ac:dyDescent="0.2">
      <c r="D56" s="83" t="s">
        <v>63</v>
      </c>
      <c r="E56" s="29" t="s">
        <v>148</v>
      </c>
      <c r="F56" s="84" t="s">
        <v>149</v>
      </c>
      <c r="G56" s="29" t="s">
        <v>83</v>
      </c>
      <c r="H56" s="29" t="s">
        <v>101</v>
      </c>
      <c r="I56" s="29" t="s">
        <v>99</v>
      </c>
      <c r="J56" s="29" t="s">
        <v>96</v>
      </c>
      <c r="K56" s="29" t="s">
        <v>97</v>
      </c>
      <c r="M56" s="29" t="s">
        <v>149</v>
      </c>
      <c r="N56" s="29" t="s">
        <v>150</v>
      </c>
      <c r="O56" s="29" t="s">
        <v>151</v>
      </c>
    </row>
    <row r="57" spans="2:21" x14ac:dyDescent="0.2">
      <c r="D57" s="85"/>
      <c r="F57" s="86"/>
    </row>
    <row r="58" spans="2:21" x14ac:dyDescent="0.2">
      <c r="D58" s="88">
        <f>PMPM!$S31</f>
        <v>0.21553914296864224</v>
      </c>
      <c r="E58" s="67">
        <f ca="1">PMPM!$T31</f>
        <v>0.16766239319273421</v>
      </c>
      <c r="F58" s="89">
        <f t="shared" ref="F58:F69" ca="1" si="24">E58-D58</f>
        <v>-4.7876749775908028E-2</v>
      </c>
      <c r="G58" s="37" t="str">
        <f ca="1">PMPM!$V31</f>
        <v>ok</v>
      </c>
      <c r="H58" s="66">
        <f ca="1">PMPM!$W31</f>
        <v>34.833327835451641</v>
      </c>
      <c r="I58" s="43">
        <f ca="1">PMPM!$X31</f>
        <v>5744433.7600000007</v>
      </c>
      <c r="J58" s="43">
        <f ca="1">PMPM!$Y31</f>
        <v>6901567</v>
      </c>
      <c r="K58" s="43">
        <f>PMPM!$Z31</f>
        <v>5452454.4600000046</v>
      </c>
      <c r="M58" s="43">
        <f t="shared" ref="M58:M69" ca="1" si="25">J58-K58</f>
        <v>1449112.5399999954</v>
      </c>
      <c r="N58" s="156">
        <f ca="1">SUM(L33:M$58)</f>
        <v>1449115.7899999954</v>
      </c>
      <c r="O58" s="67">
        <f ca="1">N58/SUM(J33:J$58)</f>
        <v>0.20996909687321669</v>
      </c>
    </row>
    <row r="59" spans="2:21" x14ac:dyDescent="0.2">
      <c r="D59" s="88">
        <f>PMPM!$S32</f>
        <v>0.7322408374727789</v>
      </c>
      <c r="E59" s="67">
        <f ca="1">PMPM!$T32</f>
        <v>0.6339673839774792</v>
      </c>
      <c r="F59" s="89">
        <f t="shared" ca="1" si="24"/>
        <v>-9.8273453495299701E-2</v>
      </c>
      <c r="G59" s="37" t="str">
        <f ca="1">PMPM!$V32</f>
        <v>ok</v>
      </c>
      <c r="H59" s="66">
        <f ca="1">PMPM!$W32</f>
        <v>13.74112873729422</v>
      </c>
      <c r="I59" s="43">
        <f ca="1">PMPM!$X32</f>
        <v>2261666.1199999931</v>
      </c>
      <c r="J59" s="43">
        <f ca="1">PMPM!$Y32</f>
        <v>6178865</v>
      </c>
      <c r="K59" s="43">
        <f>PMPM!$Z32</f>
        <v>5585363.9099999908</v>
      </c>
      <c r="M59" s="43">
        <f t="shared" ca="1" si="25"/>
        <v>593501.09000000916</v>
      </c>
      <c r="N59" s="156">
        <f ca="1">SUM(L33:M$59)</f>
        <v>2042616.8800000045</v>
      </c>
      <c r="O59" s="67">
        <f ca="1">N59/SUM(J33:J$59)</f>
        <v>0.15615821251163606</v>
      </c>
    </row>
    <row r="60" spans="2:21" x14ac:dyDescent="0.2">
      <c r="D60" s="88">
        <f>PMPM!$S33</f>
        <v>0.87409588137181282</v>
      </c>
      <c r="E60" s="67">
        <f ca="1">PMPM!$T33</f>
        <v>0.84783468394399475</v>
      </c>
      <c r="F60" s="89">
        <f t="shared" ca="1" si="24"/>
        <v>-2.6261197427818073E-2</v>
      </c>
      <c r="G60" s="37" t="str">
        <f ca="1">PMPM!$V33</f>
        <v>ok</v>
      </c>
      <c r="H60" s="66">
        <f ca="1">PMPM!$W33</f>
        <v>5.6387455673759401</v>
      </c>
      <c r="I60" s="43">
        <f ca="1">PMPM!$X33</f>
        <v>928633.73000000883</v>
      </c>
      <c r="J60" s="43">
        <f ca="1">PMPM!$Y33</f>
        <v>6102795</v>
      </c>
      <c r="K60" s="43">
        <f>PMPM!$Z33</f>
        <v>5923338.4999999972</v>
      </c>
      <c r="M60" s="43">
        <f t="shared" ca="1" si="25"/>
        <v>179456.50000000279</v>
      </c>
      <c r="N60" s="156">
        <f ca="1">SUM(L33:M$60)</f>
        <v>2222073.3800000073</v>
      </c>
      <c r="O60" s="67">
        <f ca="1">N60/SUM(J33:J$60)</f>
        <v>0.11583418055783874</v>
      </c>
    </row>
    <row r="61" spans="2:21" x14ac:dyDescent="0.2">
      <c r="D61" s="88">
        <f>PMPM!$S34</f>
        <v>0.92837614609871677</v>
      </c>
      <c r="E61" s="67">
        <f ca="1">PMPM!$T34</f>
        <v>0.92837610975433504</v>
      </c>
      <c r="F61" s="89">
        <f t="shared" ca="1" si="24"/>
        <v>-3.6344381726394204E-8</v>
      </c>
      <c r="G61" s="37" t="str">
        <f ca="1">PMPM!$V34</f>
        <v>ok</v>
      </c>
      <c r="H61" s="66">
        <f ca="1">PMPM!$W34</f>
        <v>2.8458061392264149</v>
      </c>
      <c r="I61" s="43">
        <f ca="1">PMPM!$X34</f>
        <v>408475.63000000268</v>
      </c>
      <c r="J61" s="43">
        <f ca="1">PMPM!$Y34</f>
        <v>5703064</v>
      </c>
      <c r="K61" s="43">
        <f>PMPM!$Z34</f>
        <v>5777917.9799999846</v>
      </c>
      <c r="M61" s="43">
        <f t="shared" ca="1" si="25"/>
        <v>-74853.979999984615</v>
      </c>
      <c r="N61" s="156">
        <f ca="1">SUM(L33:M$61)</f>
        <v>2147219.4000000227</v>
      </c>
      <c r="O61" s="67">
        <f ca="1">N61/SUM(J33:J$61)</f>
        <v>8.6281214022612795E-2</v>
      </c>
    </row>
    <row r="62" spans="2:21" x14ac:dyDescent="0.2">
      <c r="D62" s="88">
        <f>PMPM!$S35</f>
        <v>0.94777800665301637</v>
      </c>
      <c r="E62" s="67">
        <f ca="1">PMPM!$T35</f>
        <v>0.94777797815959908</v>
      </c>
      <c r="F62" s="89">
        <f t="shared" ca="1" si="24"/>
        <v>-2.8493417292274614E-8</v>
      </c>
      <c r="G62" s="37" t="str">
        <f ca="1">PMPM!$V35</f>
        <v>ok</v>
      </c>
      <c r="H62" s="66">
        <f ca="1">PMPM!$W35</f>
        <v>2.1989383379145369</v>
      </c>
      <c r="I62" s="43">
        <f ca="1">PMPM!$X35</f>
        <v>313603.7900000196</v>
      </c>
      <c r="J62" s="43">
        <f ca="1">PMPM!$Y35</f>
        <v>6005202</v>
      </c>
      <c r="K62" s="43">
        <f>PMPM!$Z35</f>
        <v>5920319.6200000057</v>
      </c>
      <c r="M62" s="43">
        <f t="shared" ca="1" si="25"/>
        <v>84882.3799999943</v>
      </c>
      <c r="N62" s="156">
        <f ca="1">SUM(L33:M$62)</f>
        <v>2232101.780000017</v>
      </c>
      <c r="O62" s="67">
        <f ca="1">N62/SUM(J33:J$62)</f>
        <v>7.2256196228522099E-2</v>
      </c>
    </row>
    <row r="63" spans="2:21" x14ac:dyDescent="0.2">
      <c r="D63" s="88">
        <f>PMPM!$S36</f>
        <v>0.95685483322655829</v>
      </c>
      <c r="E63" s="67">
        <f ca="1">PMPM!$T36</f>
        <v>0.95685480644998888</v>
      </c>
      <c r="F63" s="89">
        <f t="shared" ca="1" si="24"/>
        <v>-2.6776569406194994E-8</v>
      </c>
      <c r="G63" s="37" t="str">
        <f ca="1">PMPM!$V36</f>
        <v>ok</v>
      </c>
      <c r="H63" s="66">
        <f ca="1">PMPM!$W36</f>
        <v>1.9568181624749865</v>
      </c>
      <c r="I63" s="43">
        <f ca="1">PMPM!$X36</f>
        <v>275899.61999999825</v>
      </c>
      <c r="J63" s="43">
        <f ca="1">PMPM!$Y36</f>
        <v>6394678</v>
      </c>
      <c r="K63" s="43">
        <f>PMPM!$Z36</f>
        <v>6436494.1199999833</v>
      </c>
      <c r="M63" s="43">
        <f t="shared" ca="1" si="25"/>
        <v>-41816.119999983348</v>
      </c>
      <c r="N63" s="156">
        <f ca="1">SUM(L33:M$63)</f>
        <v>2190285.6600000337</v>
      </c>
      <c r="O63" s="67">
        <f ca="1">N63/SUM(J33:J$63)</f>
        <v>5.8742574022954346E-2</v>
      </c>
    </row>
    <row r="64" spans="2:21" x14ac:dyDescent="0.2">
      <c r="D64" s="88">
        <f>PMPM!$S37</f>
        <v>0.96398179238062165</v>
      </c>
      <c r="E64" s="67">
        <f ca="1">PMPM!$T37</f>
        <v>0.96398172588609898</v>
      </c>
      <c r="F64" s="89">
        <f t="shared" ca="1" si="24"/>
        <v>-6.649452266582756E-8</v>
      </c>
      <c r="G64" s="37" t="str">
        <f ca="1">PMPM!$V37</f>
        <v>ok</v>
      </c>
      <c r="H64" s="66">
        <f ca="1">PMPM!$W37</f>
        <v>1.4276210156046916</v>
      </c>
      <c r="I64" s="43">
        <f ca="1">PMPM!$X37</f>
        <v>197245.83000000659</v>
      </c>
      <c r="J64" s="43">
        <f ca="1">PMPM!$Y37</f>
        <v>5476271</v>
      </c>
      <c r="K64" s="43">
        <f>PMPM!$Z37</f>
        <v>5754302.1099999854</v>
      </c>
      <c r="M64" s="43">
        <f t="shared" ca="1" si="25"/>
        <v>-278031.10999998543</v>
      </c>
      <c r="N64" s="156">
        <f ca="1">SUM(L33:M$64)</f>
        <v>1912254.5500000482</v>
      </c>
      <c r="O64" s="67">
        <f ca="1">N64/SUM(J33:J$64)</f>
        <v>4.4718085791266279E-2</v>
      </c>
    </row>
    <row r="65" spans="1:15" x14ac:dyDescent="0.2">
      <c r="D65" s="88">
        <f>PMPM!$S38</f>
        <v>0.97132728101712662</v>
      </c>
      <c r="E65" s="67">
        <f ca="1">PMPM!$T38</f>
        <v>0.97132723198578819</v>
      </c>
      <c r="F65" s="89">
        <f t="shared" ca="1" si="24"/>
        <v>-4.9031338433813687E-8</v>
      </c>
      <c r="G65" s="37" t="str">
        <f ca="1">PMPM!$V38</f>
        <v>ok</v>
      </c>
      <c r="H65" s="66">
        <f ca="1">PMPM!$W38</f>
        <v>1.2589881104624836</v>
      </c>
      <c r="I65" s="43">
        <f ca="1">PMPM!$X38</f>
        <v>172283.71000001766</v>
      </c>
      <c r="J65" s="43">
        <f ca="1">PMPM!$Y38</f>
        <v>6008618</v>
      </c>
      <c r="K65" s="43">
        <f>PMPM!$Z38</f>
        <v>5269664.7599999877</v>
      </c>
      <c r="M65" s="43">
        <f t="shared" ca="1" si="25"/>
        <v>738953.24000001233</v>
      </c>
      <c r="N65" s="156">
        <f ca="1">SUM(L33:M$65)</f>
        <v>2651207.7900000606</v>
      </c>
      <c r="O65" s="67">
        <f ca="1">N65/SUM(J33:J$65)</f>
        <v>5.4360265903592428E-2</v>
      </c>
    </row>
    <row r="66" spans="1:15" x14ac:dyDescent="0.2">
      <c r="D66" s="88">
        <f>PMPM!$S39</f>
        <v>0.97521571083726688</v>
      </c>
      <c r="E66" s="67">
        <f ca="1">PMPM!$T39</f>
        <v>0.97521576960670575</v>
      </c>
      <c r="F66" s="89">
        <f t="shared" ca="1" si="24"/>
        <v>5.876943887095365E-8</v>
      </c>
      <c r="G66" s="37" t="str">
        <f ca="1">PMPM!$V39</f>
        <v>ok</v>
      </c>
      <c r="H66" s="66">
        <f ca="1">PMPM!$W39</f>
        <v>0.94977751679092437</v>
      </c>
      <c r="I66" s="43">
        <f ca="1">PMPM!$X39</f>
        <v>129392.94000001159</v>
      </c>
      <c r="J66" s="43">
        <f ca="1">PMPM!$Y39</f>
        <v>5220777</v>
      </c>
      <c r="K66" s="43">
        <f>PMPM!$Z39</f>
        <v>5024298.1099999929</v>
      </c>
      <c r="M66" s="43">
        <f t="shared" ca="1" si="25"/>
        <v>196478.89000000712</v>
      </c>
      <c r="N66" s="156">
        <f ca="1">SUM(L33:M$66)</f>
        <v>2847686.6800000677</v>
      </c>
      <c r="O66" s="67">
        <f ca="1">N66/SUM(J33:J$66)</f>
        <v>5.2742911488639806E-2</v>
      </c>
    </row>
    <row r="67" spans="1:15" x14ac:dyDescent="0.2">
      <c r="D67" s="88">
        <f>PMPM!$S40</f>
        <v>0.97861987373546322</v>
      </c>
      <c r="E67" s="67">
        <f ca="1">PMPM!$T40</f>
        <v>0.97861991900475043</v>
      </c>
      <c r="F67" s="89">
        <f t="shared" ca="1" si="24"/>
        <v>4.5269287207716502E-8</v>
      </c>
      <c r="G67" s="37" t="str">
        <f ca="1">PMPM!$V40</f>
        <v>ok</v>
      </c>
      <c r="H67" s="66">
        <f ca="1">PMPM!$W40</f>
        <v>0.87586825684018188</v>
      </c>
      <c r="I67" s="43">
        <f ca="1">PMPM!$X40</f>
        <v>118605.70000001322</v>
      </c>
      <c r="J67" s="43">
        <f ca="1">PMPM!$Y40</f>
        <v>5547486</v>
      </c>
      <c r="K67" s="43">
        <f>PMPM!$Z40</f>
        <v>5161983.979999993</v>
      </c>
      <c r="M67" s="43">
        <f t="shared" ca="1" si="25"/>
        <v>385502.020000007</v>
      </c>
      <c r="N67" s="156">
        <f ca="1">SUM(L33:M$67)</f>
        <v>3233188.7000000747</v>
      </c>
      <c r="O67" s="67">
        <f ca="1">N67/SUM(J33:J$67)</f>
        <v>5.4303417255854164E-2</v>
      </c>
    </row>
    <row r="68" spans="1:15" x14ac:dyDescent="0.2">
      <c r="D68" s="88">
        <f>PMPM!$S41</f>
        <v>0.98217546750704832</v>
      </c>
      <c r="E68" s="67">
        <f ca="1">PMPM!$T41</f>
        <v>0.98217548396918708</v>
      </c>
      <c r="F68" s="89">
        <f t="shared" ca="1" si="24"/>
        <v>1.6462138763273515E-8</v>
      </c>
      <c r="G68" s="37" t="str">
        <f ca="1">PMPM!$V41</f>
        <v>ok</v>
      </c>
      <c r="H68" s="66">
        <f ca="1">PMPM!$W41</f>
        <v>0.71747213029414691</v>
      </c>
      <c r="I68" s="43">
        <f ca="1">PMPM!$X41</f>
        <v>96474.890000002459</v>
      </c>
      <c r="J68" s="43">
        <f ca="1">PMPM!$Y41</f>
        <v>5412483</v>
      </c>
      <c r="K68" s="43">
        <f>PMPM!$Z41</f>
        <v>5269479.2099999841</v>
      </c>
      <c r="M68" s="43">
        <f t="shared" ca="1" si="25"/>
        <v>143003.79000001587</v>
      </c>
      <c r="N68" s="156">
        <f ca="1">SUM(L33:M$68)</f>
        <v>3376192.4900000906</v>
      </c>
      <c r="O68" s="67">
        <f ca="1">N68/SUM(J33:J$68)</f>
        <v>5.1979963266919636E-2</v>
      </c>
    </row>
    <row r="69" spans="1:15" x14ac:dyDescent="0.2">
      <c r="D69" s="88">
        <f>PMPM!$S42</f>
        <v>0.98447441318381057</v>
      </c>
      <c r="E69" s="67">
        <f ca="1">PMPM!$T42</f>
        <v>0.98447445127551203</v>
      </c>
      <c r="F69" s="89">
        <f t="shared" ca="1" si="24"/>
        <v>3.80917014597415E-8</v>
      </c>
      <c r="G69" s="37" t="str">
        <f ca="1">PMPM!$V42</f>
        <v>ok</v>
      </c>
      <c r="H69" s="66">
        <f ca="1">PMPM!$W42</f>
        <v>0.55866066780702617</v>
      </c>
      <c r="I69" s="43">
        <f ca="1">PMPM!$X42</f>
        <v>75123.100000010803</v>
      </c>
      <c r="J69" s="43">
        <f ca="1">PMPM!$Y42</f>
        <v>4838676</v>
      </c>
      <c r="K69" s="43">
        <f>PMPM!$Z42</f>
        <v>4199208.1499999892</v>
      </c>
      <c r="M69" s="43">
        <f t="shared" ca="1" si="25"/>
        <v>639467.8500000108</v>
      </c>
      <c r="N69" s="156">
        <f ca="1">SUM(L33:M$69)</f>
        <v>4015660.3400001014</v>
      </c>
      <c r="O69" s="67">
        <f ca="1">N69/SUM(J33:J$69)</f>
        <v>5.7538796479441157E-2</v>
      </c>
    </row>
    <row r="70" spans="1:15" ht="12" thickBot="1" x14ac:dyDescent="0.25">
      <c r="D70" s="90"/>
      <c r="E70" s="91"/>
      <c r="F70" s="92"/>
    </row>
    <row r="71" spans="1:15" ht="12" thickTop="1" x14ac:dyDescent="0.2"/>
    <row r="72" spans="1:15" x14ac:dyDescent="0.2">
      <c r="A72" s="114" t="s">
        <v>198</v>
      </c>
    </row>
    <row r="75" spans="1:15" x14ac:dyDescent="0.2">
      <c r="A75" s="30" t="s">
        <v>199</v>
      </c>
      <c r="B75" s="30"/>
    </row>
    <row r="77" spans="1:15" x14ac:dyDescent="0.2">
      <c r="A77" s="93">
        <f>DATE(2003,1,1)</f>
        <v>37622</v>
      </c>
      <c r="B77" s="94">
        <v>0</v>
      </c>
      <c r="D77" s="1" t="s">
        <v>219</v>
      </c>
    </row>
    <row r="78" spans="1:15" x14ac:dyDescent="0.2">
      <c r="A78" s="93"/>
      <c r="B78" s="94"/>
    </row>
    <row r="79" spans="1:15" x14ac:dyDescent="0.2">
      <c r="A79" s="93"/>
      <c r="B79" s="94"/>
    </row>
    <row r="80" spans="1:15" x14ac:dyDescent="0.2">
      <c r="A80" s="3"/>
      <c r="B80" s="3"/>
    </row>
    <row r="81" spans="1:10" x14ac:dyDescent="0.2">
      <c r="A81" s="3"/>
      <c r="B81" s="3"/>
    </row>
    <row r="82" spans="1:10" x14ac:dyDescent="0.2">
      <c r="A82" s="3"/>
      <c r="B82" s="3"/>
      <c r="G82" s="1" t="s">
        <v>327</v>
      </c>
    </row>
    <row r="84" spans="1:10" x14ac:dyDescent="0.2">
      <c r="A84" t="s">
        <v>200</v>
      </c>
      <c r="G84" t="s">
        <v>41</v>
      </c>
      <c r="H84" t="s">
        <v>323</v>
      </c>
      <c r="I84" s="1" t="s">
        <v>329</v>
      </c>
      <c r="J84" t="s">
        <v>82</v>
      </c>
    </row>
    <row r="85" spans="1:10" x14ac:dyDescent="0.2">
      <c r="G85" s="42">
        <f>+D5</f>
        <v>45352</v>
      </c>
      <c r="H85" s="43">
        <f t="shared" ref="H85:H94" si="26">+N40</f>
        <v>0</v>
      </c>
      <c r="I85" s="51">
        <f>+G27</f>
        <v>0</v>
      </c>
      <c r="J85" s="156" t="e">
        <f>+H85/I85</f>
        <v>#DIV/0!</v>
      </c>
    </row>
    <row r="86" spans="1:10" x14ac:dyDescent="0.2">
      <c r="C86" s="47" t="s">
        <v>161</v>
      </c>
      <c r="G86" s="42">
        <f t="shared" ref="G86:G102" si="27">+D6</f>
        <v>45323</v>
      </c>
      <c r="H86" s="43">
        <f t="shared" si="26"/>
        <v>0</v>
      </c>
      <c r="I86" s="51">
        <f t="shared" ref="I86:I94" si="28">+G28</f>
        <v>0</v>
      </c>
      <c r="J86" s="156" t="e">
        <f t="shared" ref="J86:J102" si="29">+H86/I86</f>
        <v>#DIV/0!</v>
      </c>
    </row>
    <row r="87" spans="1:10" x14ac:dyDescent="0.2">
      <c r="C87" s="47" t="s">
        <v>162</v>
      </c>
      <c r="G87" s="42">
        <f t="shared" si="27"/>
        <v>45292</v>
      </c>
      <c r="H87" s="43">
        <f t="shared" si="26"/>
        <v>0</v>
      </c>
      <c r="I87" s="51">
        <f t="shared" si="28"/>
        <v>0</v>
      </c>
      <c r="J87" s="156" t="e">
        <f t="shared" si="29"/>
        <v>#DIV/0!</v>
      </c>
    </row>
    <row r="88" spans="1:10" x14ac:dyDescent="0.2">
      <c r="B88" s="47" t="s">
        <v>163</v>
      </c>
      <c r="C88" s="47" t="s">
        <v>164</v>
      </c>
      <c r="G88" s="42">
        <f t="shared" si="27"/>
        <v>45261</v>
      </c>
      <c r="H88" s="43">
        <f t="shared" ca="1" si="26"/>
        <v>1425766</v>
      </c>
      <c r="I88" s="51">
        <f t="shared" si="28"/>
        <v>0</v>
      </c>
      <c r="J88" s="156" t="e">
        <f t="shared" ca="1" si="29"/>
        <v>#DIV/0!</v>
      </c>
    </row>
    <row r="89" spans="1:10" x14ac:dyDescent="0.2">
      <c r="A89">
        <f>DATE(0,1,1)</f>
        <v>1</v>
      </c>
      <c r="B89" s="95">
        <v>1</v>
      </c>
      <c r="C89" s="76">
        <f t="shared" ref="C89:C94" si="30">B90*C90</f>
        <v>1</v>
      </c>
      <c r="G89" s="42">
        <f t="shared" si="27"/>
        <v>45231</v>
      </c>
      <c r="H89" s="43">
        <f t="shared" ca="1" si="26"/>
        <v>5939064</v>
      </c>
      <c r="I89" s="51">
        <f t="shared" si="28"/>
        <v>0</v>
      </c>
      <c r="J89" s="156" t="e">
        <f t="shared" ca="1" si="29"/>
        <v>#DIV/0!</v>
      </c>
    </row>
    <row r="90" spans="1:10" x14ac:dyDescent="0.2">
      <c r="A90" s="100">
        <f t="shared" ref="A90:A95" si="31">IF(A77&gt;0,A77,DATE(2099,12,31))</f>
        <v>37622</v>
      </c>
      <c r="B90" s="76">
        <f t="shared" ref="B90:B95" si="32">IF(B77&lt;&gt;0,1+B77,1)</f>
        <v>1</v>
      </c>
      <c r="C90" s="76">
        <f t="shared" si="30"/>
        <v>1</v>
      </c>
      <c r="G90" s="42">
        <f t="shared" si="27"/>
        <v>45200</v>
      </c>
      <c r="H90" s="43">
        <f t="shared" ca="1" si="26"/>
        <v>6088421</v>
      </c>
      <c r="I90" s="51">
        <f t="shared" si="28"/>
        <v>0</v>
      </c>
      <c r="J90" s="156" t="e">
        <f t="shared" ca="1" si="29"/>
        <v>#DIV/0!</v>
      </c>
    </row>
    <row r="91" spans="1:10" x14ac:dyDescent="0.2">
      <c r="A91" s="100">
        <f t="shared" si="31"/>
        <v>73050</v>
      </c>
      <c r="B91" s="76">
        <f t="shared" si="32"/>
        <v>1</v>
      </c>
      <c r="C91" s="76">
        <f t="shared" si="30"/>
        <v>1</v>
      </c>
      <c r="G91" s="42">
        <f t="shared" si="27"/>
        <v>45170</v>
      </c>
      <c r="H91" s="43">
        <f t="shared" ca="1" si="26"/>
        <v>5425425</v>
      </c>
      <c r="I91" s="51">
        <f t="shared" si="28"/>
        <v>0</v>
      </c>
      <c r="J91" s="156" t="e">
        <f t="shared" ca="1" si="29"/>
        <v>#DIV/0!</v>
      </c>
    </row>
    <row r="92" spans="1:10" x14ac:dyDescent="0.2">
      <c r="A92" s="100">
        <f t="shared" si="31"/>
        <v>73050</v>
      </c>
      <c r="B92" s="76">
        <f t="shared" si="32"/>
        <v>1</v>
      </c>
      <c r="C92" s="76">
        <f t="shared" si="30"/>
        <v>1</v>
      </c>
      <c r="G92" s="42">
        <f t="shared" si="27"/>
        <v>45139</v>
      </c>
      <c r="H92" s="43">
        <f t="shared" ca="1" si="26"/>
        <v>5919749</v>
      </c>
      <c r="I92" s="51">
        <f t="shared" si="28"/>
        <v>0</v>
      </c>
      <c r="J92" s="156" t="e">
        <f t="shared" ca="1" si="29"/>
        <v>#DIV/0!</v>
      </c>
    </row>
    <row r="93" spans="1:10" x14ac:dyDescent="0.2">
      <c r="A93" s="100">
        <f t="shared" si="31"/>
        <v>73050</v>
      </c>
      <c r="B93" s="76">
        <f t="shared" si="32"/>
        <v>1</v>
      </c>
      <c r="C93" s="76">
        <f t="shared" si="30"/>
        <v>1</v>
      </c>
      <c r="G93" s="42">
        <f t="shared" si="27"/>
        <v>45108</v>
      </c>
      <c r="H93" s="43">
        <f t="shared" ca="1" si="26"/>
        <v>5238362</v>
      </c>
      <c r="I93" s="51">
        <f t="shared" si="28"/>
        <v>0</v>
      </c>
      <c r="J93" s="156" t="e">
        <f t="shared" ca="1" si="29"/>
        <v>#DIV/0!</v>
      </c>
    </row>
    <row r="94" spans="1:10" x14ac:dyDescent="0.2">
      <c r="A94" s="100">
        <f t="shared" si="31"/>
        <v>73050</v>
      </c>
      <c r="B94" s="76">
        <f t="shared" si="32"/>
        <v>1</v>
      </c>
      <c r="C94" s="76">
        <f t="shared" si="30"/>
        <v>1</v>
      </c>
      <c r="G94" s="42">
        <f t="shared" si="27"/>
        <v>45078</v>
      </c>
      <c r="H94" s="43">
        <f t="shared" ca="1" si="26"/>
        <v>5505064</v>
      </c>
      <c r="I94" s="51">
        <f t="shared" si="28"/>
        <v>0</v>
      </c>
      <c r="J94" s="156" t="e">
        <f t="shared" ca="1" si="29"/>
        <v>#DIV/0!</v>
      </c>
    </row>
    <row r="95" spans="1:10" x14ac:dyDescent="0.2">
      <c r="A95" s="100">
        <f t="shared" si="31"/>
        <v>73050</v>
      </c>
      <c r="B95" s="76">
        <f t="shared" si="32"/>
        <v>1</v>
      </c>
      <c r="C95" s="95">
        <v>1</v>
      </c>
      <c r="G95" s="42">
        <f t="shared" si="27"/>
        <v>45047</v>
      </c>
      <c r="H95" s="155">
        <f>+F15</f>
        <v>5412483.0907180533</v>
      </c>
      <c r="I95" s="157">
        <f t="shared" ref="I95:I102" si="33">+H15/F$36</f>
        <v>0</v>
      </c>
      <c r="J95" s="156" t="e">
        <f t="shared" si="29"/>
        <v>#DIV/0!</v>
      </c>
    </row>
    <row r="96" spans="1:10" x14ac:dyDescent="0.2">
      <c r="G96" s="42">
        <f t="shared" si="27"/>
        <v>45017</v>
      </c>
      <c r="H96" s="155">
        <f t="shared" ref="H96:H102" si="34">+F16</f>
        <v>4838676.1872201031</v>
      </c>
      <c r="I96" s="157">
        <f t="shared" si="33"/>
        <v>0</v>
      </c>
      <c r="J96" s="156" t="e">
        <f t="shared" si="29"/>
        <v>#DIV/0!</v>
      </c>
    </row>
    <row r="97" spans="7:10" x14ac:dyDescent="0.2">
      <c r="G97" s="42">
        <f t="shared" si="27"/>
        <v>44986</v>
      </c>
      <c r="H97" s="155">
        <f t="shared" si="34"/>
        <v>5834981.5740672164</v>
      </c>
      <c r="I97" s="157">
        <f t="shared" si="33"/>
        <v>0</v>
      </c>
      <c r="J97" s="156" t="e">
        <f t="shared" si="29"/>
        <v>#DIV/0!</v>
      </c>
    </row>
    <row r="98" spans="7:10" x14ac:dyDescent="0.2">
      <c r="G98" s="42">
        <f t="shared" si="27"/>
        <v>44958</v>
      </c>
      <c r="H98" s="155">
        <f t="shared" si="34"/>
        <v>4821841.9485111265</v>
      </c>
      <c r="I98" s="157">
        <f t="shared" si="33"/>
        <v>0</v>
      </c>
      <c r="J98" s="156" t="e">
        <f t="shared" si="29"/>
        <v>#DIV/0!</v>
      </c>
    </row>
    <row r="99" spans="7:10" x14ac:dyDescent="0.2">
      <c r="G99" s="42">
        <f t="shared" si="27"/>
        <v>44927</v>
      </c>
      <c r="H99" s="155">
        <f t="shared" si="34"/>
        <v>4620382.2943228586</v>
      </c>
      <c r="I99" s="157">
        <f t="shared" si="33"/>
        <v>0</v>
      </c>
      <c r="J99" s="156" t="e">
        <f t="shared" si="29"/>
        <v>#DIV/0!</v>
      </c>
    </row>
    <row r="100" spans="7:10" x14ac:dyDescent="0.2">
      <c r="G100" s="42">
        <f t="shared" si="27"/>
        <v>44896</v>
      </c>
      <c r="H100" s="155">
        <f t="shared" si="34"/>
        <v>5120495.1487528142</v>
      </c>
      <c r="I100" s="157">
        <f t="shared" si="33"/>
        <v>0</v>
      </c>
      <c r="J100" s="156" t="e">
        <f t="shared" si="29"/>
        <v>#DIV/0!</v>
      </c>
    </row>
    <row r="101" spans="7:10" x14ac:dyDescent="0.2">
      <c r="G101" s="42">
        <f t="shared" si="27"/>
        <v>44866</v>
      </c>
      <c r="H101" s="155">
        <f t="shared" si="34"/>
        <v>5047051.0525426669</v>
      </c>
      <c r="I101" s="157">
        <f t="shared" si="33"/>
        <v>0</v>
      </c>
      <c r="J101" s="156" t="e">
        <f t="shared" si="29"/>
        <v>#DIV/0!</v>
      </c>
    </row>
    <row r="102" spans="7:10" x14ac:dyDescent="0.2">
      <c r="G102" s="42">
        <f t="shared" si="27"/>
        <v>44835</v>
      </c>
      <c r="H102" s="155">
        <f t="shared" si="34"/>
        <v>5346516.4463065388</v>
      </c>
      <c r="I102" s="157">
        <f t="shared" si="33"/>
        <v>0</v>
      </c>
      <c r="J102" s="156" t="e">
        <f t="shared" si="29"/>
        <v>#DIV/0!</v>
      </c>
    </row>
  </sheetData>
  <phoneticPr fontId="0" type="noConversion"/>
  <pageMargins left="0.5" right="0.5" top="0.5" bottom="0.5" header="0.5" footer="0.5"/>
  <pageSetup firstPageNumber="2" orientation="landscape" useFirstPageNumber="1" horizontalDpi="300" verticalDpi="300" r:id="rId1"/>
  <headerFooter alignWithMargins="0">
    <oddFooter>&amp;L&amp;D  &amp;F:  &amp;A    Page &amp;P&amp;CLicensed to ARM by C F Larimer Consulting, LLC</oddFooter>
  </headerFooter>
  <ignoredErrors>
    <ignoredError sqref="A77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PrintBox">
                <anchor moveWithCells="1" sizeWithCells="1">
                  <from>
                    <xdr:col>0</xdr:col>
                    <xdr:colOff>371475</xdr:colOff>
                    <xdr:row>25</xdr:row>
                    <xdr:rowOff>38100</xdr:rowOff>
                  </from>
                  <to>
                    <xdr:col>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utton 5">
              <controlPr defaultSize="0" print="0" autoFill="0" autoPict="0" macro="[0]!PrintBox">
                <anchor moveWithCells="1" sizeWithCells="1">
                  <from>
                    <xdr:col>10</xdr:col>
                    <xdr:colOff>371475</xdr:colOff>
                    <xdr:row>3</xdr:row>
                    <xdr:rowOff>133350</xdr:rowOff>
                  </from>
                  <to>
                    <xdr:col>11</xdr:col>
                    <xdr:colOff>238125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>
    <tabColor indexed="31"/>
  </sheetPr>
  <dimension ref="A1:AF77"/>
  <sheetViews>
    <sheetView workbookViewId="0">
      <selection activeCell="A26" sqref="A26"/>
    </sheetView>
  </sheetViews>
  <sheetFormatPr defaultRowHeight="11.25" x14ac:dyDescent="0.2"/>
  <cols>
    <col min="1" max="1" width="9.5" bestFit="1" customWidth="1"/>
    <col min="2" max="2" width="14.5" customWidth="1"/>
    <col min="3" max="3" width="13.33203125" customWidth="1"/>
    <col min="4" max="4" width="12.33203125" customWidth="1"/>
    <col min="5" max="5" width="12.83203125" customWidth="1"/>
    <col min="6" max="6" width="11.6640625" customWidth="1"/>
    <col min="7" max="7" width="11.83203125" customWidth="1"/>
    <col min="8" max="8" width="12.1640625" customWidth="1"/>
    <col min="9" max="9" width="11.5" customWidth="1"/>
    <col min="11" max="11" width="13.6640625" customWidth="1"/>
    <col min="12" max="12" width="15.5" customWidth="1"/>
    <col min="13" max="13" width="7.33203125" customWidth="1"/>
    <col min="14" max="14" width="6.1640625" customWidth="1"/>
    <col min="19" max="19" width="9.5" bestFit="1" customWidth="1"/>
    <col min="21" max="21" width="9.5" bestFit="1" customWidth="1"/>
    <col min="22" max="22" width="17.33203125" customWidth="1"/>
    <col min="23" max="23" width="15.6640625" customWidth="1"/>
    <col min="24" max="24" width="9.5" bestFit="1" customWidth="1"/>
    <col min="25" max="25" width="10.1640625" bestFit="1" customWidth="1"/>
    <col min="26" max="26" width="17.5" bestFit="1" customWidth="1"/>
    <col min="28" max="28" width="13" customWidth="1"/>
  </cols>
  <sheetData>
    <row r="1" spans="1:32" ht="12.75" x14ac:dyDescent="0.2">
      <c r="A1" s="34" t="str">
        <f>Final!A1</f>
        <v>Allied Pacific (APC Commerical)</v>
      </c>
      <c r="H1" s="7" t="s">
        <v>769</v>
      </c>
      <c r="I1" s="7"/>
      <c r="J1" s="7"/>
      <c r="K1" s="7"/>
      <c r="L1" s="385">
        <v>600</v>
      </c>
      <c r="N1" s="376" t="s">
        <v>760</v>
      </c>
    </row>
    <row r="2" spans="1:32" x14ac:dyDescent="0.2">
      <c r="A2" s="130" t="s">
        <v>707</v>
      </c>
      <c r="H2" s="1" t="s">
        <v>770</v>
      </c>
    </row>
    <row r="3" spans="1:32" x14ac:dyDescent="0.2">
      <c r="H3" t="s">
        <v>672</v>
      </c>
    </row>
    <row r="4" spans="1:32" x14ac:dyDescent="0.2">
      <c r="A4" s="7" t="s">
        <v>301</v>
      </c>
      <c r="B4" s="113">
        <f>Final!$C$3</f>
        <v>45382</v>
      </c>
      <c r="H4" s="7" t="s">
        <v>673</v>
      </c>
      <c r="I4" s="7"/>
      <c r="J4" s="7"/>
      <c r="K4" s="7"/>
      <c r="L4" s="340">
        <v>0.05</v>
      </c>
    </row>
    <row r="5" spans="1:32" x14ac:dyDescent="0.2">
      <c r="H5" s="117" t="s">
        <v>674</v>
      </c>
      <c r="I5" s="10"/>
      <c r="J5" s="10"/>
      <c r="K5" s="10"/>
      <c r="L5" s="341">
        <v>0.7</v>
      </c>
      <c r="V5" s="2" t="s">
        <v>677</v>
      </c>
      <c r="Y5" t="s">
        <v>183</v>
      </c>
    </row>
    <row r="6" spans="1:32" x14ac:dyDescent="0.2">
      <c r="A6" s="2"/>
      <c r="B6" s="2"/>
      <c r="C6" s="2" t="s">
        <v>93</v>
      </c>
      <c r="D6" s="2"/>
      <c r="E6" s="2"/>
      <c r="L6" s="2" t="s">
        <v>182</v>
      </c>
      <c r="V6" s="2" t="s">
        <v>183</v>
      </c>
      <c r="Y6" t="s">
        <v>157</v>
      </c>
      <c r="Z6" s="2"/>
      <c r="AA6" s="2"/>
      <c r="AB6" s="2" t="s">
        <v>83</v>
      </c>
      <c r="AD6" s="3" t="s">
        <v>242</v>
      </c>
    </row>
    <row r="7" spans="1:32" x14ac:dyDescent="0.2">
      <c r="A7" s="2"/>
      <c r="B7" s="2"/>
      <c r="C7" s="2" t="s">
        <v>83</v>
      </c>
      <c r="D7" s="2"/>
      <c r="G7" s="2" t="s">
        <v>81</v>
      </c>
      <c r="H7" s="2" t="s">
        <v>139</v>
      </c>
      <c r="I7" s="2" t="s">
        <v>773</v>
      </c>
      <c r="K7" s="2" t="s">
        <v>182</v>
      </c>
      <c r="L7" s="2" t="s">
        <v>157</v>
      </c>
      <c r="U7" s="2"/>
      <c r="V7" s="2" t="s">
        <v>675</v>
      </c>
      <c r="Y7" t="s">
        <v>670</v>
      </c>
      <c r="Z7" s="2"/>
      <c r="AA7" s="2"/>
      <c r="AB7" s="37" t="s">
        <v>681</v>
      </c>
      <c r="AD7" s="7" t="s">
        <v>682</v>
      </c>
      <c r="AE7" s="7"/>
      <c r="AF7" s="329" t="e">
        <f ca="1">V40</f>
        <v>#DIV/0!</v>
      </c>
    </row>
    <row r="8" spans="1:32" x14ac:dyDescent="0.2">
      <c r="A8" s="2" t="s">
        <v>298</v>
      </c>
      <c r="B8" s="2" t="s">
        <v>109</v>
      </c>
      <c r="C8" s="2" t="s">
        <v>299</v>
      </c>
      <c r="D8" s="37" t="s">
        <v>675</v>
      </c>
      <c r="E8" s="2" t="s">
        <v>189</v>
      </c>
      <c r="F8" s="2"/>
      <c r="G8" s="2" t="s">
        <v>671</v>
      </c>
      <c r="H8" s="2" t="s">
        <v>771</v>
      </c>
      <c r="I8" s="37" t="s">
        <v>139</v>
      </c>
      <c r="K8" s="2" t="s">
        <v>157</v>
      </c>
      <c r="L8" s="2" t="s">
        <v>675</v>
      </c>
      <c r="U8" s="38" t="s">
        <v>41</v>
      </c>
      <c r="V8" s="8" t="s">
        <v>83</v>
      </c>
      <c r="W8" s="17" t="s">
        <v>694</v>
      </c>
      <c r="X8" s="8" t="s">
        <v>205</v>
      </c>
      <c r="Y8" s="8" t="s">
        <v>239</v>
      </c>
      <c r="Z8" s="8" t="s">
        <v>240</v>
      </c>
      <c r="AA8" s="17" t="s">
        <v>678</v>
      </c>
      <c r="AB8" s="17" t="s">
        <v>680</v>
      </c>
      <c r="AD8" s="10" t="s">
        <v>683</v>
      </c>
      <c r="AE8" s="10"/>
      <c r="AF8" s="331" t="e">
        <f ca="1">V41</f>
        <v>#DIV/0!</v>
      </c>
    </row>
    <row r="9" spans="1:32" x14ac:dyDescent="0.2">
      <c r="A9" s="29" t="s">
        <v>95</v>
      </c>
      <c r="B9" s="49">
        <f>Final!$H$10</f>
        <v>45382</v>
      </c>
      <c r="C9" s="49">
        <f>B9</f>
        <v>45382</v>
      </c>
      <c r="D9" s="29" t="s">
        <v>83</v>
      </c>
      <c r="E9" s="29" t="s">
        <v>141</v>
      </c>
      <c r="F9" s="29" t="s">
        <v>78</v>
      </c>
      <c r="G9" s="29" t="s">
        <v>670</v>
      </c>
      <c r="H9" s="29" t="s">
        <v>772</v>
      </c>
      <c r="I9" s="29" t="s">
        <v>670</v>
      </c>
      <c r="K9" s="29" t="s">
        <v>670</v>
      </c>
      <c r="L9" s="29" t="s">
        <v>83</v>
      </c>
      <c r="S9" s="161" t="s">
        <v>676</v>
      </c>
      <c r="AD9" s="10" t="s">
        <v>684</v>
      </c>
      <c r="AE9" s="10"/>
      <c r="AF9" s="337" t="e">
        <f ca="1">CORREL(V13:V27,Y13:Y27)</f>
        <v>#DIV/0!</v>
      </c>
    </row>
    <row r="10" spans="1:32" x14ac:dyDescent="0.2">
      <c r="A10" s="352">
        <f>Final!A117</f>
        <v>45382</v>
      </c>
      <c r="B10" s="62">
        <f ca="1">Final!B117</f>
        <v>0</v>
      </c>
      <c r="C10" s="62">
        <f ca="1">Final!C117</f>
        <v>11137700.655359512</v>
      </c>
      <c r="D10" s="62">
        <f t="shared" ref="D10:D27" ca="1" si="0">SUM(B10:C10)</f>
        <v>11137700.655359512</v>
      </c>
      <c r="E10" s="330">
        <f>+Data!BN8</f>
        <v>0.21553914296864224</v>
      </c>
      <c r="F10" s="342">
        <f>Final!B11</f>
        <v>164912</v>
      </c>
      <c r="G10" s="343">
        <f>Data!AR8</f>
        <v>0</v>
      </c>
      <c r="H10" s="158">
        <f>+L1</f>
        <v>600</v>
      </c>
      <c r="I10" s="386">
        <f>+G10*H10</f>
        <v>0</v>
      </c>
      <c r="J10" s="386"/>
      <c r="K10" s="386">
        <f>+G10*L$1</f>
        <v>0</v>
      </c>
      <c r="L10" s="344" t="str">
        <f>IF(E10&gt;L$5,(1/1+L$4)^(Backlog!S10/12)*D10,"")</f>
        <v/>
      </c>
      <c r="S10" s="7">
        <v>0</v>
      </c>
      <c r="U10" s="121">
        <f>Backlog!A10</f>
        <v>45382</v>
      </c>
      <c r="V10" s="158">
        <f>IF(OR(Backlog!L10="",Backlog!G10=0),0,Backlog!L10)</f>
        <v>0</v>
      </c>
      <c r="W10" s="335">
        <f t="shared" ref="W10:W27" si="1">IF(V10="",0,V10^2)</f>
        <v>0</v>
      </c>
      <c r="X10" s="98">
        <f t="shared" ref="X10:X27" si="2">IF(V10&gt;0,1,0)</f>
        <v>0</v>
      </c>
      <c r="Y10" s="329">
        <f>IF(Backlog!E10&lt;Backlog!L$5,0,Backlog!K10)</f>
        <v>0</v>
      </c>
      <c r="Z10" s="329">
        <f t="shared" ref="Z10:Z27" si="3">Y10^2</f>
        <v>0</v>
      </c>
      <c r="AA10" s="335">
        <f t="shared" ref="AA10:AA27" si="4">Y10*V10</f>
        <v>0</v>
      </c>
      <c r="AB10" s="158">
        <f t="shared" ref="AB10:AB27" si="5">IF(Y10=0,0,AF$7*Y10+AF$8)</f>
        <v>0</v>
      </c>
      <c r="AD10" s="10" t="s">
        <v>685</v>
      </c>
      <c r="AE10" s="10"/>
      <c r="AF10" s="337" t="e">
        <f ca="1">AF9^2</f>
        <v>#DIV/0!</v>
      </c>
    </row>
    <row r="11" spans="1:32" x14ac:dyDescent="0.2">
      <c r="A11" s="352">
        <f>Final!A118</f>
        <v>45351</v>
      </c>
      <c r="B11" s="62">
        <f ca="1">Final!B118</f>
        <v>4295321.2200000053</v>
      </c>
      <c r="C11" s="62">
        <f ca="1">Final!C118</f>
        <v>5393266.8953595115</v>
      </c>
      <c r="D11" s="62">
        <f t="shared" ca="1" si="0"/>
        <v>9688588.1153595168</v>
      </c>
      <c r="E11" s="332">
        <f>+Data!BN9</f>
        <v>0.7322408374727789</v>
      </c>
      <c r="F11" s="345">
        <f>Final!B12</f>
        <v>164591</v>
      </c>
      <c r="G11" s="346">
        <f>Data!AR9</f>
        <v>0</v>
      </c>
      <c r="H11" s="338">
        <f t="shared" ref="H11:H27" si="6">+H10/((1+L$4)^(1/12))</f>
        <v>597.56544441064023</v>
      </c>
      <c r="I11" s="386">
        <f t="shared" ref="I11:I27" si="7">+G11*H11</f>
        <v>0</v>
      </c>
      <c r="J11" s="386"/>
      <c r="K11" s="386">
        <f t="shared" ref="K11:K27" si="8">+G11*L$1</f>
        <v>0</v>
      </c>
      <c r="L11" s="347">
        <f ca="1">IF(E11&gt;L$5,(1/1+L$4)^(Backlog!S11/12)*D11,"")</f>
        <v>9728060.6226302758</v>
      </c>
      <c r="S11" s="10">
        <f t="shared" ref="S11:S27" si="9">S10+1</f>
        <v>1</v>
      </c>
      <c r="U11" s="121">
        <f>Backlog!A11</f>
        <v>45351</v>
      </c>
      <c r="V11" s="158">
        <f ca="1">IF(OR(Backlog!L11="",Backlog!G11=0),0,Backlog!L11)</f>
        <v>0</v>
      </c>
      <c r="W11" s="335">
        <f t="shared" ca="1" si="1"/>
        <v>0</v>
      </c>
      <c r="X11" s="98">
        <f t="shared" ca="1" si="2"/>
        <v>0</v>
      </c>
      <c r="Y11" s="329">
        <f>IF(Backlog!E11&lt;Backlog!L$5,0,Backlog!K11)</f>
        <v>0</v>
      </c>
      <c r="Z11" s="329">
        <f t="shared" si="3"/>
        <v>0</v>
      </c>
      <c r="AA11" s="335">
        <f t="shared" ca="1" si="4"/>
        <v>0</v>
      </c>
      <c r="AB11" s="158">
        <f t="shared" si="5"/>
        <v>0</v>
      </c>
      <c r="AD11" s="10" t="s">
        <v>686</v>
      </c>
      <c r="AE11" s="10"/>
      <c r="AF11" s="331">
        <f>Backlog!G10</f>
        <v>0</v>
      </c>
    </row>
    <row r="12" spans="1:32" x14ac:dyDescent="0.2">
      <c r="A12" s="352">
        <f>Final!A119</f>
        <v>45322</v>
      </c>
      <c r="B12" s="62">
        <f ca="1">Final!B119</f>
        <v>5963486.2499999888</v>
      </c>
      <c r="C12" s="62">
        <f ca="1">Final!C119</f>
        <v>3131600.7753595184</v>
      </c>
      <c r="D12" s="62">
        <f t="shared" ca="1" si="0"/>
        <v>9095087.0253595077</v>
      </c>
      <c r="E12" s="332">
        <f>+Data!BN10</f>
        <v>0.87409588137181282</v>
      </c>
      <c r="F12" s="345">
        <f>Final!B13</f>
        <v>164688</v>
      </c>
      <c r="G12" s="346">
        <f>Data!AR10</f>
        <v>0</v>
      </c>
      <c r="H12" s="338">
        <f t="shared" si="6"/>
        <v>595.14076725614325</v>
      </c>
      <c r="I12" s="386">
        <f t="shared" si="7"/>
        <v>0</v>
      </c>
      <c r="J12" s="386"/>
      <c r="K12" s="386">
        <f t="shared" si="8"/>
        <v>0</v>
      </c>
      <c r="L12" s="347">
        <f ca="1">IF(E12&gt;L$5,(1/1+L$4)^(Backlog!S12/12)*D12,"")</f>
        <v>9169347.0107502099</v>
      </c>
      <c r="S12" s="10">
        <f t="shared" si="9"/>
        <v>2</v>
      </c>
      <c r="U12" s="121">
        <f>Backlog!A12</f>
        <v>45322</v>
      </c>
      <c r="V12" s="158">
        <f ca="1">IF(OR(Backlog!L12="",Backlog!G12=0),0,Backlog!L12)</f>
        <v>0</v>
      </c>
      <c r="W12" s="335">
        <f t="shared" ca="1" si="1"/>
        <v>0</v>
      </c>
      <c r="X12" s="98">
        <f t="shared" ca="1" si="2"/>
        <v>0</v>
      </c>
      <c r="Y12" s="329">
        <f>IF(Backlog!E12&lt;Backlog!L$5,0,Backlog!K12)</f>
        <v>0</v>
      </c>
      <c r="Z12" s="329">
        <f t="shared" si="3"/>
        <v>0</v>
      </c>
      <c r="AA12" s="335">
        <f t="shared" ca="1" si="4"/>
        <v>0</v>
      </c>
      <c r="AB12" s="158">
        <f t="shared" si="5"/>
        <v>0</v>
      </c>
      <c r="AD12" s="10" t="s">
        <v>687</v>
      </c>
      <c r="AE12" s="10"/>
      <c r="AF12" s="338" t="e">
        <f ca="1">AF7*AF11+AF8</f>
        <v>#DIV/0!</v>
      </c>
    </row>
    <row r="13" spans="1:32" x14ac:dyDescent="0.2">
      <c r="A13" s="352">
        <f>Final!A120</f>
        <v>45291</v>
      </c>
      <c r="B13" s="62">
        <f ca="1">Final!B120</f>
        <v>6712663.4799999967</v>
      </c>
      <c r="C13" s="62">
        <f ca="1">Final!C120</f>
        <v>2202967.0453595095</v>
      </c>
      <c r="D13" s="62">
        <f t="shared" ca="1" si="0"/>
        <v>8915630.5253595058</v>
      </c>
      <c r="E13" s="332">
        <f>+Data!BN11</f>
        <v>0.92837614609871677</v>
      </c>
      <c r="F13" s="345">
        <f>Final!B14</f>
        <v>143536</v>
      </c>
      <c r="G13" s="346">
        <f>Data!AR11</f>
        <v>0</v>
      </c>
      <c r="H13" s="338">
        <f t="shared" si="6"/>
        <v>592.7259284538444</v>
      </c>
      <c r="I13" s="386">
        <f t="shared" si="7"/>
        <v>0</v>
      </c>
      <c r="J13" s="386"/>
      <c r="K13" s="386">
        <f t="shared" si="8"/>
        <v>0</v>
      </c>
      <c r="L13" s="347">
        <f ca="1">IF(E13&gt;L$5,(1/1+L$4)^(Backlog!S13/12)*D13,"")</f>
        <v>9025045.2332494166</v>
      </c>
      <c r="S13" s="10">
        <f t="shared" si="9"/>
        <v>3</v>
      </c>
      <c r="U13" s="121">
        <f>Backlog!A13</f>
        <v>45291</v>
      </c>
      <c r="V13" s="158">
        <f ca="1">IF(OR(Backlog!L13="",Backlog!G13=0),0,Backlog!L13)</f>
        <v>0</v>
      </c>
      <c r="W13" s="335">
        <f t="shared" ca="1" si="1"/>
        <v>0</v>
      </c>
      <c r="X13" s="98">
        <f t="shared" ca="1" si="2"/>
        <v>0</v>
      </c>
      <c r="Y13" s="329">
        <f>IF(Backlog!E13&lt;Backlog!L$5,0,Backlog!K13)</f>
        <v>0</v>
      </c>
      <c r="Z13" s="329">
        <f t="shared" si="3"/>
        <v>0</v>
      </c>
      <c r="AA13" s="335">
        <f t="shared" ca="1" si="4"/>
        <v>0</v>
      </c>
      <c r="AB13" s="158">
        <f t="shared" si="5"/>
        <v>0</v>
      </c>
    </row>
    <row r="14" spans="1:32" x14ac:dyDescent="0.2">
      <c r="A14" s="352">
        <f>Final!A121</f>
        <v>45260</v>
      </c>
      <c r="B14" s="62">
        <f ca="1">Final!B121</f>
        <v>7195993.0899999812</v>
      </c>
      <c r="C14" s="62">
        <f ca="1">Final!C121</f>
        <v>1794491.4153595068</v>
      </c>
      <c r="D14" s="62">
        <f t="shared" ca="1" si="0"/>
        <v>8990484.5053594876</v>
      </c>
      <c r="E14" s="332">
        <f>+Data!BN12</f>
        <v>0.94777800665301637</v>
      </c>
      <c r="F14" s="345">
        <f>Final!B15</f>
        <v>142616</v>
      </c>
      <c r="G14" s="346">
        <f>Data!AR12</f>
        <v>0</v>
      </c>
      <c r="H14" s="338">
        <f t="shared" si="6"/>
        <v>590.32088808371816</v>
      </c>
      <c r="I14" s="386">
        <f t="shared" si="7"/>
        <v>0</v>
      </c>
      <c r="J14" s="386"/>
      <c r="K14" s="386">
        <f t="shared" si="8"/>
        <v>0</v>
      </c>
      <c r="L14" s="347">
        <f ca="1">IF(E14&gt;L$5,(1/1+L$4)^(Backlog!S14/12)*D14,"")</f>
        <v>9137895.6972477734</v>
      </c>
      <c r="S14" s="10">
        <f t="shared" si="9"/>
        <v>4</v>
      </c>
      <c r="U14" s="121">
        <f>Backlog!A14</f>
        <v>45260</v>
      </c>
      <c r="V14" s="158">
        <f ca="1">IF(OR(Backlog!L14="",Backlog!G14=0),0,Backlog!L14)</f>
        <v>0</v>
      </c>
      <c r="W14" s="335">
        <f t="shared" ca="1" si="1"/>
        <v>0</v>
      </c>
      <c r="X14" s="98">
        <f t="shared" ca="1" si="2"/>
        <v>0</v>
      </c>
      <c r="Y14" s="329">
        <f>IF(Backlog!E14&lt;Backlog!L$5,0,Backlog!K14)</f>
        <v>0</v>
      </c>
      <c r="Z14" s="329">
        <f t="shared" si="3"/>
        <v>0</v>
      </c>
      <c r="AA14" s="335">
        <f t="shared" ca="1" si="4"/>
        <v>0</v>
      </c>
      <c r="AB14" s="158">
        <f t="shared" si="5"/>
        <v>0</v>
      </c>
    </row>
    <row r="15" spans="1:32" x14ac:dyDescent="0.2">
      <c r="A15" s="352">
        <f>Final!A122</f>
        <v>45230</v>
      </c>
      <c r="B15" s="62">
        <f ca="1">Final!B122</f>
        <v>7424714.5000000075</v>
      </c>
      <c r="C15" s="62">
        <f ca="1">Final!C122</f>
        <v>1480887.6253594873</v>
      </c>
      <c r="D15" s="62">
        <f t="shared" ca="1" si="0"/>
        <v>8905602.1253594942</v>
      </c>
      <c r="E15" s="332">
        <f>+Data!BN13</f>
        <v>0.95685483322655829</v>
      </c>
      <c r="F15" s="345">
        <f>Final!B16</f>
        <v>140994</v>
      </c>
      <c r="G15" s="346">
        <f>Data!AR13</f>
        <v>0</v>
      </c>
      <c r="H15" s="338">
        <f t="shared" si="6"/>
        <v>587.92560638771806</v>
      </c>
      <c r="I15" s="386">
        <f t="shared" si="7"/>
        <v>0</v>
      </c>
      <c r="J15" s="386"/>
      <c r="K15" s="386">
        <f t="shared" si="8"/>
        <v>0</v>
      </c>
      <c r="L15" s="347">
        <f ca="1">IF(E15&gt;L$5,(1/1+L$4)^(Backlog!S15/12)*D15,"")</f>
        <v>9088498.9821176808</v>
      </c>
      <c r="S15" s="10">
        <f t="shared" si="9"/>
        <v>5</v>
      </c>
      <c r="U15" s="121">
        <f>Backlog!A15</f>
        <v>45230</v>
      </c>
      <c r="V15" s="158">
        <f ca="1">IF(OR(Backlog!L15="",Backlog!G15=0),0,Backlog!L15)</f>
        <v>0</v>
      </c>
      <c r="W15" s="335">
        <f t="shared" ca="1" si="1"/>
        <v>0</v>
      </c>
      <c r="X15" s="98">
        <f t="shared" ca="1" si="2"/>
        <v>0</v>
      </c>
      <c r="Y15" s="329">
        <f>IF(Backlog!E15&lt;Backlog!L$5,0,Backlog!K15)</f>
        <v>0</v>
      </c>
      <c r="Z15" s="329">
        <f t="shared" si="3"/>
        <v>0</v>
      </c>
      <c r="AA15" s="335">
        <f t="shared" ca="1" si="4"/>
        <v>0</v>
      </c>
      <c r="AB15" s="158">
        <f t="shared" si="5"/>
        <v>0</v>
      </c>
    </row>
    <row r="16" spans="1:32" x14ac:dyDescent="0.2">
      <c r="A16" s="352">
        <f>Final!A123</f>
        <v>45199</v>
      </c>
      <c r="B16" s="62">
        <f ca="1">Final!B123</f>
        <v>7742430.2399999835</v>
      </c>
      <c r="C16" s="62">
        <f ca="1">Final!C123</f>
        <v>1204988.005359489</v>
      </c>
      <c r="D16" s="62">
        <f t="shared" ca="1" si="0"/>
        <v>8947418.2453594729</v>
      </c>
      <c r="E16" s="332">
        <f>+Data!BN14</f>
        <v>0.96398179238062165</v>
      </c>
      <c r="F16" s="345">
        <f>Final!B17</f>
        <v>138164</v>
      </c>
      <c r="G16" s="346">
        <f>Data!AR14</f>
        <v>0</v>
      </c>
      <c r="H16" s="338">
        <f t="shared" si="6"/>
        <v>585.54004376911985</v>
      </c>
      <c r="I16" s="386">
        <f t="shared" si="7"/>
        <v>0</v>
      </c>
      <c r="J16" s="386"/>
      <c r="K16" s="386">
        <f t="shared" si="8"/>
        <v>0</v>
      </c>
      <c r="L16" s="347">
        <f ca="1">IF(E16&gt;L$5,(1/1+L$4)^(Backlog!S16/12)*D16,"")</f>
        <v>9168375.4242647141</v>
      </c>
      <c r="S16" s="10">
        <f t="shared" si="9"/>
        <v>6</v>
      </c>
      <c r="U16" s="121">
        <f>Backlog!A16</f>
        <v>45199</v>
      </c>
      <c r="V16" s="158">
        <f ca="1">IF(OR(Backlog!L16="",Backlog!G16=0),0,Backlog!L16)</f>
        <v>0</v>
      </c>
      <c r="W16" s="335">
        <f t="shared" ca="1" si="1"/>
        <v>0</v>
      </c>
      <c r="X16" s="98">
        <f t="shared" ca="1" si="2"/>
        <v>0</v>
      </c>
      <c r="Y16" s="329">
        <f>IF(Backlog!E16&lt;Backlog!L$5,0,Backlog!K16)</f>
        <v>0</v>
      </c>
      <c r="Z16" s="329">
        <f t="shared" si="3"/>
        <v>0</v>
      </c>
      <c r="AA16" s="335">
        <f t="shared" ca="1" si="4"/>
        <v>0</v>
      </c>
      <c r="AB16" s="158">
        <f t="shared" si="5"/>
        <v>0</v>
      </c>
    </row>
    <row r="17" spans="1:28" x14ac:dyDescent="0.2">
      <c r="A17" s="352">
        <f>Final!A124</f>
        <v>45169</v>
      </c>
      <c r="B17" s="62">
        <f ca="1">Final!B124</f>
        <v>8217707.1799999904</v>
      </c>
      <c r="C17" s="62">
        <f ca="1">Final!C124</f>
        <v>1007742.1753594824</v>
      </c>
      <c r="D17" s="62">
        <f t="shared" ca="1" si="0"/>
        <v>9225449.3553594723</v>
      </c>
      <c r="E17" s="332">
        <f>+Data!BN15</f>
        <v>0.97132728101712662</v>
      </c>
      <c r="F17" s="345">
        <f>Final!B18</f>
        <v>136843</v>
      </c>
      <c r="G17" s="346">
        <f>Data!AR15</f>
        <v>0</v>
      </c>
      <c r="H17" s="338">
        <f t="shared" si="6"/>
        <v>583.16416079186638</v>
      </c>
      <c r="I17" s="386">
        <f t="shared" si="7"/>
        <v>0</v>
      </c>
      <c r="J17" s="386"/>
      <c r="K17" s="386">
        <f t="shared" si="8"/>
        <v>0</v>
      </c>
      <c r="L17" s="347">
        <f ca="1">IF(E17&gt;L$5,(1/1+L$4)^(Backlog!S17/12)*D17,"")</f>
        <v>9491786.3362855781</v>
      </c>
      <c r="S17" s="10">
        <f t="shared" si="9"/>
        <v>7</v>
      </c>
      <c r="U17" s="121">
        <f>Backlog!A17</f>
        <v>45169</v>
      </c>
      <c r="V17" s="158">
        <f ca="1">IF(OR(Backlog!L17="",Backlog!G17=0),0,Backlog!L17)</f>
        <v>0</v>
      </c>
      <c r="W17" s="335">
        <f t="shared" ca="1" si="1"/>
        <v>0</v>
      </c>
      <c r="X17" s="98">
        <f t="shared" ca="1" si="2"/>
        <v>0</v>
      </c>
      <c r="Y17" s="329">
        <f>IF(Backlog!E17&lt;Backlog!L$5,0,Backlog!K17)</f>
        <v>0</v>
      </c>
      <c r="Z17" s="329">
        <f t="shared" si="3"/>
        <v>0</v>
      </c>
      <c r="AA17" s="335">
        <f t="shared" ca="1" si="4"/>
        <v>0</v>
      </c>
      <c r="AB17" s="158">
        <f t="shared" si="5"/>
        <v>0</v>
      </c>
    </row>
    <row r="18" spans="1:28" x14ac:dyDescent="0.2">
      <c r="A18" s="352">
        <f>Final!A125</f>
        <v>45138</v>
      </c>
      <c r="B18" s="62">
        <f ca="1">Final!B125</f>
        <v>7651037.6499999836</v>
      </c>
      <c r="C18" s="62">
        <f ca="1">Final!C125</f>
        <v>835458.46535946475</v>
      </c>
      <c r="D18" s="62">
        <f t="shared" ca="1" si="0"/>
        <v>8486496.1153594479</v>
      </c>
      <c r="E18" s="332">
        <f>+Data!BN16</f>
        <v>0.97521571083726688</v>
      </c>
      <c r="F18" s="345">
        <f>Final!B19</f>
        <v>136235</v>
      </c>
      <c r="G18" s="346">
        <f>Data!AR16</f>
        <v>0</v>
      </c>
      <c r="H18" s="338">
        <f t="shared" si="6"/>
        <v>580.79791817991611</v>
      </c>
      <c r="I18" s="386">
        <f t="shared" si="7"/>
        <v>0</v>
      </c>
      <c r="J18" s="386"/>
      <c r="K18" s="386">
        <f t="shared" si="8"/>
        <v>0</v>
      </c>
      <c r="L18" s="347">
        <f ca="1">IF(E18&gt;L$5,(1/1+L$4)^(Backlog!S18/12)*D18,"")</f>
        <v>8767072.866191525</v>
      </c>
      <c r="S18" s="10">
        <f t="shared" si="9"/>
        <v>8</v>
      </c>
      <c r="U18" s="121">
        <f>Backlog!A18</f>
        <v>45138</v>
      </c>
      <c r="V18" s="158">
        <f ca="1">IF(OR(Backlog!L18="",Backlog!G18=0),0,Backlog!L18)</f>
        <v>0</v>
      </c>
      <c r="W18" s="335">
        <f t="shared" ca="1" si="1"/>
        <v>0</v>
      </c>
      <c r="X18" s="98">
        <f t="shared" ca="1" si="2"/>
        <v>0</v>
      </c>
      <c r="Y18" s="329">
        <f>IF(Backlog!E18&lt;Backlog!L$5,0,Backlog!K18)</f>
        <v>0</v>
      </c>
      <c r="Z18" s="329">
        <f t="shared" si="3"/>
        <v>0</v>
      </c>
      <c r="AA18" s="335">
        <f t="shared" ca="1" si="4"/>
        <v>0</v>
      </c>
      <c r="AB18" s="158">
        <f t="shared" si="5"/>
        <v>0</v>
      </c>
    </row>
    <row r="19" spans="1:28" x14ac:dyDescent="0.2">
      <c r="A19" s="352">
        <f>Final!A126</f>
        <v>45107</v>
      </c>
      <c r="B19" s="62">
        <f ca="1">Final!B126</f>
        <v>7583951.6999999937</v>
      </c>
      <c r="C19" s="62">
        <f ca="1">Final!C126</f>
        <v>706065.52535945317</v>
      </c>
      <c r="D19" s="62">
        <f t="shared" ca="1" si="0"/>
        <v>8290017.2253594473</v>
      </c>
      <c r="E19" s="332">
        <f>+Data!BN17</f>
        <v>0.97861987373546322</v>
      </c>
      <c r="F19" s="345">
        <f>Final!B20</f>
        <v>135415</v>
      </c>
      <c r="G19" s="346">
        <f>Data!AR17</f>
        <v>0</v>
      </c>
      <c r="H19" s="338">
        <f t="shared" si="6"/>
        <v>578.4412768165937</v>
      </c>
      <c r="I19" s="386">
        <f t="shared" si="7"/>
        <v>0</v>
      </c>
      <c r="J19" s="386"/>
      <c r="K19" s="386">
        <f t="shared" si="8"/>
        <v>0</v>
      </c>
      <c r="L19" s="347">
        <f ca="1">IF(E19&gt;L$5,(1/1+L$4)^(Backlog!S19/12)*D19,"")</f>
        <v>8598989.2743991986</v>
      </c>
      <c r="S19" s="10">
        <f t="shared" si="9"/>
        <v>9</v>
      </c>
      <c r="U19" s="121">
        <f>Backlog!A19</f>
        <v>45107</v>
      </c>
      <c r="V19" s="158">
        <f ca="1">IF(OR(Backlog!L19="",Backlog!G19=0),0,Backlog!L19)</f>
        <v>0</v>
      </c>
      <c r="W19" s="335">
        <f t="shared" ca="1" si="1"/>
        <v>0</v>
      </c>
      <c r="X19" s="98">
        <f t="shared" ca="1" si="2"/>
        <v>0</v>
      </c>
      <c r="Y19" s="329">
        <f>IF(Backlog!E19&lt;Backlog!L$5,0,Backlog!K19)</f>
        <v>0</v>
      </c>
      <c r="Z19" s="329">
        <f t="shared" si="3"/>
        <v>0</v>
      </c>
      <c r="AA19" s="335">
        <f t="shared" ca="1" si="4"/>
        <v>0</v>
      </c>
      <c r="AB19" s="158">
        <f t="shared" si="5"/>
        <v>0</v>
      </c>
    </row>
    <row r="20" spans="1:28" x14ac:dyDescent="0.2">
      <c r="A20" s="352">
        <f>Final!A127</f>
        <v>45077</v>
      </c>
      <c r="B20" s="62">
        <f ca="1">Final!B127</f>
        <v>7317055.3799999971</v>
      </c>
      <c r="C20" s="62">
        <f ca="1">Final!C127</f>
        <v>587459.82535943994</v>
      </c>
      <c r="D20" s="62">
        <f t="shared" ca="1" si="0"/>
        <v>7904515.2053594366</v>
      </c>
      <c r="E20" s="332">
        <f>+Data!BN18</f>
        <v>0.98217546750704832</v>
      </c>
      <c r="F20" s="345">
        <f>Final!B21</f>
        <v>134465</v>
      </c>
      <c r="G20" s="346">
        <f>Data!AR18</f>
        <v>0</v>
      </c>
      <c r="H20" s="338">
        <f t="shared" si="6"/>
        <v>576.09419774394325</v>
      </c>
      <c r="I20" s="386">
        <f t="shared" si="7"/>
        <v>0</v>
      </c>
      <c r="J20" s="386"/>
      <c r="K20" s="386">
        <f t="shared" si="8"/>
        <v>0</v>
      </c>
      <c r="L20" s="347">
        <f ca="1">IF(E20&gt;L$5,(1/1+L$4)^(Backlog!S20/12)*D20,"")</f>
        <v>8232523.6771845669</v>
      </c>
      <c r="S20" s="10">
        <f t="shared" si="9"/>
        <v>10</v>
      </c>
      <c r="U20" s="121">
        <f>Backlog!A20</f>
        <v>45077</v>
      </c>
      <c r="V20" s="158">
        <f ca="1">IF(OR(Backlog!L20="",Backlog!G20=0),0,Backlog!L20)</f>
        <v>0</v>
      </c>
      <c r="W20" s="335">
        <f t="shared" ca="1" si="1"/>
        <v>0</v>
      </c>
      <c r="X20" s="98">
        <f t="shared" ca="1" si="2"/>
        <v>0</v>
      </c>
      <c r="Y20" s="329">
        <f>IF(Backlog!E20&lt;Backlog!L$5,0,Backlog!K20)</f>
        <v>0</v>
      </c>
      <c r="Z20" s="329">
        <f t="shared" si="3"/>
        <v>0</v>
      </c>
      <c r="AA20" s="335">
        <f t="shared" ca="1" si="4"/>
        <v>0</v>
      </c>
      <c r="AB20" s="158">
        <f t="shared" si="5"/>
        <v>0</v>
      </c>
    </row>
    <row r="21" spans="1:28" x14ac:dyDescent="0.2">
      <c r="A21" s="352">
        <f>Final!A128</f>
        <v>45046</v>
      </c>
      <c r="B21" s="62">
        <f ca="1">Final!B128</f>
        <v>7270526.4799999781</v>
      </c>
      <c r="C21" s="62">
        <f ca="1">Final!C128</f>
        <v>490984.93535943748</v>
      </c>
      <c r="D21" s="62">
        <f t="shared" ca="1" si="0"/>
        <v>7761511.4153594151</v>
      </c>
      <c r="E21" s="332">
        <f>+Data!BN19</f>
        <v>0.98447441318381057</v>
      </c>
      <c r="F21" s="345">
        <f>Final!B22</f>
        <v>134470</v>
      </c>
      <c r="G21" s="346">
        <f>Data!AR19</f>
        <v>0</v>
      </c>
      <c r="H21" s="338">
        <f t="shared" si="6"/>
        <v>573.75664216208452</v>
      </c>
      <c r="I21" s="386">
        <f t="shared" si="7"/>
        <v>0</v>
      </c>
      <c r="J21" s="386"/>
      <c r="K21" s="386">
        <f t="shared" si="8"/>
        <v>0</v>
      </c>
      <c r="L21" s="347">
        <f ca="1">IF(E21&gt;L$5,(1/1+L$4)^(Backlog!S21/12)*D21,"")</f>
        <v>8116519.2818806367</v>
      </c>
      <c r="S21" s="10">
        <f t="shared" si="9"/>
        <v>11</v>
      </c>
      <c r="U21" s="121">
        <f>Backlog!A21</f>
        <v>45046</v>
      </c>
      <c r="V21" s="158">
        <f ca="1">IF(OR(Backlog!L21="",Backlog!G21=0),0,Backlog!L21)</f>
        <v>0</v>
      </c>
      <c r="W21" s="335">
        <f t="shared" ca="1" si="1"/>
        <v>0</v>
      </c>
      <c r="X21" s="98">
        <f t="shared" ca="1" si="2"/>
        <v>0</v>
      </c>
      <c r="Y21" s="329">
        <f>IF(Backlog!E21&lt;Backlog!L$5,0,Backlog!K21)</f>
        <v>0</v>
      </c>
      <c r="Z21" s="329">
        <f t="shared" si="3"/>
        <v>0</v>
      </c>
      <c r="AA21" s="335">
        <f t="shared" ca="1" si="4"/>
        <v>0</v>
      </c>
      <c r="AB21" s="158">
        <f t="shared" si="5"/>
        <v>0</v>
      </c>
    </row>
    <row r="22" spans="1:28" x14ac:dyDescent="0.2">
      <c r="A22" s="352">
        <f>Final!A129</f>
        <v>45016</v>
      </c>
      <c r="B22" s="62">
        <f ca="1">Final!B129</f>
        <v>6706181.72999998</v>
      </c>
      <c r="C22" s="62">
        <f ca="1">Final!C129</f>
        <v>415861.83535942668</v>
      </c>
      <c r="D22" s="62">
        <f t="shared" ca="1" si="0"/>
        <v>7122043.5653594062</v>
      </c>
      <c r="E22" s="332">
        <f>+Data!BN20</f>
        <v>0.98743498618863002</v>
      </c>
      <c r="F22" s="345">
        <f>Final!B23</f>
        <v>134844</v>
      </c>
      <c r="G22" s="346">
        <f>Data!AR20</f>
        <v>0</v>
      </c>
      <c r="H22" s="338">
        <f t="shared" si="6"/>
        <v>571.42857142857122</v>
      </c>
      <c r="I22" s="386">
        <f t="shared" si="7"/>
        <v>0</v>
      </c>
      <c r="J22" s="386"/>
      <c r="K22" s="386">
        <f t="shared" si="8"/>
        <v>0</v>
      </c>
      <c r="L22" s="347">
        <f ca="1">IF(E22&gt;L$5,(1/1+L$4)^(Backlog!S22/12)*D22,"")</f>
        <v>7478145.7436273769</v>
      </c>
      <c r="S22" s="10">
        <f t="shared" si="9"/>
        <v>12</v>
      </c>
      <c r="U22" s="121">
        <f>Backlog!A22</f>
        <v>45016</v>
      </c>
      <c r="V22" s="158">
        <f ca="1">IF(OR(Backlog!L22="",Backlog!G22=0),0,Backlog!L22)</f>
        <v>0</v>
      </c>
      <c r="W22" s="335">
        <f t="shared" ca="1" si="1"/>
        <v>0</v>
      </c>
      <c r="X22" s="98">
        <f t="shared" ca="1" si="2"/>
        <v>0</v>
      </c>
      <c r="Y22" s="329">
        <f>IF(Backlog!E22&lt;Backlog!L$5,0,Backlog!K22)</f>
        <v>0</v>
      </c>
      <c r="Z22" s="329">
        <f t="shared" si="3"/>
        <v>0</v>
      </c>
      <c r="AA22" s="335">
        <f t="shared" ca="1" si="4"/>
        <v>0</v>
      </c>
      <c r="AB22" s="158">
        <f t="shared" si="5"/>
        <v>0</v>
      </c>
    </row>
    <row r="23" spans="1:28" x14ac:dyDescent="0.2">
      <c r="A23" s="352">
        <f>Final!A130</f>
        <v>44985</v>
      </c>
      <c r="B23" s="62">
        <f ca="1">Final!B130</f>
        <v>6724581.9799999762</v>
      </c>
      <c r="C23" s="62">
        <f ca="1">Final!C130</f>
        <v>342545.21129218256</v>
      </c>
      <c r="D23" s="62">
        <f t="shared" ca="1" si="0"/>
        <v>7067127.1912921593</v>
      </c>
      <c r="E23" s="332">
        <f>+Data!BN21</f>
        <v>0.98959360778579009</v>
      </c>
      <c r="F23" s="345">
        <f>Final!B24</f>
        <v>135481</v>
      </c>
      <c r="G23" s="346">
        <f>Data!AR21</f>
        <v>0</v>
      </c>
      <c r="H23" s="338">
        <f t="shared" si="6"/>
        <v>569.10994705775238</v>
      </c>
      <c r="I23" s="386">
        <f t="shared" si="7"/>
        <v>0</v>
      </c>
      <c r="J23" s="386"/>
      <c r="K23" s="386">
        <f t="shared" si="8"/>
        <v>0</v>
      </c>
      <c r="L23" s="347">
        <f ca="1">IF(E23&gt;L$5,(1/1+L$4)^(Backlog!S23/12)*D23,"")</f>
        <v>7450715.5193774849</v>
      </c>
      <c r="S23" s="10">
        <f t="shared" si="9"/>
        <v>13</v>
      </c>
      <c r="U23" s="121">
        <f>Backlog!A23</f>
        <v>44985</v>
      </c>
      <c r="V23" s="158">
        <f ca="1">IF(OR(Backlog!L23="",Backlog!G23=0),0,Backlog!L23)</f>
        <v>0</v>
      </c>
      <c r="W23" s="335">
        <f t="shared" ca="1" si="1"/>
        <v>0</v>
      </c>
      <c r="X23" s="98">
        <f t="shared" ca="1" si="2"/>
        <v>0</v>
      </c>
      <c r="Y23" s="329">
        <f>IF(Backlog!E23&lt;Backlog!L$5,0,Backlog!K23)</f>
        <v>0</v>
      </c>
      <c r="Z23" s="329">
        <f t="shared" si="3"/>
        <v>0</v>
      </c>
      <c r="AA23" s="335">
        <f t="shared" ca="1" si="4"/>
        <v>0</v>
      </c>
      <c r="AB23" s="158">
        <f t="shared" si="5"/>
        <v>0</v>
      </c>
    </row>
    <row r="24" spans="1:28" x14ac:dyDescent="0.2">
      <c r="A24" s="352">
        <f>Final!A131</f>
        <v>44957</v>
      </c>
      <c r="B24" s="62">
        <f ca="1">Final!B131</f>
        <v>6539258.4399999753</v>
      </c>
      <c r="C24" s="62">
        <f ca="1">Final!C131</f>
        <v>292367.2327810456</v>
      </c>
      <c r="D24" s="62">
        <f t="shared" ca="1" si="0"/>
        <v>6831625.6727810204</v>
      </c>
      <c r="E24" s="332">
        <f>+Data!BN22</f>
        <v>0.99092526296484351</v>
      </c>
      <c r="F24" s="345">
        <f>Final!B25</f>
        <v>134089</v>
      </c>
      <c r="G24" s="346">
        <f>Data!AR22</f>
        <v>0</v>
      </c>
      <c r="H24" s="338">
        <f t="shared" si="6"/>
        <v>566.80073072013624</v>
      </c>
      <c r="I24" s="386">
        <f t="shared" si="7"/>
        <v>0</v>
      </c>
      <c r="J24" s="386"/>
      <c r="K24" s="386">
        <f t="shared" si="8"/>
        <v>0</v>
      </c>
      <c r="L24" s="347">
        <f ca="1">IF(E24&gt;L$5,(1/1+L$4)^(Backlog!S24/12)*D24,"")</f>
        <v>7231775.0869176676</v>
      </c>
      <c r="S24" s="10">
        <f t="shared" si="9"/>
        <v>14</v>
      </c>
      <c r="U24" s="121">
        <f>Backlog!A24</f>
        <v>44957</v>
      </c>
      <c r="V24" s="158">
        <f ca="1">IF(OR(Backlog!L24="",Backlog!G24=0),0,Backlog!L24)</f>
        <v>0</v>
      </c>
      <c r="W24" s="335">
        <f t="shared" ca="1" si="1"/>
        <v>0</v>
      </c>
      <c r="X24" s="98">
        <f t="shared" ca="1" si="2"/>
        <v>0</v>
      </c>
      <c r="Y24" s="329">
        <f>IF(Backlog!E24&lt;Backlog!L$5,0,Backlog!K24)</f>
        <v>0</v>
      </c>
      <c r="Z24" s="329">
        <f t="shared" si="3"/>
        <v>0</v>
      </c>
      <c r="AA24" s="335">
        <f t="shared" ca="1" si="4"/>
        <v>0</v>
      </c>
      <c r="AB24" s="158">
        <f t="shared" si="5"/>
        <v>0</v>
      </c>
    </row>
    <row r="25" spans="1:28" x14ac:dyDescent="0.2">
      <c r="A25" s="352">
        <f>Final!A132</f>
        <v>44926</v>
      </c>
      <c r="B25" s="62">
        <f ca="1">Final!B132</f>
        <v>7092482.2100000009</v>
      </c>
      <c r="C25" s="62">
        <f ca="1">Final!C132</f>
        <v>250438.47845817311</v>
      </c>
      <c r="D25" s="62">
        <f t="shared" ca="1" si="0"/>
        <v>7342920.6884581745</v>
      </c>
      <c r="E25" s="332">
        <f>+Data!BN23</f>
        <v>0.99246409817179737</v>
      </c>
      <c r="F25" s="345">
        <f>Final!B26</f>
        <v>128156</v>
      </c>
      <c r="G25" s="346">
        <f>Data!AR23</f>
        <v>0</v>
      </c>
      <c r="H25" s="338">
        <f t="shared" si="6"/>
        <v>564.50088424175635</v>
      </c>
      <c r="I25" s="386">
        <f t="shared" si="7"/>
        <v>0</v>
      </c>
      <c r="J25" s="386"/>
      <c r="K25" s="386">
        <f t="shared" si="8"/>
        <v>0</v>
      </c>
      <c r="L25" s="347">
        <f ca="1">IF(E25&gt;L$5,(1/1+L$4)^(Backlog!S25/12)*D25,"")</f>
        <v>7804686.4691678146</v>
      </c>
      <c r="S25" s="10">
        <f t="shared" si="9"/>
        <v>15</v>
      </c>
      <c r="U25" s="121">
        <f>Backlog!A25</f>
        <v>44926</v>
      </c>
      <c r="V25" s="158">
        <f ca="1">IF(OR(Backlog!L25="",Backlog!G25=0),0,Backlog!L25)</f>
        <v>0</v>
      </c>
      <c r="W25" s="335">
        <f t="shared" ca="1" si="1"/>
        <v>0</v>
      </c>
      <c r="X25" s="98">
        <f t="shared" ca="1" si="2"/>
        <v>0</v>
      </c>
      <c r="Y25" s="329">
        <f>IF(Backlog!E25&lt;Backlog!L$5,0,Backlog!K25)</f>
        <v>0</v>
      </c>
      <c r="Z25" s="335">
        <f t="shared" si="3"/>
        <v>0</v>
      </c>
      <c r="AA25" s="335">
        <f t="shared" ca="1" si="4"/>
        <v>0</v>
      </c>
      <c r="AB25" s="158">
        <f t="shared" si="5"/>
        <v>0</v>
      </c>
    </row>
    <row r="26" spans="1:28" x14ac:dyDescent="0.2">
      <c r="A26" s="352">
        <f>Final!A133</f>
        <v>44895</v>
      </c>
      <c r="B26" s="62">
        <f ca="1">Final!B133</f>
        <v>7819685.1700000148</v>
      </c>
      <c r="C26" s="62">
        <f ca="1">Final!C133</f>
        <v>211850.92970538372</v>
      </c>
      <c r="D26" s="62">
        <f t="shared" ca="1" si="0"/>
        <v>8031536.0997053981</v>
      </c>
      <c r="E26" s="332">
        <f>+Data!BN24</f>
        <v>0.99302190087320263</v>
      </c>
      <c r="F26" s="345">
        <f>Final!B27</f>
        <v>128447</v>
      </c>
      <c r="G26" s="346">
        <f>Data!AR24</f>
        <v>0</v>
      </c>
      <c r="H26" s="338">
        <f t="shared" si="6"/>
        <v>562.21036960354081</v>
      </c>
      <c r="I26" s="386">
        <f t="shared" si="7"/>
        <v>0</v>
      </c>
      <c r="J26" s="386"/>
      <c r="K26" s="386">
        <f t="shared" si="8"/>
        <v>0</v>
      </c>
      <c r="L26" s="347">
        <f ca="1">IF(E26&gt;L$5,(1/1+L$4)^(Backlog!S26/12)*D26,"")</f>
        <v>8571385.2329359222</v>
      </c>
      <c r="S26" s="10">
        <f t="shared" si="9"/>
        <v>16</v>
      </c>
      <c r="U26" s="121">
        <f>Backlog!A26</f>
        <v>44895</v>
      </c>
      <c r="V26" s="158">
        <f ca="1">IF(OR(Backlog!L26="",Backlog!G26=0),0,Backlog!L26)</f>
        <v>0</v>
      </c>
      <c r="W26" s="335">
        <f t="shared" ca="1" si="1"/>
        <v>0</v>
      </c>
      <c r="X26" s="98">
        <f t="shared" ca="1" si="2"/>
        <v>0</v>
      </c>
      <c r="Y26" s="329">
        <f>IF(Backlog!E26&lt;Backlog!L$5,0,Backlog!K26)</f>
        <v>0</v>
      </c>
      <c r="Z26" s="335">
        <f t="shared" si="3"/>
        <v>0</v>
      </c>
      <c r="AA26" s="335">
        <f t="shared" ca="1" si="4"/>
        <v>0</v>
      </c>
      <c r="AB26" s="158">
        <f t="shared" si="5"/>
        <v>0</v>
      </c>
    </row>
    <row r="27" spans="1:28" x14ac:dyDescent="0.2">
      <c r="A27" s="352">
        <f>Final!A134</f>
        <v>44865</v>
      </c>
      <c r="B27" s="62">
        <f ca="1">Final!B134</f>
        <v>7673367.1100000087</v>
      </c>
      <c r="C27" s="62">
        <f ca="1">Final!C134</f>
        <v>176632.10716273403</v>
      </c>
      <c r="D27" s="62">
        <f t="shared" ca="1" si="0"/>
        <v>7849999.2171627432</v>
      </c>
      <c r="E27" s="332">
        <f>+Data!BN25</f>
        <v>0.99398298188557066</v>
      </c>
      <c r="F27" s="345">
        <f>Final!B28</f>
        <v>128887</v>
      </c>
      <c r="G27" s="346">
        <f>Data!AR25</f>
        <v>0</v>
      </c>
      <c r="H27" s="338">
        <f t="shared" si="6"/>
        <v>559.9291489406836</v>
      </c>
      <c r="I27" s="386">
        <f t="shared" si="7"/>
        <v>0</v>
      </c>
      <c r="J27" s="386"/>
      <c r="K27" s="386">
        <f t="shared" si="8"/>
        <v>0</v>
      </c>
      <c r="L27" s="347">
        <f ca="1">IF(E27&gt;L$5,(1/1+L$4)^(Backlog!S27/12)*D27,"")</f>
        <v>8411777.7029618435</v>
      </c>
      <c r="S27" s="10">
        <f t="shared" si="9"/>
        <v>17</v>
      </c>
      <c r="U27" s="121">
        <f>Backlog!A27</f>
        <v>44865</v>
      </c>
      <c r="V27" s="158">
        <f ca="1">IF(OR(Backlog!L27="",Backlog!G27=0),0,Backlog!L27)</f>
        <v>0</v>
      </c>
      <c r="W27" s="335">
        <f t="shared" ca="1" si="1"/>
        <v>0</v>
      </c>
      <c r="X27" s="98">
        <f t="shared" ca="1" si="2"/>
        <v>0</v>
      </c>
      <c r="Y27" s="329">
        <f>IF(Backlog!E27&lt;Backlog!L$5,0,Backlog!K27)</f>
        <v>0</v>
      </c>
      <c r="Z27" s="335">
        <f t="shared" si="3"/>
        <v>0</v>
      </c>
      <c r="AA27" s="335">
        <f t="shared" ca="1" si="4"/>
        <v>0</v>
      </c>
      <c r="AB27" s="158">
        <f t="shared" si="5"/>
        <v>0</v>
      </c>
    </row>
    <row r="28" spans="1:28" x14ac:dyDescent="0.2">
      <c r="E28" s="47"/>
      <c r="K28" s="47"/>
      <c r="L28" s="154"/>
      <c r="U28" s="121" t="s">
        <v>86</v>
      </c>
      <c r="V28" s="158">
        <f t="shared" ref="V28:AA28" ca="1" si="10">SUM(V10:V27)</f>
        <v>0</v>
      </c>
      <c r="W28" s="335">
        <f t="shared" ca="1" si="10"/>
        <v>0</v>
      </c>
      <c r="X28" s="98">
        <f t="shared" ca="1" si="10"/>
        <v>0</v>
      </c>
      <c r="Y28" s="329">
        <f t="shared" si="10"/>
        <v>0</v>
      </c>
      <c r="Z28" s="335">
        <f t="shared" si="10"/>
        <v>0</v>
      </c>
      <c r="AA28" s="335">
        <f t="shared" ca="1" si="10"/>
        <v>0</v>
      </c>
      <c r="AB28" s="66"/>
    </row>
    <row r="29" spans="1:28" x14ac:dyDescent="0.2">
      <c r="A29" s="1" t="s">
        <v>706</v>
      </c>
      <c r="E29" s="47"/>
      <c r="L29" s="154"/>
      <c r="U29" s="7" t="s">
        <v>176</v>
      </c>
      <c r="V29" s="158" t="e">
        <f ca="1">+V28/X28</f>
        <v>#DIV/0!</v>
      </c>
      <c r="W29" s="335" t="e">
        <f ca="1">W28/X28</f>
        <v>#DIV/0!</v>
      </c>
      <c r="X29" s="7"/>
      <c r="Y29" s="329" t="e">
        <f ca="1">+Y28/X28</f>
        <v>#DIV/0!</v>
      </c>
      <c r="Z29" s="329" t="e">
        <f ca="1">+Z28/X28</f>
        <v>#DIV/0!</v>
      </c>
      <c r="AA29" s="335" t="e">
        <f ca="1">+AA28/X28</f>
        <v>#DIV/0!</v>
      </c>
    </row>
    <row r="30" spans="1:28" x14ac:dyDescent="0.2">
      <c r="A30" t="s">
        <v>710</v>
      </c>
      <c r="Z30" s="336"/>
    </row>
    <row r="31" spans="1:28" x14ac:dyDescent="0.2">
      <c r="A31" s="7" t="s">
        <v>705</v>
      </c>
      <c r="B31" s="7"/>
      <c r="C31" s="7"/>
      <c r="D31" s="314" t="e">
        <f ca="1">Backlog!V46</f>
        <v>#DIV/0!</v>
      </c>
      <c r="U31" s="3" t="s">
        <v>242</v>
      </c>
      <c r="Z31" s="336"/>
    </row>
    <row r="32" spans="1:28" x14ac:dyDescent="0.2">
      <c r="A32" s="10" t="s">
        <v>685</v>
      </c>
      <c r="B32" s="10"/>
      <c r="C32" s="10"/>
      <c r="D32" s="348" t="e">
        <f ca="1">D31^2</f>
        <v>#DIV/0!</v>
      </c>
      <c r="U32" s="7" t="s">
        <v>205</v>
      </c>
      <c r="V32" s="7">
        <f ca="1">X28</f>
        <v>0</v>
      </c>
    </row>
    <row r="33" spans="1:27" x14ac:dyDescent="0.2">
      <c r="D33" s="47"/>
      <c r="U33" s="117" t="s">
        <v>524</v>
      </c>
      <c r="V33" s="331" t="e">
        <f ca="1">+AA29</f>
        <v>#DIV/0!</v>
      </c>
      <c r="X33" t="s">
        <v>243</v>
      </c>
    </row>
    <row r="34" spans="1:27" x14ac:dyDescent="0.2">
      <c r="A34" s="1" t="s">
        <v>708</v>
      </c>
      <c r="D34" s="47"/>
      <c r="U34" s="334" t="s">
        <v>245</v>
      </c>
      <c r="V34" s="331" t="e">
        <f ca="1">+Y29</f>
        <v>#DIV/0!</v>
      </c>
      <c r="X34" t="s">
        <v>244</v>
      </c>
    </row>
    <row r="35" spans="1:27" x14ac:dyDescent="0.2">
      <c r="A35" t="s">
        <v>711</v>
      </c>
      <c r="U35" s="334" t="s">
        <v>679</v>
      </c>
      <c r="V35" s="331" t="e">
        <f ca="1">V29</f>
        <v>#DIV/0!</v>
      </c>
    </row>
    <row r="36" spans="1:27" x14ac:dyDescent="0.2">
      <c r="A36" s="7" t="s">
        <v>247</v>
      </c>
      <c r="B36" s="7"/>
      <c r="C36" s="7"/>
      <c r="D36" s="350" t="e">
        <f ca="1">Backlog!AF7</f>
        <v>#DIV/0!</v>
      </c>
      <c r="U36" s="117" t="s">
        <v>257</v>
      </c>
      <c r="V36" s="331" t="e">
        <f ca="1">+Z29</f>
        <v>#DIV/0!</v>
      </c>
    </row>
    <row r="37" spans="1:27" x14ac:dyDescent="0.2">
      <c r="A37" s="10" t="s">
        <v>248</v>
      </c>
      <c r="B37" s="10"/>
      <c r="C37" s="10"/>
      <c r="D37" s="347" t="e">
        <f ca="1">Backlog!AF8</f>
        <v>#DIV/0!</v>
      </c>
      <c r="U37" s="334" t="s">
        <v>246</v>
      </c>
      <c r="V37" s="331" t="e">
        <f ca="1">V34^2</f>
        <v>#DIV/0!</v>
      </c>
    </row>
    <row r="38" spans="1:27" x14ac:dyDescent="0.2">
      <c r="U38" s="117" t="s">
        <v>691</v>
      </c>
      <c r="V38" s="335" t="e">
        <f ca="1">SUMPRODUCT(V10:V27,V10:V27)/V32</f>
        <v>#DIV/0!</v>
      </c>
    </row>
    <row r="39" spans="1:27" x14ac:dyDescent="0.2">
      <c r="A39" t="s">
        <v>695</v>
      </c>
      <c r="F39" s="47"/>
      <c r="U39" s="117" t="s">
        <v>692</v>
      </c>
      <c r="V39" s="335" t="e">
        <f ca="1">V35^2</f>
        <v>#DIV/0!</v>
      </c>
    </row>
    <row r="40" spans="1:27" x14ac:dyDescent="0.2">
      <c r="A40" s="7" t="s">
        <v>696</v>
      </c>
      <c r="B40" s="7"/>
      <c r="C40" s="351">
        <f>A10</f>
        <v>45382</v>
      </c>
      <c r="D40" s="343">
        <f>+I10</f>
        <v>0</v>
      </c>
      <c r="U40" s="334" t="s">
        <v>247</v>
      </c>
      <c r="V40" s="331" t="e">
        <f ca="1">(V33-V35*V34)/(V36-V37)</f>
        <v>#DIV/0!</v>
      </c>
    </row>
    <row r="41" spans="1:27" x14ac:dyDescent="0.2">
      <c r="A41" s="10" t="s">
        <v>697</v>
      </c>
      <c r="B41" s="10"/>
      <c r="C41" s="10"/>
      <c r="D41" s="349" t="e">
        <f ca="1">D36</f>
        <v>#DIV/0!</v>
      </c>
      <c r="U41" s="334" t="s">
        <v>248</v>
      </c>
      <c r="V41" s="331" t="e">
        <f ca="1">V35-V40*V34</f>
        <v>#DIV/0!</v>
      </c>
    </row>
    <row r="42" spans="1:27" x14ac:dyDescent="0.2">
      <c r="A42" s="10" t="s">
        <v>698</v>
      </c>
      <c r="B42" s="10"/>
      <c r="C42" s="10"/>
      <c r="D42" s="347" t="e">
        <f ca="1">D37</f>
        <v>#DIV/0!</v>
      </c>
    </row>
    <row r="43" spans="1:27" x14ac:dyDescent="0.2">
      <c r="A43" s="10" t="s">
        <v>699</v>
      </c>
      <c r="B43" s="10"/>
      <c r="C43" s="10"/>
      <c r="D43" s="347" t="e">
        <f ca="1">D40*D41+D42</f>
        <v>#DIV/0!</v>
      </c>
      <c r="U43" s="288" t="s">
        <v>688</v>
      </c>
      <c r="V43" s="329" t="e">
        <f ca="1">V33-V34*V35</f>
        <v>#DIV/0!</v>
      </c>
    </row>
    <row r="44" spans="1:27" x14ac:dyDescent="0.2">
      <c r="D44" s="47"/>
      <c r="U44" s="334" t="s">
        <v>689</v>
      </c>
      <c r="V44" s="331" t="e">
        <f ca="1">V36-V37</f>
        <v>#DIV/0!</v>
      </c>
      <c r="AA44" s="66"/>
    </row>
    <row r="45" spans="1:27" x14ac:dyDescent="0.2">
      <c r="A45" t="s">
        <v>700</v>
      </c>
      <c r="D45" s="47"/>
      <c r="U45" s="334" t="s">
        <v>690</v>
      </c>
      <c r="V45" s="339" t="e">
        <f ca="1">V38-V39</f>
        <v>#DIV/0!</v>
      </c>
      <c r="AA45" s="66"/>
    </row>
    <row r="46" spans="1:27" x14ac:dyDescent="0.2">
      <c r="A46" s="7" t="s">
        <v>701</v>
      </c>
      <c r="B46" s="7"/>
      <c r="C46" s="7"/>
      <c r="D46" s="342">
        <f>F10</f>
        <v>164912</v>
      </c>
      <c r="U46" s="10" t="s">
        <v>693</v>
      </c>
      <c r="V46" s="337" t="e">
        <f ca="1">V43/SQRT(V44*V45)</f>
        <v>#DIV/0!</v>
      </c>
      <c r="AA46" s="66"/>
    </row>
    <row r="47" spans="1:27" x14ac:dyDescent="0.2">
      <c r="A47" s="10" t="s">
        <v>702</v>
      </c>
      <c r="B47" s="10"/>
      <c r="C47" s="10"/>
      <c r="D47" s="345">
        <f>F12</f>
        <v>164688</v>
      </c>
    </row>
    <row r="48" spans="1:27" x14ac:dyDescent="0.2">
      <c r="A48" s="10" t="s">
        <v>703</v>
      </c>
      <c r="B48" s="10"/>
      <c r="C48" s="10"/>
      <c r="D48" s="348">
        <f>D46/D47</f>
        <v>1.0013601476731759</v>
      </c>
      <c r="U48" s="130"/>
    </row>
    <row r="49" spans="1:29" x14ac:dyDescent="0.2">
      <c r="A49" s="10" t="s">
        <v>704</v>
      </c>
      <c r="B49" s="10"/>
      <c r="C49" s="10"/>
      <c r="D49" s="347" t="e">
        <f ca="1">D48*D43</f>
        <v>#DIV/0!</v>
      </c>
      <c r="U49" s="129"/>
    </row>
    <row r="50" spans="1:29" x14ac:dyDescent="0.2">
      <c r="Z50" s="2"/>
      <c r="AA50" s="2"/>
      <c r="AB50" s="2"/>
      <c r="AC50" s="2"/>
    </row>
    <row r="51" spans="1:29" x14ac:dyDescent="0.2">
      <c r="U51" s="2"/>
      <c r="V51" s="18"/>
      <c r="W51" s="2"/>
      <c r="Z51" s="2"/>
      <c r="AA51" s="2"/>
      <c r="AB51" s="2"/>
      <c r="AC51" s="2"/>
    </row>
    <row r="52" spans="1:29" x14ac:dyDescent="0.2">
      <c r="U52" s="38"/>
      <c r="V52" s="8"/>
      <c r="W52" s="8"/>
      <c r="X52" s="8"/>
      <c r="Y52" s="8"/>
      <c r="Z52" s="8"/>
      <c r="AA52" s="8"/>
      <c r="AB52" s="8"/>
      <c r="AC52" s="8"/>
    </row>
    <row r="54" spans="1:29" x14ac:dyDescent="0.2">
      <c r="T54" t="s">
        <v>756</v>
      </c>
      <c r="W54" s="141"/>
      <c r="X54" s="2"/>
      <c r="Y54" s="333"/>
      <c r="Z54" s="333"/>
      <c r="AA54" s="141"/>
      <c r="AB54" s="66"/>
      <c r="AC54" s="66"/>
    </row>
    <row r="55" spans="1:29" x14ac:dyDescent="0.2">
      <c r="T55" t="s">
        <v>41</v>
      </c>
      <c r="U55" s="289" t="str">
        <f>IF(L1=1,"Backlog","Adjusted Backlog")</f>
        <v>Adjusted Backlog</v>
      </c>
      <c r="V55" s="375" t="s">
        <v>757</v>
      </c>
    </row>
    <row r="56" spans="1:29" x14ac:dyDescent="0.2">
      <c r="T56" s="42">
        <f>+A10</f>
        <v>45382</v>
      </c>
      <c r="U56" s="154">
        <f>+I10</f>
        <v>0</v>
      </c>
      <c r="V56" s="154">
        <f t="shared" ref="V56:V73" si="11">IF(E10&gt;$L$5,D10,0)</f>
        <v>0</v>
      </c>
    </row>
    <row r="57" spans="1:29" x14ac:dyDescent="0.2">
      <c r="T57" s="42">
        <f t="shared" ref="T57:T73" si="12">+A11</f>
        <v>45351</v>
      </c>
      <c r="U57" s="154">
        <f t="shared" ref="U57:U73" si="13">+I11</f>
        <v>0</v>
      </c>
      <c r="V57" s="154">
        <f t="shared" ca="1" si="11"/>
        <v>9688588.1153595168</v>
      </c>
      <c r="W57" s="141"/>
      <c r="X57" s="2"/>
      <c r="Y57" s="333"/>
      <c r="Z57" s="333"/>
      <c r="AA57" s="141"/>
      <c r="AB57" s="66"/>
      <c r="AC57" s="66"/>
    </row>
    <row r="58" spans="1:29" x14ac:dyDescent="0.2">
      <c r="T58" s="42">
        <f t="shared" si="12"/>
        <v>45322</v>
      </c>
      <c r="U58" s="154">
        <f t="shared" si="13"/>
        <v>0</v>
      </c>
      <c r="V58" s="154">
        <f t="shared" ca="1" si="11"/>
        <v>9095087.0253595077</v>
      </c>
      <c r="W58" s="141"/>
      <c r="X58" s="2"/>
      <c r="Y58" s="333"/>
      <c r="Z58" s="333"/>
      <c r="AA58" s="141"/>
      <c r="AB58" s="66"/>
      <c r="AC58" s="66"/>
    </row>
    <row r="59" spans="1:29" x14ac:dyDescent="0.2">
      <c r="T59" s="42">
        <f t="shared" si="12"/>
        <v>45291</v>
      </c>
      <c r="U59" s="154">
        <f t="shared" si="13"/>
        <v>0</v>
      </c>
      <c r="V59" s="154">
        <f t="shared" ca="1" si="11"/>
        <v>8915630.5253595058</v>
      </c>
      <c r="W59" s="141"/>
      <c r="X59" s="2"/>
      <c r="Y59" s="333"/>
      <c r="Z59" s="333"/>
      <c r="AA59" s="141"/>
      <c r="AB59" s="66"/>
      <c r="AC59" s="66"/>
    </row>
    <row r="60" spans="1:29" x14ac:dyDescent="0.2">
      <c r="T60" s="42">
        <f t="shared" si="12"/>
        <v>45260</v>
      </c>
      <c r="U60" s="154">
        <f t="shared" si="13"/>
        <v>0</v>
      </c>
      <c r="V60" s="154">
        <f t="shared" ca="1" si="11"/>
        <v>8990484.5053594876</v>
      </c>
      <c r="W60" s="141"/>
      <c r="X60" s="2"/>
      <c r="Y60" s="333"/>
      <c r="Z60" s="333"/>
      <c r="AA60" s="141"/>
      <c r="AB60" s="66"/>
      <c r="AC60" s="66"/>
    </row>
    <row r="61" spans="1:29" x14ac:dyDescent="0.2">
      <c r="T61" s="42">
        <f t="shared" si="12"/>
        <v>45230</v>
      </c>
      <c r="U61" s="154">
        <f t="shared" si="13"/>
        <v>0</v>
      </c>
      <c r="V61" s="154">
        <f t="shared" ca="1" si="11"/>
        <v>8905602.1253594942</v>
      </c>
    </row>
    <row r="62" spans="1:29" x14ac:dyDescent="0.2">
      <c r="T62" s="42">
        <f t="shared" si="12"/>
        <v>45199</v>
      </c>
      <c r="U62" s="154">
        <f t="shared" si="13"/>
        <v>0</v>
      </c>
      <c r="V62" s="154">
        <f t="shared" ca="1" si="11"/>
        <v>8947418.2453594729</v>
      </c>
    </row>
    <row r="63" spans="1:29" x14ac:dyDescent="0.2">
      <c r="T63" s="42">
        <f t="shared" si="12"/>
        <v>45169</v>
      </c>
      <c r="U63" s="154">
        <f t="shared" si="13"/>
        <v>0</v>
      </c>
      <c r="V63" s="154">
        <f t="shared" ca="1" si="11"/>
        <v>9225449.3553594723</v>
      </c>
    </row>
    <row r="64" spans="1:29" x14ac:dyDescent="0.2">
      <c r="T64" s="42">
        <f t="shared" si="12"/>
        <v>45138</v>
      </c>
      <c r="U64" s="154">
        <f t="shared" si="13"/>
        <v>0</v>
      </c>
      <c r="V64" s="154">
        <f t="shared" ca="1" si="11"/>
        <v>8486496.1153594479</v>
      </c>
    </row>
    <row r="65" spans="20:22" x14ac:dyDescent="0.2">
      <c r="T65" s="42">
        <f t="shared" si="12"/>
        <v>45107</v>
      </c>
      <c r="U65" s="154">
        <f t="shared" si="13"/>
        <v>0</v>
      </c>
      <c r="V65" s="154">
        <f t="shared" ca="1" si="11"/>
        <v>8290017.2253594473</v>
      </c>
    </row>
    <row r="66" spans="20:22" x14ac:dyDescent="0.2">
      <c r="T66" s="42">
        <f t="shared" si="12"/>
        <v>45077</v>
      </c>
      <c r="U66" s="154">
        <f t="shared" si="13"/>
        <v>0</v>
      </c>
      <c r="V66" s="154">
        <f t="shared" ca="1" si="11"/>
        <v>7904515.2053594366</v>
      </c>
    </row>
    <row r="67" spans="20:22" x14ac:dyDescent="0.2">
      <c r="T67" s="42">
        <f t="shared" si="12"/>
        <v>45046</v>
      </c>
      <c r="U67" s="154">
        <f t="shared" si="13"/>
        <v>0</v>
      </c>
      <c r="V67" s="154">
        <f t="shared" ca="1" si="11"/>
        <v>7761511.4153594151</v>
      </c>
    </row>
    <row r="68" spans="20:22" x14ac:dyDescent="0.2">
      <c r="T68" s="42">
        <f t="shared" si="12"/>
        <v>45016</v>
      </c>
      <c r="U68" s="154">
        <f t="shared" si="13"/>
        <v>0</v>
      </c>
      <c r="V68" s="154">
        <f t="shared" ca="1" si="11"/>
        <v>7122043.5653594062</v>
      </c>
    </row>
    <row r="69" spans="20:22" x14ac:dyDescent="0.2">
      <c r="T69" s="42">
        <f t="shared" si="12"/>
        <v>44985</v>
      </c>
      <c r="U69" s="154">
        <f t="shared" si="13"/>
        <v>0</v>
      </c>
      <c r="V69" s="154">
        <f t="shared" ca="1" si="11"/>
        <v>7067127.1912921593</v>
      </c>
    </row>
    <row r="70" spans="20:22" x14ac:dyDescent="0.2">
      <c r="T70" s="42">
        <f t="shared" si="12"/>
        <v>44957</v>
      </c>
      <c r="U70" s="154">
        <f t="shared" si="13"/>
        <v>0</v>
      </c>
      <c r="V70" s="154">
        <f t="shared" ca="1" si="11"/>
        <v>6831625.6727810204</v>
      </c>
    </row>
    <row r="71" spans="20:22" x14ac:dyDescent="0.2">
      <c r="T71" s="42">
        <f t="shared" si="12"/>
        <v>44926</v>
      </c>
      <c r="U71" s="154">
        <f t="shared" si="13"/>
        <v>0</v>
      </c>
      <c r="V71" s="154">
        <f t="shared" ca="1" si="11"/>
        <v>7342920.6884581745</v>
      </c>
    </row>
    <row r="72" spans="20:22" x14ac:dyDescent="0.2">
      <c r="T72" s="42">
        <f t="shared" si="12"/>
        <v>44895</v>
      </c>
      <c r="U72" s="154">
        <f t="shared" si="13"/>
        <v>0</v>
      </c>
      <c r="V72" s="154">
        <f t="shared" ca="1" si="11"/>
        <v>8031536.0997053981</v>
      </c>
    </row>
    <row r="73" spans="20:22" x14ac:dyDescent="0.2">
      <c r="T73" s="42">
        <f t="shared" si="12"/>
        <v>44865</v>
      </c>
      <c r="U73" s="154">
        <f t="shared" si="13"/>
        <v>0</v>
      </c>
      <c r="V73" s="154">
        <f t="shared" ca="1" si="11"/>
        <v>7849999.2171627432</v>
      </c>
    </row>
    <row r="74" spans="20:22" x14ac:dyDescent="0.2">
      <c r="T74" s="42"/>
      <c r="U74" s="154"/>
    </row>
    <row r="75" spans="20:22" x14ac:dyDescent="0.2">
      <c r="T75" s="42"/>
      <c r="U75" s="154"/>
    </row>
    <row r="76" spans="20:22" x14ac:dyDescent="0.2">
      <c r="T76" s="42"/>
      <c r="U76" s="154"/>
    </row>
    <row r="77" spans="20:22" x14ac:dyDescent="0.2">
      <c r="T77" s="42"/>
      <c r="U77" s="154"/>
    </row>
  </sheetData>
  <phoneticPr fontId="0" type="noConversion"/>
  <pageMargins left="0.5" right="0.5" top="0.5" bottom="0.5" header="0.5" footer="0.25"/>
  <pageSetup orientation="landscape" useFirstPageNumber="1" horizontalDpi="1200" verticalDpi="1200" r:id="rId1"/>
  <headerFooter alignWithMargins="0">
    <oddFooter>&amp;L&amp;D  &amp;F:  &amp;A     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PrintBox">
                <anchor moveWithCells="1" sizeWithCells="1">
                  <from>
                    <xdr:col>5</xdr:col>
                    <xdr:colOff>247650</xdr:colOff>
                    <xdr:row>0</xdr:row>
                    <xdr:rowOff>57150</xdr:rowOff>
                  </from>
                  <to>
                    <xdr:col>6</xdr:col>
                    <xdr:colOff>533400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>
    <tabColor rgb="FFCC00CC"/>
  </sheetPr>
  <dimension ref="B1:CI121"/>
  <sheetViews>
    <sheetView topLeftCell="AH1" workbookViewId="0">
      <selection activeCell="AO11" sqref="AO11"/>
    </sheetView>
  </sheetViews>
  <sheetFormatPr defaultRowHeight="11.25" x14ac:dyDescent="0.2"/>
  <cols>
    <col min="3" max="3" width="10.83203125" bestFit="1" customWidth="1"/>
    <col min="7" max="7" width="8.83203125" bestFit="1" customWidth="1"/>
    <col min="15" max="15" width="6" bestFit="1" customWidth="1"/>
    <col min="16" max="16" width="4.83203125" bestFit="1" customWidth="1"/>
    <col min="18" max="18" width="10.5" bestFit="1" customWidth="1"/>
    <col min="19" max="19" width="10.6640625" bestFit="1" customWidth="1"/>
    <col min="21" max="21" width="9.6640625" bestFit="1" customWidth="1"/>
    <col min="51" max="51" width="10.1640625" customWidth="1"/>
  </cols>
  <sheetData>
    <row r="1" spans="2:87" x14ac:dyDescent="0.2">
      <c r="AC1" t="s">
        <v>311</v>
      </c>
      <c r="AD1" t="s">
        <v>307</v>
      </c>
      <c r="AJ1" t="s">
        <v>303</v>
      </c>
      <c r="AK1" t="s">
        <v>304</v>
      </c>
    </row>
    <row r="2" spans="2:87" x14ac:dyDescent="0.2">
      <c r="B2" s="437" t="s">
        <v>867</v>
      </c>
      <c r="U2" s="102" t="s">
        <v>863</v>
      </c>
      <c r="AD2" t="s">
        <v>308</v>
      </c>
      <c r="AH2" s="1" t="s">
        <v>482</v>
      </c>
      <c r="AJ2" s="120">
        <f ca="1">MIN(AM9:AM44)</f>
        <v>1.56</v>
      </c>
      <c r="AK2" s="120">
        <f ca="1">MAX(AH9:AK44)</f>
        <v>134.42730364643612</v>
      </c>
    </row>
    <row r="3" spans="2:87" x14ac:dyDescent="0.2">
      <c r="Q3" s="18" t="s">
        <v>853</v>
      </c>
      <c r="R3" s="627" t="s">
        <v>855</v>
      </c>
      <c r="S3" s="628"/>
      <c r="U3" s="18" t="s">
        <v>842</v>
      </c>
      <c r="V3" s="627" t="s">
        <v>843</v>
      </c>
      <c r="W3" s="629"/>
      <c r="X3" s="629"/>
      <c r="Y3" s="628"/>
      <c r="AD3" t="s">
        <v>309</v>
      </c>
      <c r="AH3" s="1" t="s">
        <v>481</v>
      </c>
      <c r="AJ3" s="209">
        <f ca="1">MAX(INT(AJ2-MAX(2,0.05*AJ2)),0)</f>
        <v>0</v>
      </c>
      <c r="AK3" s="120">
        <f ca="1">INT(AK2)+INT(MAX(2,0.05*AK2))</f>
        <v>140</v>
      </c>
      <c r="AM3" s="120">
        <f>INT(AM2)+INT(MAX(2,0.05*AM2))</f>
        <v>2</v>
      </c>
      <c r="AW3" s="130" t="s">
        <v>321</v>
      </c>
      <c r="BG3" s="130" t="s">
        <v>258</v>
      </c>
      <c r="BQ3" s="130" t="s">
        <v>264</v>
      </c>
      <c r="CA3" s="130" t="s">
        <v>265</v>
      </c>
    </row>
    <row r="4" spans="2:87" x14ac:dyDescent="0.2">
      <c r="N4" s="8" t="s">
        <v>41</v>
      </c>
      <c r="O4" s="8" t="s">
        <v>41</v>
      </c>
      <c r="P4" s="8" t="s">
        <v>844</v>
      </c>
      <c r="Q4" s="8" t="s">
        <v>854</v>
      </c>
      <c r="R4" s="124" t="s">
        <v>856</v>
      </c>
      <c r="S4" s="124" t="s">
        <v>862</v>
      </c>
      <c r="U4" s="8" t="s">
        <v>845</v>
      </c>
      <c r="V4" s="124">
        <v>28</v>
      </c>
      <c r="W4" s="124">
        <v>29</v>
      </c>
      <c r="X4" s="124">
        <v>30</v>
      </c>
      <c r="Y4" s="124">
        <v>31</v>
      </c>
      <c r="AD4" t="s">
        <v>310</v>
      </c>
      <c r="AF4" t="s">
        <v>306</v>
      </c>
      <c r="AH4" t="s">
        <v>307</v>
      </c>
      <c r="AI4" t="s">
        <v>308</v>
      </c>
      <c r="AJ4" t="s">
        <v>309</v>
      </c>
      <c r="AK4" t="s">
        <v>310</v>
      </c>
      <c r="AL4" t="s">
        <v>99</v>
      </c>
      <c r="AQ4" s="9" t="s">
        <v>158</v>
      </c>
      <c r="AR4" s="11"/>
      <c r="AS4" s="125" t="s">
        <v>237</v>
      </c>
      <c r="AT4" s="11"/>
      <c r="AW4" s="129" t="s">
        <v>158</v>
      </c>
      <c r="BG4" s="129" t="s">
        <v>158</v>
      </c>
      <c r="BQ4" s="129" t="s">
        <v>158</v>
      </c>
      <c r="CA4" s="129" t="s">
        <v>158</v>
      </c>
    </row>
    <row r="5" spans="2:87" x14ac:dyDescent="0.2">
      <c r="N5" s="4">
        <f>Data!AL6</f>
        <v>45352</v>
      </c>
      <c r="O5" s="216" t="str">
        <f t="shared" ref="O5:O40" si="0">TEXT(N5,"MMM")</f>
        <v>Mar</v>
      </c>
      <c r="P5" s="2" t="str">
        <f t="shared" ref="P5:P40" si="1">TEXT(N5,"ddd")</f>
        <v>Fri</v>
      </c>
      <c r="Q5" s="436">
        <f>N5-DATE(YEAR(N5),MONTH(N5)-1,1)</f>
        <v>29</v>
      </c>
      <c r="R5" s="436">
        <f t="shared" ref="R5:R40" si="2">VLOOKUP(P5,$U$5:$Y$11,Q5-26)</f>
        <v>21</v>
      </c>
      <c r="S5" s="436">
        <f t="shared" ref="S5:S40" si="3">R5+VLOOKUP(O5,$U$15:$X$26,4)</f>
        <v>21</v>
      </c>
      <c r="U5" s="432" t="s">
        <v>850</v>
      </c>
      <c r="V5" s="7">
        <v>20</v>
      </c>
      <c r="W5" s="7">
        <v>21</v>
      </c>
      <c r="X5" s="7">
        <v>21</v>
      </c>
      <c r="Y5" s="7">
        <v>21</v>
      </c>
      <c r="AI5" s="125" t="s">
        <v>261</v>
      </c>
      <c r="AJ5" s="10"/>
      <c r="AK5" s="10"/>
      <c r="AL5" s="11"/>
      <c r="AP5" s="18"/>
      <c r="AQ5" s="18"/>
      <c r="AR5" s="18" t="s">
        <v>159</v>
      </c>
      <c r="AS5" s="18"/>
      <c r="AT5" s="18" t="s">
        <v>159</v>
      </c>
      <c r="AU5" s="2"/>
      <c r="AV5" s="2"/>
      <c r="BB5" s="2"/>
      <c r="BC5" s="2"/>
      <c r="BD5" s="2" t="s">
        <v>253</v>
      </c>
      <c r="BE5" s="2" t="s">
        <v>251</v>
      </c>
      <c r="BL5" s="2"/>
      <c r="BM5" s="2"/>
      <c r="BN5" s="2" t="s">
        <v>253</v>
      </c>
      <c r="BO5" s="2" t="s">
        <v>251</v>
      </c>
      <c r="BV5" s="2"/>
      <c r="BW5" s="2"/>
      <c r="BX5" s="2" t="s">
        <v>253</v>
      </c>
      <c r="BY5" s="2" t="s">
        <v>251</v>
      </c>
      <c r="CF5" s="2"/>
      <c r="CG5" s="2"/>
      <c r="CH5" s="2" t="s">
        <v>253</v>
      </c>
      <c r="CI5" s="2" t="s">
        <v>251</v>
      </c>
    </row>
    <row r="6" spans="2:87" x14ac:dyDescent="0.2">
      <c r="B6" s="2"/>
      <c r="C6" s="2"/>
      <c r="D6" s="2"/>
      <c r="E6" s="102" t="s">
        <v>855</v>
      </c>
      <c r="F6" s="2"/>
      <c r="G6" s="18" t="s">
        <v>864</v>
      </c>
      <c r="H6" s="18" t="s">
        <v>864</v>
      </c>
      <c r="N6" s="4">
        <f t="shared" ref="N6:N40" si="4">DATE(YEAR(N5),MONTH(N5)-1,1)</f>
        <v>45323</v>
      </c>
      <c r="O6" s="216" t="str">
        <f t="shared" si="0"/>
        <v>Feb</v>
      </c>
      <c r="P6" s="2" t="str">
        <f t="shared" si="1"/>
        <v>Thu</v>
      </c>
      <c r="Q6" s="436">
        <f t="shared" ref="Q6:Q40" si="5">N5-N6</f>
        <v>29</v>
      </c>
      <c r="R6" s="436">
        <f t="shared" si="2"/>
        <v>21</v>
      </c>
      <c r="S6" s="436">
        <f t="shared" si="3"/>
        <v>21</v>
      </c>
      <c r="U6" s="171" t="s">
        <v>846</v>
      </c>
      <c r="V6" s="10">
        <v>20</v>
      </c>
      <c r="W6" s="10">
        <v>21</v>
      </c>
      <c r="X6" s="10">
        <v>22</v>
      </c>
      <c r="Y6" s="10">
        <v>23</v>
      </c>
      <c r="AC6" t="str">
        <f>TEXT(AG10,AG9)</f>
        <v>35</v>
      </c>
      <c r="AD6" s="2" t="s">
        <v>266</v>
      </c>
      <c r="AE6" s="2" t="s">
        <v>266</v>
      </c>
      <c r="AF6" s="2" t="s">
        <v>266</v>
      </c>
      <c r="AH6" s="2" t="s">
        <v>260</v>
      </c>
      <c r="AI6" s="2" t="s">
        <v>50</v>
      </c>
      <c r="AJ6" s="2" t="s">
        <v>262</v>
      </c>
      <c r="AK6" s="2" t="s">
        <v>263</v>
      </c>
      <c r="AL6" s="2"/>
      <c r="AM6" s="2" t="s">
        <v>157</v>
      </c>
      <c r="AP6" s="18"/>
      <c r="AQ6" s="18" t="s">
        <v>230</v>
      </c>
      <c r="AR6" s="18" t="s">
        <v>235</v>
      </c>
      <c r="AS6" s="18" t="s">
        <v>230</v>
      </c>
      <c r="AT6" s="18" t="s">
        <v>235</v>
      </c>
      <c r="AU6" s="2"/>
      <c r="AV6" s="2"/>
      <c r="AW6" s="2"/>
      <c r="AX6" s="18" t="s">
        <v>230</v>
      </c>
      <c r="AY6" s="2" t="s">
        <v>238</v>
      </c>
      <c r="BB6" s="2"/>
      <c r="BC6" s="2"/>
      <c r="BD6" s="2" t="s">
        <v>251</v>
      </c>
      <c r="BE6" s="2" t="s">
        <v>252</v>
      </c>
      <c r="BG6" s="2"/>
      <c r="BH6" s="18" t="s">
        <v>230</v>
      </c>
      <c r="BI6" s="2" t="s">
        <v>238</v>
      </c>
      <c r="BL6" s="2"/>
      <c r="BM6" s="2"/>
      <c r="BN6" s="2" t="s">
        <v>251</v>
      </c>
      <c r="BO6" s="2" t="s">
        <v>252</v>
      </c>
      <c r="BQ6" s="2"/>
      <c r="BR6" s="18" t="s">
        <v>230</v>
      </c>
      <c r="BS6" s="2" t="s">
        <v>238</v>
      </c>
      <c r="BV6" s="2"/>
      <c r="BW6" s="2"/>
      <c r="BX6" s="2" t="s">
        <v>251</v>
      </c>
      <c r="BY6" s="2" t="s">
        <v>252</v>
      </c>
      <c r="CA6" s="2"/>
      <c r="CB6" s="18" t="s">
        <v>230</v>
      </c>
      <c r="CC6" s="2" t="s">
        <v>238</v>
      </c>
      <c r="CF6" s="2"/>
      <c r="CG6" s="2"/>
      <c r="CH6" s="2" t="s">
        <v>251</v>
      </c>
      <c r="CI6" s="2" t="s">
        <v>252</v>
      </c>
    </row>
    <row r="7" spans="2:87" x14ac:dyDescent="0.2">
      <c r="B7" s="8" t="s">
        <v>41</v>
      </c>
      <c r="C7" s="8" t="s">
        <v>96</v>
      </c>
      <c r="D7" s="8" t="s">
        <v>78</v>
      </c>
      <c r="E7" s="17" t="s">
        <v>866</v>
      </c>
      <c r="F7" s="8" t="s">
        <v>101</v>
      </c>
      <c r="G7" s="8" t="s">
        <v>844</v>
      </c>
      <c r="H7" s="8" t="s">
        <v>865</v>
      </c>
      <c r="N7" s="4">
        <f t="shared" si="4"/>
        <v>45292</v>
      </c>
      <c r="O7" s="216" t="str">
        <f t="shared" si="0"/>
        <v>Jan</v>
      </c>
      <c r="P7" s="2" t="str">
        <f t="shared" si="1"/>
        <v>Mon</v>
      </c>
      <c r="Q7" s="436">
        <f t="shared" si="5"/>
        <v>31</v>
      </c>
      <c r="R7" s="436">
        <f t="shared" si="2"/>
        <v>23</v>
      </c>
      <c r="S7" s="436">
        <f t="shared" si="3"/>
        <v>22</v>
      </c>
      <c r="U7" s="171" t="s">
        <v>851</v>
      </c>
      <c r="V7" s="10">
        <v>20</v>
      </c>
      <c r="W7" s="10">
        <v>20</v>
      </c>
      <c r="X7" s="10">
        <v>20</v>
      </c>
      <c r="Y7" s="10">
        <v>21</v>
      </c>
      <c r="AC7" s="38" t="s">
        <v>41</v>
      </c>
      <c r="AD7" s="38" t="s">
        <v>41</v>
      </c>
      <c r="AE7" s="38" t="s">
        <v>42</v>
      </c>
      <c r="AF7" s="38" t="s">
        <v>291</v>
      </c>
      <c r="AG7" s="38"/>
      <c r="AH7" s="8" t="s">
        <v>870</v>
      </c>
      <c r="AI7" s="8" t="s">
        <v>176</v>
      </c>
      <c r="AJ7" s="8" t="s">
        <v>128</v>
      </c>
      <c r="AK7" s="8" t="s">
        <v>128</v>
      </c>
      <c r="AL7" s="8" t="s">
        <v>99</v>
      </c>
      <c r="AM7" s="8" t="s">
        <v>774</v>
      </c>
      <c r="AP7" s="38" t="s">
        <v>41</v>
      </c>
      <c r="AQ7" s="8" t="s">
        <v>101</v>
      </c>
      <c r="AR7" s="8" t="s">
        <v>176</v>
      </c>
      <c r="AS7" s="8" t="s">
        <v>101</v>
      </c>
      <c r="AT7" s="8" t="s">
        <v>176</v>
      </c>
      <c r="AU7" s="8" t="s">
        <v>259</v>
      </c>
      <c r="AV7" s="2"/>
      <c r="AW7" s="38" t="s">
        <v>41</v>
      </c>
      <c r="AX7" s="8" t="s">
        <v>101</v>
      </c>
      <c r="AY7" s="8" t="s">
        <v>222</v>
      </c>
      <c r="AZ7" s="8" t="s">
        <v>205</v>
      </c>
      <c r="BA7" s="8" t="s">
        <v>239</v>
      </c>
      <c r="BB7" s="8" t="s">
        <v>240</v>
      </c>
      <c r="BC7" s="8" t="s">
        <v>241</v>
      </c>
      <c r="BD7" s="8" t="s">
        <v>252</v>
      </c>
      <c r="BE7" s="8" t="s">
        <v>101</v>
      </c>
      <c r="BG7" s="38" t="s">
        <v>41</v>
      </c>
      <c r="BH7" s="8" t="s">
        <v>101</v>
      </c>
      <c r="BI7" s="8" t="s">
        <v>222</v>
      </c>
      <c r="BJ7" s="8" t="s">
        <v>205</v>
      </c>
      <c r="BK7" s="8" t="s">
        <v>239</v>
      </c>
      <c r="BL7" s="8" t="s">
        <v>240</v>
      </c>
      <c r="BM7" s="8" t="s">
        <v>241</v>
      </c>
      <c r="BN7" s="8" t="s">
        <v>252</v>
      </c>
      <c r="BO7" s="8" t="s">
        <v>101</v>
      </c>
      <c r="BQ7" s="38" t="s">
        <v>41</v>
      </c>
      <c r="BR7" s="8" t="s">
        <v>101</v>
      </c>
      <c r="BS7" s="8" t="s">
        <v>222</v>
      </c>
      <c r="BT7" s="8" t="s">
        <v>205</v>
      </c>
      <c r="BU7" s="8" t="s">
        <v>239</v>
      </c>
      <c r="BV7" s="8" t="s">
        <v>240</v>
      </c>
      <c r="BW7" s="8" t="s">
        <v>241</v>
      </c>
      <c r="BX7" s="8" t="s">
        <v>252</v>
      </c>
      <c r="BY7" s="8" t="s">
        <v>101</v>
      </c>
      <c r="CA7" s="38" t="s">
        <v>41</v>
      </c>
      <c r="CB7" s="8" t="s">
        <v>101</v>
      </c>
      <c r="CC7" s="8" t="s">
        <v>222</v>
      </c>
      <c r="CD7" s="8" t="s">
        <v>205</v>
      </c>
      <c r="CE7" s="8" t="s">
        <v>239</v>
      </c>
      <c r="CF7" s="8" t="s">
        <v>240</v>
      </c>
      <c r="CG7" s="8" t="s">
        <v>241</v>
      </c>
      <c r="CH7" s="8" t="s">
        <v>252</v>
      </c>
      <c r="CI7" s="8" t="s">
        <v>101</v>
      </c>
    </row>
    <row r="8" spans="2:87" x14ac:dyDescent="0.2">
      <c r="B8" s="438">
        <f>'Incurred Per Day'!N5</f>
        <v>45352</v>
      </c>
      <c r="C8" s="439">
        <f ca="1">Final!X11</f>
        <v>6901567</v>
      </c>
      <c r="D8" s="41">
        <f>Data!AO8</f>
        <v>164912</v>
      </c>
      <c r="E8" s="7">
        <f>'Incurred Per Day'!S5</f>
        <v>21</v>
      </c>
      <c r="F8" s="127">
        <f ca="1">ROUND(C8/D8,2)</f>
        <v>41.85</v>
      </c>
      <c r="G8" s="439">
        <f ca="1">ROUND(C8/E8,0)</f>
        <v>328646</v>
      </c>
      <c r="H8" s="127">
        <f ca="1">ROUND(C8/D8/E8,2)</f>
        <v>1.99</v>
      </c>
      <c r="N8" s="4">
        <f t="shared" si="4"/>
        <v>45261</v>
      </c>
      <c r="O8" s="216" t="str">
        <f t="shared" si="0"/>
        <v>Dec</v>
      </c>
      <c r="P8" s="2" t="str">
        <f t="shared" si="1"/>
        <v>Fri</v>
      </c>
      <c r="Q8" s="436">
        <f t="shared" si="5"/>
        <v>31</v>
      </c>
      <c r="R8" s="436">
        <f t="shared" si="2"/>
        <v>21</v>
      </c>
      <c r="S8" s="436">
        <f t="shared" si="3"/>
        <v>20</v>
      </c>
      <c r="U8" s="171" t="s">
        <v>852</v>
      </c>
      <c r="V8" s="10">
        <v>20</v>
      </c>
      <c r="W8" s="10">
        <v>20</v>
      </c>
      <c r="X8" s="10">
        <v>21</v>
      </c>
      <c r="Y8" s="10">
        <v>22</v>
      </c>
      <c r="AG8" s="98"/>
    </row>
    <row r="9" spans="2:87" x14ac:dyDescent="0.2">
      <c r="B9" s="440">
        <f>'Incurred Per Day'!N6</f>
        <v>45323</v>
      </c>
      <c r="C9" s="441">
        <f ca="1">Final!X12</f>
        <v>6178865</v>
      </c>
      <c r="D9" s="151">
        <f>Data!AO9</f>
        <v>164591</v>
      </c>
      <c r="E9" s="10">
        <f>'Incurred Per Day'!S6</f>
        <v>21</v>
      </c>
      <c r="F9" s="295">
        <f t="shared" ref="F9:F43" ca="1" si="6">ROUND(C9/D9,2)</f>
        <v>37.54</v>
      </c>
      <c r="G9" s="441">
        <f t="shared" ref="G9:G43" ca="1" si="7">ROUND(C9/E9,0)</f>
        <v>294232</v>
      </c>
      <c r="H9" s="295">
        <f t="shared" ref="H9:H43" ca="1" si="8">ROUND(C9/D9/E9,2)</f>
        <v>1.79</v>
      </c>
      <c r="N9" s="4">
        <f t="shared" si="4"/>
        <v>45231</v>
      </c>
      <c r="O9" s="216" t="str">
        <f t="shared" si="0"/>
        <v>Nov</v>
      </c>
      <c r="P9" s="2" t="str">
        <f t="shared" si="1"/>
        <v>Wed</v>
      </c>
      <c r="Q9" s="436">
        <f t="shared" si="5"/>
        <v>30</v>
      </c>
      <c r="R9" s="436">
        <f t="shared" si="2"/>
        <v>22</v>
      </c>
      <c r="S9" s="436">
        <f t="shared" si="3"/>
        <v>20</v>
      </c>
      <c r="U9" s="171" t="s">
        <v>849</v>
      </c>
      <c r="V9" s="10">
        <v>20</v>
      </c>
      <c r="W9" s="10">
        <v>21</v>
      </c>
      <c r="X9" s="10">
        <v>22</v>
      </c>
      <c r="Y9" s="10">
        <v>22</v>
      </c>
      <c r="AB9">
        <v>1</v>
      </c>
      <c r="AC9" s="121">
        <f>Transport!$A20</f>
        <v>44287</v>
      </c>
      <c r="AD9" s="132" t="str">
        <f>TEXT(0,MONTH(AC9))</f>
        <v>4</v>
      </c>
      <c r="AE9" s="132" t="str">
        <f>RIGHT((TEXT(0,YEAR(AC9))),2)</f>
        <v>21</v>
      </c>
      <c r="AF9" s="132" t="str">
        <f>AD9&amp;"/"&amp;AE9</f>
        <v>4/21</v>
      </c>
      <c r="AG9" s="134" t="s">
        <v>269</v>
      </c>
      <c r="AH9" s="73">
        <f>H43</f>
        <v>1.63</v>
      </c>
      <c r="AI9" s="73"/>
      <c r="AJ9" s="73"/>
      <c r="AK9" s="73"/>
      <c r="AL9" s="73">
        <f>Transport!$G20</f>
        <v>0</v>
      </c>
      <c r="AM9" s="73">
        <f>IF(AH9=0,MAX(AH9:AH35),AH9)</f>
        <v>1.63</v>
      </c>
      <c r="AP9" s="121">
        <f>AC9</f>
        <v>44287</v>
      </c>
      <c r="AQ9" s="73">
        <f>AH9</f>
        <v>1.63</v>
      </c>
      <c r="AR9" s="73">
        <f>Transport!$N20</f>
        <v>0</v>
      </c>
      <c r="AS9" s="73">
        <f>Transport!$J20</f>
        <v>35.869891317541402</v>
      </c>
      <c r="AT9" s="73">
        <f>Transport!$O20</f>
        <v>0</v>
      </c>
      <c r="AU9" s="2">
        <v>1</v>
      </c>
      <c r="AW9" s="121">
        <f>Transport!$A20</f>
        <v>44287</v>
      </c>
      <c r="AX9" s="73">
        <f t="shared" ref="AX9:AX44" si="9">AQ9</f>
        <v>1.63</v>
      </c>
      <c r="AY9" s="15">
        <f>IF(AX9=0,0,LN(AX9))</f>
        <v>0.48858001481867092</v>
      </c>
      <c r="AZ9" s="98">
        <f>IF(AY9&gt;0,1,0)</f>
        <v>1</v>
      </c>
      <c r="BA9" s="128">
        <f>IF(AZ9&gt;0,1,0)</f>
        <v>1</v>
      </c>
      <c r="BB9" s="128">
        <f>BA9^2</f>
        <v>1</v>
      </c>
      <c r="BC9" s="15">
        <f>BA9*AY9</f>
        <v>0.48858001481867092</v>
      </c>
      <c r="BD9" s="127">
        <f t="shared" ref="BD9:BD44" ca="1" si="10">AX$56*$M7+AX$57</f>
        <v>0.64441853176509734</v>
      </c>
      <c r="BE9" s="127">
        <f ca="1">EXP(BD9)</f>
        <v>1.9048790805079876</v>
      </c>
      <c r="BG9" s="121">
        <f>Transport!$A20</f>
        <v>44287</v>
      </c>
      <c r="BH9" s="73">
        <f>$J7</f>
        <v>0</v>
      </c>
      <c r="BI9" s="15">
        <f>IF(BH9=0,0,LN(BH9))</f>
        <v>0</v>
      </c>
      <c r="BJ9" s="98">
        <f>IF(BI9&gt;0,1,0)</f>
        <v>0</v>
      </c>
      <c r="BK9" s="128">
        <f>IF(BJ9&gt;0,1,0)</f>
        <v>0</v>
      </c>
      <c r="BL9" s="128">
        <f>BK9^2</f>
        <v>0</v>
      </c>
      <c r="BM9" s="15">
        <f>BK9*BI9</f>
        <v>0</v>
      </c>
      <c r="BN9" s="127" t="e">
        <f t="shared" ref="BN9:BN44" si="11">BH$56*$M7+BH$57</f>
        <v>#DIV/0!</v>
      </c>
      <c r="BO9" s="127" t="e">
        <f>EXP(BN9)</f>
        <v>#DIV/0!</v>
      </c>
      <c r="BQ9" s="121">
        <f>Transport!$A20</f>
        <v>44287</v>
      </c>
      <c r="BR9" s="131">
        <v>0</v>
      </c>
      <c r="BS9" s="15">
        <f>IF(BR9=0,0,LN(BR9))</f>
        <v>0</v>
      </c>
      <c r="BT9" s="98">
        <f>IF(BS9&gt;0,1,0)</f>
        <v>0</v>
      </c>
      <c r="BU9" s="128">
        <f>IF(BT9&gt;0,1,0)</f>
        <v>0</v>
      </c>
      <c r="BV9" s="128">
        <f>BU9^2</f>
        <v>0</v>
      </c>
      <c r="BW9" s="15">
        <f>BU9*BS9</f>
        <v>0</v>
      </c>
      <c r="BX9" s="127" t="e">
        <f t="shared" ref="BX9:BX44" si="12">BR$56*$M7+BR$57</f>
        <v>#DIV/0!</v>
      </c>
      <c r="BY9" s="127" t="e">
        <f t="shared" ref="BY9:BY44" si="13">EXP(BX9)</f>
        <v>#DIV/0!</v>
      </c>
      <c r="CA9" s="121">
        <f>Transport!$A20</f>
        <v>44287</v>
      </c>
      <c r="CB9" s="131">
        <v>0</v>
      </c>
      <c r="CC9" s="15">
        <f>IF(CB9=0,0,LN(CB9))</f>
        <v>0</v>
      </c>
      <c r="CD9" s="98">
        <f>IF(CC9&gt;0,1,0)</f>
        <v>0</v>
      </c>
      <c r="CE9" s="128">
        <f>IF(CD9&gt;0,1,0)</f>
        <v>0</v>
      </c>
      <c r="CF9" s="128">
        <f>CE9^2</f>
        <v>0</v>
      </c>
      <c r="CG9" s="15">
        <f>CE9*CC9</f>
        <v>0</v>
      </c>
      <c r="CH9" s="127" t="e">
        <f t="shared" ref="CH9:CH44" si="14">CB$56*$M7+CB$57</f>
        <v>#DIV/0!</v>
      </c>
      <c r="CI9" s="127" t="e">
        <f t="shared" ref="CI9:CI26" si="15">EXP(CH9)</f>
        <v>#DIV/0!</v>
      </c>
    </row>
    <row r="10" spans="2:87" x14ac:dyDescent="0.2">
      <c r="B10" s="440">
        <f>'Incurred Per Day'!N7</f>
        <v>45292</v>
      </c>
      <c r="C10" s="441">
        <f ca="1">Final!X13</f>
        <v>6102795</v>
      </c>
      <c r="D10" s="151">
        <f>Data!AO10</f>
        <v>164688</v>
      </c>
      <c r="E10" s="10">
        <f>'Incurred Per Day'!S7</f>
        <v>22</v>
      </c>
      <c r="F10" s="295">
        <f t="shared" ca="1" si="6"/>
        <v>37.06</v>
      </c>
      <c r="G10" s="441">
        <f t="shared" ca="1" si="7"/>
        <v>277400</v>
      </c>
      <c r="H10" s="295">
        <f t="shared" ca="1" si="8"/>
        <v>1.68</v>
      </c>
      <c r="N10" s="4">
        <f t="shared" si="4"/>
        <v>45200</v>
      </c>
      <c r="O10" s="216" t="str">
        <f t="shared" si="0"/>
        <v>Oct</v>
      </c>
      <c r="P10" s="2" t="str">
        <f t="shared" si="1"/>
        <v>Sun</v>
      </c>
      <c r="Q10" s="436">
        <f t="shared" si="5"/>
        <v>31</v>
      </c>
      <c r="R10" s="436">
        <f t="shared" si="2"/>
        <v>22</v>
      </c>
      <c r="S10" s="436">
        <f t="shared" si="3"/>
        <v>22</v>
      </c>
      <c r="U10" s="171" t="s">
        <v>847</v>
      </c>
      <c r="V10" s="10">
        <v>20</v>
      </c>
      <c r="W10" s="10">
        <v>21</v>
      </c>
      <c r="X10" s="10">
        <v>22</v>
      </c>
      <c r="Y10" s="10">
        <v>23</v>
      </c>
      <c r="AB10">
        <f>1+AB9</f>
        <v>2</v>
      </c>
      <c r="AC10" s="121">
        <f>Transport!$A21</f>
        <v>44317</v>
      </c>
      <c r="AD10" s="132" t="str">
        <f t="shared" ref="AD10:AD35" si="16">TEXT(0,MONTH(AC10))</f>
        <v>5</v>
      </c>
      <c r="AE10" s="132" t="str">
        <f>RIGHT((TEXT(0,YEAR(AC10))),2)</f>
        <v>21</v>
      </c>
      <c r="AF10" s="132" t="str">
        <f>AD10&amp;"/"&amp;AE10</f>
        <v>5/21</v>
      </c>
      <c r="AG10" s="134" t="s">
        <v>268</v>
      </c>
      <c r="AH10" s="73">
        <f>H42</f>
        <v>1.83</v>
      </c>
      <c r="AI10" s="73">
        <f>LeastSq!AD8</f>
        <v>7.1996574290874404</v>
      </c>
      <c r="AJ10" s="73"/>
      <c r="AK10" s="73"/>
      <c r="AL10" s="73">
        <f>Transport!$G21</f>
        <v>9.3782540073451858E-4</v>
      </c>
      <c r="AM10" s="73">
        <f t="shared" ref="AM10:AM35" si="17">IF(AH10=0,MAX(AH10:AH36),AH10)</f>
        <v>1.83</v>
      </c>
      <c r="AP10" s="121">
        <f t="shared" ref="AP10:AP44" si="18">AC10</f>
        <v>44317</v>
      </c>
      <c r="AQ10" s="73">
        <f t="shared" ref="AQ10:AQ44" si="19">AH10</f>
        <v>1.83</v>
      </c>
      <c r="AR10" s="73">
        <f>Transport!$N21</f>
        <v>37.084129648463552</v>
      </c>
      <c r="AS10" s="73">
        <f>Transport!$J21</f>
        <v>36.591966235234068</v>
      </c>
      <c r="AT10" s="73">
        <f>Transport!$O21</f>
        <v>37.084129648463552</v>
      </c>
      <c r="AU10" s="2">
        <v>2</v>
      </c>
      <c r="AW10" s="121">
        <f>Transport!$A21</f>
        <v>44317</v>
      </c>
      <c r="AX10" s="73">
        <f t="shared" si="9"/>
        <v>1.83</v>
      </c>
      <c r="AY10" s="15">
        <f t="shared" ref="AY10:AY44" si="20">IF(AX10=0,0,LN(AX10))</f>
        <v>0.60431596685332956</v>
      </c>
      <c r="AZ10" s="98">
        <f t="shared" ref="AZ10:AZ44" si="21">IF(AY10&gt;0,1,0)</f>
        <v>1</v>
      </c>
      <c r="BA10" s="128">
        <f>IF(AZ10&gt;0,2,0)</f>
        <v>2</v>
      </c>
      <c r="BB10" s="128">
        <f t="shared" ref="BB10:BB44" si="22">BA10^2</f>
        <v>4</v>
      </c>
      <c r="BC10" s="15">
        <f t="shared" ref="BC10:BC44" si="23">BA10*AY10</f>
        <v>1.2086319337066591</v>
      </c>
      <c r="BD10" s="127">
        <f t="shared" ca="1" si="10"/>
        <v>0.64441853176509734</v>
      </c>
      <c r="BE10" s="127">
        <f t="shared" ref="BE10:BE44" ca="1" si="24">EXP(BD10)</f>
        <v>1.9048790805079876</v>
      </c>
      <c r="BG10" s="121">
        <f>Transport!$A21</f>
        <v>44317</v>
      </c>
      <c r="BH10" s="73">
        <f t="shared" ref="BH10:BH44" si="25">$J8</f>
        <v>0</v>
      </c>
      <c r="BI10" s="15">
        <f t="shared" ref="BI10:BI44" si="26">IF(BH10=0,0,LN(BH10))</f>
        <v>0</v>
      </c>
      <c r="BJ10" s="98">
        <f t="shared" ref="BJ10:BJ44" si="27">IF(BI10&gt;0,1,0)</f>
        <v>0</v>
      </c>
      <c r="BK10" s="128">
        <f>IF(BJ10&gt;0,2,0)</f>
        <v>0</v>
      </c>
      <c r="BL10" s="128">
        <f t="shared" ref="BL10:BL44" si="28">BK10^2</f>
        <v>0</v>
      </c>
      <c r="BM10" s="15">
        <f t="shared" ref="BM10:BM44" si="29">BK10*BI10</f>
        <v>0</v>
      </c>
      <c r="BN10" s="127" t="e">
        <f t="shared" si="11"/>
        <v>#DIV/0!</v>
      </c>
      <c r="BO10" s="127" t="e">
        <f>EXP(BN10)</f>
        <v>#DIV/0!</v>
      </c>
      <c r="BQ10" s="121">
        <f>Transport!$A21</f>
        <v>44317</v>
      </c>
      <c r="BR10" s="131">
        <v>0</v>
      </c>
      <c r="BS10" s="15">
        <f t="shared" ref="BS10:BS44" si="30">IF(BR10=0,0,LN(BR10))</f>
        <v>0</v>
      </c>
      <c r="BT10" s="98">
        <f t="shared" ref="BT10:BT44" si="31">IF(BS10&gt;0,1,0)</f>
        <v>0</v>
      </c>
      <c r="BU10" s="128">
        <f>IF(BT10&gt;0,2,0)</f>
        <v>0</v>
      </c>
      <c r="BV10" s="128">
        <f t="shared" ref="BV10:BV44" si="32">BU10^2</f>
        <v>0</v>
      </c>
      <c r="BW10" s="15">
        <f t="shared" ref="BW10:BW44" si="33">BU10*BS10</f>
        <v>0</v>
      </c>
      <c r="BX10" s="127" t="e">
        <f t="shared" si="12"/>
        <v>#DIV/0!</v>
      </c>
      <c r="BY10" s="127" t="e">
        <f t="shared" si="13"/>
        <v>#DIV/0!</v>
      </c>
      <c r="CA10" s="121">
        <f>Transport!$A21</f>
        <v>44317</v>
      </c>
      <c r="CB10" s="131">
        <v>0</v>
      </c>
      <c r="CC10" s="15">
        <f t="shared" ref="CC10:CC44" si="34">IF(CB10=0,0,LN(CB10))</f>
        <v>0</v>
      </c>
      <c r="CD10" s="98">
        <f t="shared" ref="CD10:CD44" si="35">IF(CC10&gt;0,1,0)</f>
        <v>0</v>
      </c>
      <c r="CE10" s="128">
        <f>IF(CD10&gt;0,2,0)</f>
        <v>0</v>
      </c>
      <c r="CF10" s="128">
        <f t="shared" ref="CF10:CF44" si="36">CE10^2</f>
        <v>0</v>
      </c>
      <c r="CG10" s="15">
        <f t="shared" ref="CG10:CG44" si="37">CE10*CC10</f>
        <v>0</v>
      </c>
      <c r="CH10" s="127" t="e">
        <f t="shared" si="14"/>
        <v>#DIV/0!</v>
      </c>
      <c r="CI10" s="127" t="e">
        <f t="shared" si="15"/>
        <v>#DIV/0!</v>
      </c>
    </row>
    <row r="11" spans="2:87" x14ac:dyDescent="0.2">
      <c r="B11" s="440">
        <f>'Incurred Per Day'!N8</f>
        <v>45261</v>
      </c>
      <c r="C11" s="441">
        <f ca="1">Final!X14</f>
        <v>5703064</v>
      </c>
      <c r="D11" s="151">
        <f>Data!AO11</f>
        <v>143536</v>
      </c>
      <c r="E11" s="10">
        <f>'Incurred Per Day'!S8</f>
        <v>20</v>
      </c>
      <c r="F11" s="295">
        <f t="shared" ca="1" si="6"/>
        <v>39.729999999999997</v>
      </c>
      <c r="G11" s="441">
        <f t="shared" ca="1" si="7"/>
        <v>285153</v>
      </c>
      <c r="H11" s="295">
        <f t="shared" ca="1" si="8"/>
        <v>1.99</v>
      </c>
      <c r="N11" s="4">
        <f t="shared" si="4"/>
        <v>45170</v>
      </c>
      <c r="O11" s="216" t="str">
        <f t="shared" si="0"/>
        <v>Sep</v>
      </c>
      <c r="P11" s="2" t="str">
        <f t="shared" si="1"/>
        <v>Fri</v>
      </c>
      <c r="Q11" s="436">
        <f t="shared" si="5"/>
        <v>30</v>
      </c>
      <c r="R11" s="436">
        <f t="shared" si="2"/>
        <v>21</v>
      </c>
      <c r="S11" s="436">
        <f t="shared" si="3"/>
        <v>20</v>
      </c>
      <c r="U11" s="171" t="s">
        <v>848</v>
      </c>
      <c r="V11" s="10">
        <v>20</v>
      </c>
      <c r="W11" s="10">
        <v>21</v>
      </c>
      <c r="X11" s="10">
        <v>22</v>
      </c>
      <c r="Y11" s="10">
        <v>23</v>
      </c>
      <c r="AB11">
        <f t="shared" ref="AB11:AB44" si="38">1+AB10</f>
        <v>3</v>
      </c>
      <c r="AC11" s="121">
        <f>Transport!$A22</f>
        <v>44348</v>
      </c>
      <c r="AD11" s="132" t="str">
        <f t="shared" si="16"/>
        <v>6</v>
      </c>
      <c r="AE11" s="132" t="str">
        <f>RIGHT((TEXT(0,YEAR(AC11))),2)</f>
        <v>21</v>
      </c>
      <c r="AF11" s="132" t="str">
        <f>AD11&amp;"/"&amp;AE11</f>
        <v>6/21</v>
      </c>
      <c r="AG11" s="133" t="str">
        <f>AD11&amp;"/"&amp;AE11</f>
        <v>6/21</v>
      </c>
      <c r="AH11" s="73">
        <f>H41</f>
        <v>1.76</v>
      </c>
      <c r="AI11" s="73">
        <f>LeastSq!AD9</f>
        <v>10.97452854172418</v>
      </c>
      <c r="AJ11" s="73"/>
      <c r="AK11" s="73"/>
      <c r="AL11" s="73">
        <f>Transport!$G22</f>
        <v>1.9245230987039042E-3</v>
      </c>
      <c r="AM11" s="73">
        <f t="shared" si="17"/>
        <v>1.76</v>
      </c>
      <c r="AP11" s="121">
        <f t="shared" si="18"/>
        <v>44348</v>
      </c>
      <c r="AQ11" s="73">
        <f t="shared" si="19"/>
        <v>1.76</v>
      </c>
      <c r="AR11" s="73">
        <f>Transport!$N22</f>
        <v>38.577628749314165</v>
      </c>
      <c r="AS11" s="73">
        <f>Transport!$J22</f>
        <v>38.790531392615186</v>
      </c>
      <c r="AT11" s="73">
        <f>Transport!$O22</f>
        <v>38.577628749314165</v>
      </c>
      <c r="AU11" s="2">
        <v>3</v>
      </c>
      <c r="AW11" s="121">
        <f>Transport!$A22</f>
        <v>44348</v>
      </c>
      <c r="AX11" s="73">
        <f t="shared" si="9"/>
        <v>1.76</v>
      </c>
      <c r="AY11" s="15">
        <f t="shared" si="20"/>
        <v>0.56531380905006046</v>
      </c>
      <c r="AZ11" s="98">
        <f t="shared" si="21"/>
        <v>1</v>
      </c>
      <c r="BA11" s="128">
        <f>IF(AZ11&gt;0,3,0)</f>
        <v>3</v>
      </c>
      <c r="BB11" s="128">
        <f t="shared" si="22"/>
        <v>9</v>
      </c>
      <c r="BC11" s="15">
        <f t="shared" si="23"/>
        <v>1.6959414271501814</v>
      </c>
      <c r="BD11" s="127">
        <f t="shared" ca="1" si="10"/>
        <v>0.64441853176509734</v>
      </c>
      <c r="BE11" s="127">
        <f t="shared" ca="1" si="24"/>
        <v>1.9048790805079876</v>
      </c>
      <c r="BG11" s="121">
        <f>Transport!$A22</f>
        <v>44348</v>
      </c>
      <c r="BH11" s="73">
        <f t="shared" si="25"/>
        <v>0</v>
      </c>
      <c r="BI11" s="15">
        <f t="shared" si="26"/>
        <v>0</v>
      </c>
      <c r="BJ11" s="98">
        <f t="shared" si="27"/>
        <v>0</v>
      </c>
      <c r="BK11" s="128">
        <f>IF(BJ11&gt;0,3,0)</f>
        <v>0</v>
      </c>
      <c r="BL11" s="128">
        <f t="shared" si="28"/>
        <v>0</v>
      </c>
      <c r="BM11" s="15">
        <f t="shared" si="29"/>
        <v>0</v>
      </c>
      <c r="BN11" s="127" t="e">
        <f t="shared" si="11"/>
        <v>#DIV/0!</v>
      </c>
      <c r="BO11" s="127" t="e">
        <f>EXP(BN11)</f>
        <v>#DIV/0!</v>
      </c>
      <c r="BQ11" s="121">
        <f>Transport!$A22</f>
        <v>44348</v>
      </c>
      <c r="BR11" s="131">
        <v>0</v>
      </c>
      <c r="BS11" s="15">
        <f t="shared" si="30"/>
        <v>0</v>
      </c>
      <c r="BT11" s="98">
        <f t="shared" si="31"/>
        <v>0</v>
      </c>
      <c r="BU11" s="128">
        <f>IF(BT11&gt;0,3,0)</f>
        <v>0</v>
      </c>
      <c r="BV11" s="128">
        <f t="shared" si="32"/>
        <v>0</v>
      </c>
      <c r="BW11" s="15">
        <f t="shared" si="33"/>
        <v>0</v>
      </c>
      <c r="BX11" s="127" t="e">
        <f t="shared" si="12"/>
        <v>#DIV/0!</v>
      </c>
      <c r="BY11" s="127" t="e">
        <f t="shared" si="13"/>
        <v>#DIV/0!</v>
      </c>
      <c r="CA11" s="121">
        <f>Transport!$A22</f>
        <v>44348</v>
      </c>
      <c r="CB11" s="131">
        <v>0</v>
      </c>
      <c r="CC11" s="15">
        <f t="shared" si="34"/>
        <v>0</v>
      </c>
      <c r="CD11" s="98">
        <f t="shared" si="35"/>
        <v>0</v>
      </c>
      <c r="CE11" s="128">
        <f>IF(CD11&gt;0,3,0)</f>
        <v>0</v>
      </c>
      <c r="CF11" s="128">
        <f t="shared" si="36"/>
        <v>0</v>
      </c>
      <c r="CG11" s="15">
        <f t="shared" si="37"/>
        <v>0</v>
      </c>
      <c r="CH11" s="127" t="e">
        <f t="shared" si="14"/>
        <v>#DIV/0!</v>
      </c>
      <c r="CI11" s="127" t="e">
        <f t="shared" si="15"/>
        <v>#DIV/0!</v>
      </c>
    </row>
    <row r="12" spans="2:87" x14ac:dyDescent="0.2">
      <c r="B12" s="440">
        <f>'Incurred Per Day'!N9</f>
        <v>45231</v>
      </c>
      <c r="C12" s="441">
        <f ca="1">Final!X15</f>
        <v>6005202</v>
      </c>
      <c r="D12" s="151">
        <f>Data!AO12</f>
        <v>142616</v>
      </c>
      <c r="E12" s="10">
        <f>'Incurred Per Day'!S9</f>
        <v>20</v>
      </c>
      <c r="F12" s="295">
        <f t="shared" ca="1" si="6"/>
        <v>42.11</v>
      </c>
      <c r="G12" s="441">
        <f t="shared" ca="1" si="7"/>
        <v>300260</v>
      </c>
      <c r="H12" s="295">
        <f t="shared" ca="1" si="8"/>
        <v>2.11</v>
      </c>
      <c r="N12" s="4">
        <f t="shared" si="4"/>
        <v>45139</v>
      </c>
      <c r="O12" s="216" t="str">
        <f t="shared" si="0"/>
        <v>Aug</v>
      </c>
      <c r="P12" s="2" t="str">
        <f t="shared" si="1"/>
        <v>Tue</v>
      </c>
      <c r="Q12" s="436">
        <f t="shared" si="5"/>
        <v>31</v>
      </c>
      <c r="R12" s="436">
        <f t="shared" si="2"/>
        <v>23</v>
      </c>
      <c r="S12" s="436">
        <f t="shared" si="3"/>
        <v>23</v>
      </c>
      <c r="AB12">
        <f t="shared" si="38"/>
        <v>4</v>
      </c>
      <c r="AC12" s="121">
        <f>Transport!$A23</f>
        <v>44378</v>
      </c>
      <c r="AD12" s="132" t="str">
        <f t="shared" si="16"/>
        <v>7</v>
      </c>
      <c r="AE12" s="132" t="str">
        <f t="shared" ref="AE12:AE35" si="39">RIGHT((TEXT(0,YEAR(AC12))),2)</f>
        <v>21</v>
      </c>
      <c r="AF12" s="132" t="str">
        <f t="shared" ref="AF12:AF35" si="40">AD12&amp;"/"&amp;AE12</f>
        <v>7/21</v>
      </c>
      <c r="AG12" s="134" t="s">
        <v>277</v>
      </c>
      <c r="AH12" s="73">
        <f>H40</f>
        <v>1.92</v>
      </c>
      <c r="AI12" s="73">
        <f>LeastSq!AD10</f>
        <v>14.790404103594618</v>
      </c>
      <c r="AJ12" s="73"/>
      <c r="AK12" s="73"/>
      <c r="AL12" s="73">
        <f>Transport!$G23</f>
        <v>5.8229222724351945E-3</v>
      </c>
      <c r="AM12" s="73">
        <f t="shared" si="17"/>
        <v>1.92</v>
      </c>
      <c r="AP12" s="121">
        <f t="shared" si="18"/>
        <v>44378</v>
      </c>
      <c r="AQ12" s="73">
        <f t="shared" si="19"/>
        <v>1.92</v>
      </c>
      <c r="AR12" s="73">
        <f>Transport!$N23</f>
        <v>42.313181658837323</v>
      </c>
      <c r="AS12" s="73">
        <f>Transport!$J23</f>
        <v>40.350388620093234</v>
      </c>
      <c r="AT12" s="73">
        <f>Transport!$O23</f>
        <v>42.313181658837323</v>
      </c>
      <c r="AU12" s="2">
        <v>4</v>
      </c>
      <c r="AW12" s="121">
        <f>Transport!$A23</f>
        <v>44378</v>
      </c>
      <c r="AX12" s="73">
        <f t="shared" si="9"/>
        <v>1.92</v>
      </c>
      <c r="AY12" s="15">
        <f t="shared" si="20"/>
        <v>0.65232518603969014</v>
      </c>
      <c r="AZ12" s="98">
        <f t="shared" si="21"/>
        <v>1</v>
      </c>
      <c r="BA12" s="128">
        <f>IF(AZ12&gt;0,4,0)</f>
        <v>4</v>
      </c>
      <c r="BB12" s="128">
        <f t="shared" si="22"/>
        <v>16</v>
      </c>
      <c r="BC12" s="15">
        <f t="shared" si="23"/>
        <v>2.6093007441587606</v>
      </c>
      <c r="BD12" s="127">
        <f t="shared" ca="1" si="10"/>
        <v>0.64441853176509734</v>
      </c>
      <c r="BE12" s="127">
        <f t="shared" ca="1" si="24"/>
        <v>1.9048790805079876</v>
      </c>
      <c r="BG12" s="121">
        <f>Transport!$A23</f>
        <v>44378</v>
      </c>
      <c r="BH12" s="73">
        <f t="shared" si="25"/>
        <v>0</v>
      </c>
      <c r="BI12" s="15">
        <f t="shared" si="26"/>
        <v>0</v>
      </c>
      <c r="BJ12" s="98">
        <f t="shared" si="27"/>
        <v>0</v>
      </c>
      <c r="BK12" s="128">
        <f>IF(BJ12&gt;0,4,0)</f>
        <v>0</v>
      </c>
      <c r="BL12" s="128">
        <f t="shared" si="28"/>
        <v>0</v>
      </c>
      <c r="BM12" s="15">
        <f t="shared" si="29"/>
        <v>0</v>
      </c>
      <c r="BN12" s="127" t="e">
        <f t="shared" si="11"/>
        <v>#DIV/0!</v>
      </c>
      <c r="BO12" s="127" t="e">
        <f t="shared" ref="BO12:BO44" si="41">EXP(BN12)</f>
        <v>#DIV/0!</v>
      </c>
      <c r="BQ12" s="121">
        <f>Transport!$A23</f>
        <v>44378</v>
      </c>
      <c r="BR12" s="131">
        <v>0</v>
      </c>
      <c r="BS12" s="15">
        <f t="shared" si="30"/>
        <v>0</v>
      </c>
      <c r="BT12" s="98">
        <f t="shared" si="31"/>
        <v>0</v>
      </c>
      <c r="BU12" s="128">
        <f>IF(BT12&gt;0,4,0)</f>
        <v>0</v>
      </c>
      <c r="BV12" s="128">
        <f t="shared" si="32"/>
        <v>0</v>
      </c>
      <c r="BW12" s="15">
        <f t="shared" si="33"/>
        <v>0</v>
      </c>
      <c r="BX12" s="127" t="e">
        <f t="shared" si="12"/>
        <v>#DIV/0!</v>
      </c>
      <c r="BY12" s="127" t="e">
        <f t="shared" si="13"/>
        <v>#DIV/0!</v>
      </c>
      <c r="CA12" s="121">
        <f>Transport!$A23</f>
        <v>44378</v>
      </c>
      <c r="CB12" s="131">
        <v>0</v>
      </c>
      <c r="CC12" s="15">
        <f t="shared" si="34"/>
        <v>0</v>
      </c>
      <c r="CD12" s="98">
        <f t="shared" si="35"/>
        <v>0</v>
      </c>
      <c r="CE12" s="128">
        <f>IF(CD12&gt;0,4,0)</f>
        <v>0</v>
      </c>
      <c r="CF12" s="128">
        <f t="shared" si="36"/>
        <v>0</v>
      </c>
      <c r="CG12" s="15">
        <f t="shared" si="37"/>
        <v>0</v>
      </c>
      <c r="CH12" s="127" t="e">
        <f t="shared" si="14"/>
        <v>#DIV/0!</v>
      </c>
      <c r="CI12" s="127" t="e">
        <f t="shared" si="15"/>
        <v>#DIV/0!</v>
      </c>
    </row>
    <row r="13" spans="2:87" x14ac:dyDescent="0.2">
      <c r="B13" s="440">
        <f>'Incurred Per Day'!N10</f>
        <v>45200</v>
      </c>
      <c r="C13" s="441">
        <f ca="1">Final!X16</f>
        <v>6394678</v>
      </c>
      <c r="D13" s="151">
        <f>Data!AO13</f>
        <v>140994</v>
      </c>
      <c r="E13" s="10">
        <f>'Incurred Per Day'!S10</f>
        <v>22</v>
      </c>
      <c r="F13" s="295">
        <f t="shared" ca="1" si="6"/>
        <v>45.35</v>
      </c>
      <c r="G13" s="441">
        <f t="shared" ca="1" si="7"/>
        <v>290667</v>
      </c>
      <c r="H13" s="295">
        <f t="shared" ca="1" si="8"/>
        <v>2.06</v>
      </c>
      <c r="N13" s="4">
        <f t="shared" si="4"/>
        <v>45108</v>
      </c>
      <c r="O13" s="216" t="str">
        <f t="shared" si="0"/>
        <v>Jul</v>
      </c>
      <c r="P13" s="2" t="str">
        <f t="shared" si="1"/>
        <v>Sat</v>
      </c>
      <c r="Q13" s="436">
        <f t="shared" si="5"/>
        <v>31</v>
      </c>
      <c r="R13" s="436">
        <f t="shared" si="2"/>
        <v>21</v>
      </c>
      <c r="S13" s="436">
        <f t="shared" si="3"/>
        <v>20</v>
      </c>
      <c r="U13" s="102" t="s">
        <v>863</v>
      </c>
      <c r="V13" s="630" t="s">
        <v>857</v>
      </c>
      <c r="W13" s="631"/>
      <c r="X13" s="632"/>
      <c r="AB13">
        <f t="shared" si="38"/>
        <v>5</v>
      </c>
      <c r="AC13" s="121">
        <f>Transport!$A24</f>
        <v>44409</v>
      </c>
      <c r="AD13" s="132" t="str">
        <f t="shared" si="16"/>
        <v>8</v>
      </c>
      <c r="AE13" s="132" t="str">
        <f t="shared" si="39"/>
        <v>21</v>
      </c>
      <c r="AF13" s="132" t="str">
        <f t="shared" si="40"/>
        <v>8/21</v>
      </c>
      <c r="AG13" s="134" t="s">
        <v>267</v>
      </c>
      <c r="AH13" s="73">
        <f>H39</f>
        <v>2.17</v>
      </c>
      <c r="AI13" s="73">
        <f>LeastSq!AD11</f>
        <v>19.334984363180119</v>
      </c>
      <c r="AJ13" s="73"/>
      <c r="AK13" s="73"/>
      <c r="AL13" s="73">
        <f>Transport!$G24</f>
        <v>2.0133525558873468E-2</v>
      </c>
      <c r="AM13" s="73">
        <f t="shared" si="17"/>
        <v>2.17</v>
      </c>
      <c r="AP13" s="121">
        <f t="shared" si="18"/>
        <v>44409</v>
      </c>
      <c r="AQ13" s="73">
        <f t="shared" si="19"/>
        <v>2.17</v>
      </c>
      <c r="AR13" s="73">
        <f>Transport!$N24</f>
        <v>44.795601437525484</v>
      </c>
      <c r="AS13" s="73">
        <f>Transport!$J24</f>
        <v>47.798624963803547</v>
      </c>
      <c r="AT13" s="73">
        <f>Transport!$O24</f>
        <v>44.795601437525484</v>
      </c>
      <c r="AU13" s="2">
        <v>5</v>
      </c>
      <c r="AW13" s="121">
        <f>Transport!$A24</f>
        <v>44409</v>
      </c>
      <c r="AX13" s="73">
        <f t="shared" si="9"/>
        <v>2.17</v>
      </c>
      <c r="AY13" s="15">
        <f t="shared" si="20"/>
        <v>0.77472716755236815</v>
      </c>
      <c r="AZ13" s="98">
        <f t="shared" si="21"/>
        <v>1</v>
      </c>
      <c r="BA13" s="128">
        <f>IF(AZ13&gt;0,5,0)</f>
        <v>5</v>
      </c>
      <c r="BB13" s="128">
        <f t="shared" si="22"/>
        <v>25</v>
      </c>
      <c r="BC13" s="15">
        <f t="shared" si="23"/>
        <v>3.8736358377618405</v>
      </c>
      <c r="BD13" s="127">
        <f t="shared" ca="1" si="10"/>
        <v>0.64441853176509734</v>
      </c>
      <c r="BE13" s="127">
        <f t="shared" ca="1" si="24"/>
        <v>1.9048790805079876</v>
      </c>
      <c r="BG13" s="121">
        <f>Transport!$A24</f>
        <v>44409</v>
      </c>
      <c r="BH13" s="73">
        <f t="shared" si="25"/>
        <v>0</v>
      </c>
      <c r="BI13" s="15">
        <f t="shared" si="26"/>
        <v>0</v>
      </c>
      <c r="BJ13" s="98">
        <f t="shared" si="27"/>
        <v>0</v>
      </c>
      <c r="BK13" s="128">
        <f>IF(BJ13&gt;0,5,0)</f>
        <v>0</v>
      </c>
      <c r="BL13" s="128">
        <f t="shared" si="28"/>
        <v>0</v>
      </c>
      <c r="BM13" s="15">
        <f t="shared" si="29"/>
        <v>0</v>
      </c>
      <c r="BN13" s="127" t="e">
        <f t="shared" si="11"/>
        <v>#DIV/0!</v>
      </c>
      <c r="BO13" s="127" t="e">
        <f t="shared" si="41"/>
        <v>#DIV/0!</v>
      </c>
      <c r="BQ13" s="121">
        <f>Transport!$A24</f>
        <v>44409</v>
      </c>
      <c r="BR13" s="131">
        <v>0</v>
      </c>
      <c r="BS13" s="15">
        <f t="shared" si="30"/>
        <v>0</v>
      </c>
      <c r="BT13" s="98">
        <f t="shared" si="31"/>
        <v>0</v>
      </c>
      <c r="BU13" s="128">
        <f>IF(BT13&gt;0,5,0)</f>
        <v>0</v>
      </c>
      <c r="BV13" s="128">
        <f t="shared" si="32"/>
        <v>0</v>
      </c>
      <c r="BW13" s="15">
        <f t="shared" si="33"/>
        <v>0</v>
      </c>
      <c r="BX13" s="127" t="e">
        <f t="shared" si="12"/>
        <v>#DIV/0!</v>
      </c>
      <c r="BY13" s="127" t="e">
        <f t="shared" si="13"/>
        <v>#DIV/0!</v>
      </c>
      <c r="CA13" s="121">
        <f>Transport!$A24</f>
        <v>44409</v>
      </c>
      <c r="CB13" s="131">
        <v>0</v>
      </c>
      <c r="CC13" s="15">
        <f t="shared" si="34"/>
        <v>0</v>
      </c>
      <c r="CD13" s="98">
        <f t="shared" si="35"/>
        <v>0</v>
      </c>
      <c r="CE13" s="128">
        <f>IF(CD13&gt;0,5,0)</f>
        <v>0</v>
      </c>
      <c r="CF13" s="128">
        <f t="shared" si="36"/>
        <v>0</v>
      </c>
      <c r="CG13" s="15">
        <f t="shared" si="37"/>
        <v>0</v>
      </c>
      <c r="CH13" s="127" t="e">
        <f t="shared" si="14"/>
        <v>#DIV/0!</v>
      </c>
      <c r="CI13" s="127" t="e">
        <f t="shared" si="15"/>
        <v>#DIV/0!</v>
      </c>
    </row>
    <row r="14" spans="2:87" ht="12" thickBot="1" x14ac:dyDescent="0.25">
      <c r="B14" s="440">
        <f>'Incurred Per Day'!N11</f>
        <v>45170</v>
      </c>
      <c r="C14" s="441">
        <f ca="1">Final!X17</f>
        <v>5476271</v>
      </c>
      <c r="D14" s="151">
        <f>Data!AO14</f>
        <v>138164</v>
      </c>
      <c r="E14" s="10">
        <f>'Incurred Per Day'!S11</f>
        <v>20</v>
      </c>
      <c r="F14" s="295">
        <f t="shared" ca="1" si="6"/>
        <v>39.64</v>
      </c>
      <c r="G14" s="441">
        <f t="shared" ca="1" si="7"/>
        <v>273814</v>
      </c>
      <c r="H14" s="295">
        <f t="shared" ca="1" si="8"/>
        <v>1.98</v>
      </c>
      <c r="N14" s="4">
        <f t="shared" si="4"/>
        <v>45078</v>
      </c>
      <c r="O14" s="216" t="str">
        <f t="shared" si="0"/>
        <v>Jun</v>
      </c>
      <c r="P14" s="2" t="str">
        <f t="shared" si="1"/>
        <v>Thu</v>
      </c>
      <c r="Q14" s="436">
        <f t="shared" si="5"/>
        <v>30</v>
      </c>
      <c r="R14" s="436">
        <f t="shared" si="2"/>
        <v>22</v>
      </c>
      <c r="S14" s="436">
        <f t="shared" si="3"/>
        <v>22</v>
      </c>
      <c r="U14" s="8" t="s">
        <v>41</v>
      </c>
      <c r="V14" s="8" t="s">
        <v>167</v>
      </c>
      <c r="W14" s="8" t="s">
        <v>861</v>
      </c>
      <c r="X14" s="8" t="s">
        <v>86</v>
      </c>
      <c r="AB14">
        <f t="shared" si="38"/>
        <v>6</v>
      </c>
      <c r="AC14" s="121">
        <f>Transport!$A25</f>
        <v>44440</v>
      </c>
      <c r="AD14" s="132" t="str">
        <f t="shared" si="16"/>
        <v>9</v>
      </c>
      <c r="AE14" s="132" t="str">
        <f t="shared" si="39"/>
        <v>21</v>
      </c>
      <c r="AF14" s="132" t="str">
        <f t="shared" si="40"/>
        <v>9/21</v>
      </c>
      <c r="AG14" s="133" t="str">
        <f>AD14&amp;"/"&amp;AE14</f>
        <v>9/21</v>
      </c>
      <c r="AH14" s="73">
        <f>H38</f>
        <v>2.2000000000000002</v>
      </c>
      <c r="AI14" s="73">
        <f>LeastSq!AD12</f>
        <v>23.002784669182176</v>
      </c>
      <c r="AJ14" s="73"/>
      <c r="AK14" s="73"/>
      <c r="AL14" s="73">
        <f>Transport!$G25</f>
        <v>2.9205499086951137E-2</v>
      </c>
      <c r="AM14" s="73">
        <f t="shared" si="17"/>
        <v>2.2000000000000002</v>
      </c>
      <c r="AP14" s="121">
        <f t="shared" si="18"/>
        <v>44440</v>
      </c>
      <c r="AQ14" s="73">
        <f t="shared" si="19"/>
        <v>2.2000000000000002</v>
      </c>
      <c r="AR14" s="73">
        <f>Transport!$N25</f>
        <v>47.219513754038104</v>
      </c>
      <c r="AS14" s="73">
        <f>Transport!$J25</f>
        <v>46.237790728679677</v>
      </c>
      <c r="AT14" s="73">
        <f>Transport!$O25</f>
        <v>47.219513754038104</v>
      </c>
      <c r="AU14" s="2">
        <v>6</v>
      </c>
      <c r="AW14" s="121">
        <f>Transport!$A25</f>
        <v>44440</v>
      </c>
      <c r="AX14" s="73">
        <f t="shared" si="9"/>
        <v>2.2000000000000002</v>
      </c>
      <c r="AY14" s="15">
        <f t="shared" si="20"/>
        <v>0.78845736036427028</v>
      </c>
      <c r="AZ14" s="98">
        <f t="shared" si="21"/>
        <v>1</v>
      </c>
      <c r="BA14" s="128">
        <f>IF(AZ14&gt;0,6,0)</f>
        <v>6</v>
      </c>
      <c r="BB14" s="128">
        <f t="shared" si="22"/>
        <v>36</v>
      </c>
      <c r="BC14" s="15">
        <f t="shared" si="23"/>
        <v>4.7307441621856219</v>
      </c>
      <c r="BD14" s="127">
        <f t="shared" ca="1" si="10"/>
        <v>0.64441853176509734</v>
      </c>
      <c r="BE14" s="127">
        <f t="shared" ca="1" si="24"/>
        <v>1.9048790805079876</v>
      </c>
      <c r="BG14" s="121">
        <f>Transport!$A25</f>
        <v>44440</v>
      </c>
      <c r="BH14" s="73">
        <f t="shared" si="25"/>
        <v>0</v>
      </c>
      <c r="BI14" s="15">
        <f t="shared" si="26"/>
        <v>0</v>
      </c>
      <c r="BJ14" s="98">
        <f t="shared" si="27"/>
        <v>0</v>
      </c>
      <c r="BK14" s="128">
        <f>IF(BJ14&gt;0,6,0)</f>
        <v>0</v>
      </c>
      <c r="BL14" s="128">
        <f t="shared" si="28"/>
        <v>0</v>
      </c>
      <c r="BM14" s="15">
        <f t="shared" si="29"/>
        <v>0</v>
      </c>
      <c r="BN14" s="127" t="e">
        <f t="shared" si="11"/>
        <v>#DIV/0!</v>
      </c>
      <c r="BO14" s="127" t="e">
        <f t="shared" si="41"/>
        <v>#DIV/0!</v>
      </c>
      <c r="BQ14" s="121">
        <f>Transport!$A25</f>
        <v>44440</v>
      </c>
      <c r="BR14" s="131">
        <v>0</v>
      </c>
      <c r="BS14" s="15">
        <f t="shared" si="30"/>
        <v>0</v>
      </c>
      <c r="BT14" s="98">
        <f t="shared" si="31"/>
        <v>0</v>
      </c>
      <c r="BU14" s="128">
        <f>IF(BT14&gt;0,6,0)</f>
        <v>0</v>
      </c>
      <c r="BV14" s="128">
        <f t="shared" si="32"/>
        <v>0</v>
      </c>
      <c r="BW14" s="15">
        <f t="shared" si="33"/>
        <v>0</v>
      </c>
      <c r="BX14" s="127" t="e">
        <f t="shared" si="12"/>
        <v>#DIV/0!</v>
      </c>
      <c r="BY14" s="127" t="e">
        <f t="shared" si="13"/>
        <v>#DIV/0!</v>
      </c>
      <c r="CA14" s="121">
        <f>Transport!$A25</f>
        <v>44440</v>
      </c>
      <c r="CB14" s="131">
        <v>0</v>
      </c>
      <c r="CC14" s="15">
        <f t="shared" si="34"/>
        <v>0</v>
      </c>
      <c r="CD14" s="98">
        <f t="shared" si="35"/>
        <v>0</v>
      </c>
      <c r="CE14" s="128">
        <f>IF(CD14&gt;0,6,0)</f>
        <v>0</v>
      </c>
      <c r="CF14" s="128">
        <f t="shared" si="36"/>
        <v>0</v>
      </c>
      <c r="CG14" s="15">
        <f t="shared" si="37"/>
        <v>0</v>
      </c>
      <c r="CH14" s="127" t="e">
        <f t="shared" si="14"/>
        <v>#DIV/0!</v>
      </c>
      <c r="CI14" s="127" t="e">
        <f t="shared" si="15"/>
        <v>#DIV/0!</v>
      </c>
    </row>
    <row r="15" spans="2:87" x14ac:dyDescent="0.2">
      <c r="B15" s="440">
        <f>'Incurred Per Day'!N12</f>
        <v>45139</v>
      </c>
      <c r="C15" s="441">
        <f ca="1">Final!X18</f>
        <v>6008618</v>
      </c>
      <c r="D15" s="151">
        <f>Data!AO15</f>
        <v>136843</v>
      </c>
      <c r="E15" s="10">
        <f>'Incurred Per Day'!S12</f>
        <v>23</v>
      </c>
      <c r="F15" s="295">
        <f t="shared" ca="1" si="6"/>
        <v>43.91</v>
      </c>
      <c r="G15" s="441">
        <f t="shared" ca="1" si="7"/>
        <v>261244</v>
      </c>
      <c r="H15" s="295">
        <f t="shared" ca="1" si="8"/>
        <v>1.91</v>
      </c>
      <c r="N15" s="4">
        <f t="shared" si="4"/>
        <v>45047</v>
      </c>
      <c r="O15" s="216" t="str">
        <f t="shared" si="0"/>
        <v>May</v>
      </c>
      <c r="P15" s="2" t="str">
        <f t="shared" si="1"/>
        <v>Mon</v>
      </c>
      <c r="Q15" s="436">
        <f t="shared" si="5"/>
        <v>31</v>
      </c>
      <c r="R15" s="436">
        <f t="shared" si="2"/>
        <v>23</v>
      </c>
      <c r="S15" s="436">
        <f t="shared" si="3"/>
        <v>22</v>
      </c>
      <c r="U15" s="433" t="s">
        <v>501</v>
      </c>
      <c r="V15" s="7"/>
      <c r="W15" s="442">
        <v>0</v>
      </c>
      <c r="X15" s="7">
        <f t="shared" ref="X15:X26" si="42">SUM(V15:W15)</f>
        <v>0</v>
      </c>
      <c r="AB15">
        <f t="shared" si="38"/>
        <v>7</v>
      </c>
      <c r="AC15" s="121">
        <f>Transport!$A26</f>
        <v>44470</v>
      </c>
      <c r="AD15" s="132" t="str">
        <f t="shared" si="16"/>
        <v>10</v>
      </c>
      <c r="AE15" s="132" t="str">
        <f t="shared" si="39"/>
        <v>21</v>
      </c>
      <c r="AF15" s="132" t="str">
        <f t="shared" si="40"/>
        <v>10/21</v>
      </c>
      <c r="AG15" s="134" t="s">
        <v>278</v>
      </c>
      <c r="AH15" s="73">
        <f>H37</f>
        <v>2.27</v>
      </c>
      <c r="AI15" s="73">
        <f>LeastSq!AD13</f>
        <v>27.043082332924619</v>
      </c>
      <c r="AJ15" s="73"/>
      <c r="AK15" s="73"/>
      <c r="AL15" s="73">
        <f>Transport!$G26</f>
        <v>3.7570825647524536E-2</v>
      </c>
      <c r="AM15" s="73">
        <f t="shared" si="17"/>
        <v>2.27</v>
      </c>
      <c r="AP15" s="121">
        <f t="shared" si="18"/>
        <v>44470</v>
      </c>
      <c r="AQ15" s="73">
        <f t="shared" si="19"/>
        <v>2.27</v>
      </c>
      <c r="AR15" s="73">
        <f>Transport!$N26</f>
        <v>47.029073647339999</v>
      </c>
      <c r="AS15" s="73">
        <f>Transport!$J26</f>
        <v>47.622125569631088</v>
      </c>
      <c r="AT15" s="73">
        <f>Transport!$O26</f>
        <v>47.029073647339999</v>
      </c>
      <c r="AU15" s="2">
        <v>7</v>
      </c>
      <c r="AW15" s="121">
        <f>Transport!$A26</f>
        <v>44470</v>
      </c>
      <c r="AX15" s="73">
        <f t="shared" si="9"/>
        <v>2.27</v>
      </c>
      <c r="AY15" s="15">
        <f t="shared" si="20"/>
        <v>0.81977983149331135</v>
      </c>
      <c r="AZ15" s="98">
        <f t="shared" si="21"/>
        <v>1</v>
      </c>
      <c r="BA15" s="128">
        <f>IF(AZ15&gt;0,7,0)</f>
        <v>7</v>
      </c>
      <c r="BB15" s="128">
        <f t="shared" si="22"/>
        <v>49</v>
      </c>
      <c r="BC15" s="15">
        <f t="shared" si="23"/>
        <v>5.7384588204531797</v>
      </c>
      <c r="BD15" s="127">
        <f t="shared" ca="1" si="10"/>
        <v>0.64441853176509734</v>
      </c>
      <c r="BE15" s="127">
        <f t="shared" ca="1" si="24"/>
        <v>1.9048790805079876</v>
      </c>
      <c r="BG15" s="121">
        <f>Transport!$A26</f>
        <v>44470</v>
      </c>
      <c r="BH15" s="73">
        <f t="shared" si="25"/>
        <v>0</v>
      </c>
      <c r="BI15" s="15">
        <f t="shared" si="26"/>
        <v>0</v>
      </c>
      <c r="BJ15" s="98">
        <f t="shared" si="27"/>
        <v>0</v>
      </c>
      <c r="BK15" s="128">
        <f>IF(BJ15&gt;0,7,0)</f>
        <v>0</v>
      </c>
      <c r="BL15" s="128">
        <f t="shared" si="28"/>
        <v>0</v>
      </c>
      <c r="BM15" s="15">
        <f t="shared" si="29"/>
        <v>0</v>
      </c>
      <c r="BN15" s="127" t="e">
        <f t="shared" si="11"/>
        <v>#DIV/0!</v>
      </c>
      <c r="BO15" s="127" t="e">
        <f t="shared" si="41"/>
        <v>#DIV/0!</v>
      </c>
      <c r="BQ15" s="121">
        <f>Transport!$A26</f>
        <v>44470</v>
      </c>
      <c r="BR15" s="131">
        <v>0</v>
      </c>
      <c r="BS15" s="15">
        <f t="shared" si="30"/>
        <v>0</v>
      </c>
      <c r="BT15" s="98">
        <f t="shared" si="31"/>
        <v>0</v>
      </c>
      <c r="BU15" s="128">
        <f>IF(BT15&gt;0,7,0)</f>
        <v>0</v>
      </c>
      <c r="BV15" s="128">
        <f t="shared" si="32"/>
        <v>0</v>
      </c>
      <c r="BW15" s="15">
        <f t="shared" si="33"/>
        <v>0</v>
      </c>
      <c r="BX15" s="127" t="e">
        <f t="shared" si="12"/>
        <v>#DIV/0!</v>
      </c>
      <c r="BY15" s="127" t="e">
        <f t="shared" si="13"/>
        <v>#DIV/0!</v>
      </c>
      <c r="CA15" s="121">
        <f>Transport!$A26</f>
        <v>44470</v>
      </c>
      <c r="CB15" s="131">
        <v>0</v>
      </c>
      <c r="CC15" s="15">
        <f t="shared" si="34"/>
        <v>0</v>
      </c>
      <c r="CD15" s="98">
        <f t="shared" si="35"/>
        <v>0</v>
      </c>
      <c r="CE15" s="128">
        <f>IF(CD15&gt;0,7,0)</f>
        <v>0</v>
      </c>
      <c r="CF15" s="128">
        <f t="shared" si="36"/>
        <v>0</v>
      </c>
      <c r="CG15" s="15">
        <f t="shared" si="37"/>
        <v>0</v>
      </c>
      <c r="CH15" s="127" t="e">
        <f t="shared" si="14"/>
        <v>#DIV/0!</v>
      </c>
      <c r="CI15" s="127" t="e">
        <f t="shared" si="15"/>
        <v>#DIV/0!</v>
      </c>
    </row>
    <row r="16" spans="2:87" x14ac:dyDescent="0.2">
      <c r="B16" s="440">
        <f>'Incurred Per Day'!N13</f>
        <v>45108</v>
      </c>
      <c r="C16" s="441">
        <f ca="1">Final!X19</f>
        <v>5220777</v>
      </c>
      <c r="D16" s="151">
        <f>Data!AO16</f>
        <v>136235</v>
      </c>
      <c r="E16" s="10">
        <f>'Incurred Per Day'!S13</f>
        <v>20</v>
      </c>
      <c r="F16" s="295">
        <f t="shared" ca="1" si="6"/>
        <v>38.32</v>
      </c>
      <c r="G16" s="441">
        <f t="shared" ca="1" si="7"/>
        <v>261039</v>
      </c>
      <c r="H16" s="295">
        <f t="shared" ca="1" si="8"/>
        <v>1.92</v>
      </c>
      <c r="N16" s="4">
        <f t="shared" si="4"/>
        <v>45017</v>
      </c>
      <c r="O16" s="216" t="str">
        <f t="shared" si="0"/>
        <v>Apr</v>
      </c>
      <c r="P16" s="2" t="str">
        <f t="shared" si="1"/>
        <v>Sat</v>
      </c>
      <c r="Q16" s="436">
        <f t="shared" si="5"/>
        <v>30</v>
      </c>
      <c r="R16" s="436">
        <f t="shared" si="2"/>
        <v>20</v>
      </c>
      <c r="S16" s="436">
        <f t="shared" si="3"/>
        <v>20</v>
      </c>
      <c r="U16" s="434" t="s">
        <v>505</v>
      </c>
      <c r="V16" s="10"/>
      <c r="W16" s="443">
        <v>0</v>
      </c>
      <c r="X16" s="10">
        <f t="shared" si="42"/>
        <v>0</v>
      </c>
      <c r="AB16">
        <f t="shared" si="38"/>
        <v>8</v>
      </c>
      <c r="AC16" s="121">
        <f>Transport!$A27</f>
        <v>44501</v>
      </c>
      <c r="AD16" s="132" t="str">
        <f t="shared" si="16"/>
        <v>11</v>
      </c>
      <c r="AE16" s="132" t="str">
        <f t="shared" si="39"/>
        <v>21</v>
      </c>
      <c r="AF16" s="132" t="str">
        <f t="shared" si="40"/>
        <v>11/21</v>
      </c>
      <c r="AG16" s="134" t="s">
        <v>279</v>
      </c>
      <c r="AH16" s="73">
        <f>H36</f>
        <v>2.36</v>
      </c>
      <c r="AI16" s="73">
        <f>LeastSq!AD14</f>
        <v>30.839777708367066</v>
      </c>
      <c r="AJ16" s="73"/>
      <c r="AK16" s="73"/>
      <c r="AL16" s="73">
        <f>Transport!$G27</f>
        <v>4.4422200058898645E-2</v>
      </c>
      <c r="AM16" s="73">
        <f t="shared" si="17"/>
        <v>2.36</v>
      </c>
      <c r="AP16" s="121">
        <f t="shared" si="18"/>
        <v>44501</v>
      </c>
      <c r="AQ16" s="73">
        <f t="shared" si="19"/>
        <v>2.36</v>
      </c>
      <c r="AR16" s="73">
        <f>Transport!$N27</f>
        <v>47.93917932115729</v>
      </c>
      <c r="AS16" s="73">
        <f>Transport!$J27</f>
        <v>47.227304643709218</v>
      </c>
      <c r="AT16" s="73">
        <f>Transport!$O27</f>
        <v>47.93917932115729</v>
      </c>
      <c r="AU16" s="2">
        <v>8</v>
      </c>
      <c r="AW16" s="121">
        <f>Transport!$A27</f>
        <v>44501</v>
      </c>
      <c r="AX16" s="73">
        <f t="shared" si="9"/>
        <v>2.36</v>
      </c>
      <c r="AY16" s="15">
        <f t="shared" si="20"/>
        <v>0.8586616190375187</v>
      </c>
      <c r="AZ16" s="98">
        <f t="shared" si="21"/>
        <v>1</v>
      </c>
      <c r="BA16" s="128">
        <f>IF(AZ16&gt;0,8,0)</f>
        <v>8</v>
      </c>
      <c r="BB16" s="128">
        <f t="shared" si="22"/>
        <v>64</v>
      </c>
      <c r="BC16" s="15">
        <f t="shared" si="23"/>
        <v>6.8692929523001496</v>
      </c>
      <c r="BD16" s="127">
        <f t="shared" ca="1" si="10"/>
        <v>0.64441853176509734</v>
      </c>
      <c r="BE16" s="127">
        <f t="shared" ca="1" si="24"/>
        <v>1.9048790805079876</v>
      </c>
      <c r="BG16" s="121">
        <f>Transport!$A27</f>
        <v>44501</v>
      </c>
      <c r="BH16" s="73">
        <f t="shared" si="25"/>
        <v>0</v>
      </c>
      <c r="BI16" s="15">
        <f t="shared" si="26"/>
        <v>0</v>
      </c>
      <c r="BJ16" s="98">
        <f t="shared" si="27"/>
        <v>0</v>
      </c>
      <c r="BK16" s="128">
        <f>IF(BJ16&gt;0,8,0)</f>
        <v>0</v>
      </c>
      <c r="BL16" s="128">
        <f t="shared" si="28"/>
        <v>0</v>
      </c>
      <c r="BM16" s="15">
        <f t="shared" si="29"/>
        <v>0</v>
      </c>
      <c r="BN16" s="127" t="e">
        <f t="shared" si="11"/>
        <v>#DIV/0!</v>
      </c>
      <c r="BO16" s="127" t="e">
        <f t="shared" si="41"/>
        <v>#DIV/0!</v>
      </c>
      <c r="BQ16" s="121">
        <f>Transport!$A27</f>
        <v>44501</v>
      </c>
      <c r="BR16" s="131">
        <v>0</v>
      </c>
      <c r="BS16" s="15">
        <f t="shared" si="30"/>
        <v>0</v>
      </c>
      <c r="BT16" s="98">
        <f t="shared" si="31"/>
        <v>0</v>
      </c>
      <c r="BU16" s="128">
        <f>IF(BT16&gt;0,8,0)</f>
        <v>0</v>
      </c>
      <c r="BV16" s="128">
        <f t="shared" si="32"/>
        <v>0</v>
      </c>
      <c r="BW16" s="15">
        <f t="shared" si="33"/>
        <v>0</v>
      </c>
      <c r="BX16" s="127" t="e">
        <f t="shared" si="12"/>
        <v>#DIV/0!</v>
      </c>
      <c r="BY16" s="127" t="e">
        <f t="shared" si="13"/>
        <v>#DIV/0!</v>
      </c>
      <c r="CA16" s="121">
        <f>Transport!$A27</f>
        <v>44501</v>
      </c>
      <c r="CB16" s="131">
        <v>0</v>
      </c>
      <c r="CC16" s="15">
        <f t="shared" si="34"/>
        <v>0</v>
      </c>
      <c r="CD16" s="98">
        <f t="shared" si="35"/>
        <v>0</v>
      </c>
      <c r="CE16" s="128">
        <f>IF(CD16&gt;0,8,0)</f>
        <v>0</v>
      </c>
      <c r="CF16" s="128">
        <f t="shared" si="36"/>
        <v>0</v>
      </c>
      <c r="CG16" s="15">
        <f t="shared" si="37"/>
        <v>0</v>
      </c>
      <c r="CH16" s="127" t="e">
        <f t="shared" si="14"/>
        <v>#DIV/0!</v>
      </c>
      <c r="CI16" s="127" t="e">
        <f t="shared" si="15"/>
        <v>#DIV/0!</v>
      </c>
    </row>
    <row r="17" spans="2:87" x14ac:dyDescent="0.2">
      <c r="B17" s="440">
        <f>'Incurred Per Day'!N14</f>
        <v>45078</v>
      </c>
      <c r="C17" s="441">
        <f ca="1">Final!X20</f>
        <v>5547486</v>
      </c>
      <c r="D17" s="151">
        <f>Data!AO17</f>
        <v>135415</v>
      </c>
      <c r="E17" s="10">
        <f>'Incurred Per Day'!S14</f>
        <v>22</v>
      </c>
      <c r="F17" s="295">
        <f t="shared" ca="1" si="6"/>
        <v>40.97</v>
      </c>
      <c r="G17" s="441">
        <f t="shared" ca="1" si="7"/>
        <v>252158</v>
      </c>
      <c r="H17" s="295">
        <f t="shared" ca="1" si="8"/>
        <v>1.86</v>
      </c>
      <c r="N17" s="4">
        <f t="shared" si="4"/>
        <v>44986</v>
      </c>
      <c r="O17" s="216" t="str">
        <f t="shared" si="0"/>
        <v>Mar</v>
      </c>
      <c r="P17" s="2" t="str">
        <f t="shared" si="1"/>
        <v>Wed</v>
      </c>
      <c r="Q17" s="436">
        <f t="shared" si="5"/>
        <v>31</v>
      </c>
      <c r="R17" s="436">
        <f t="shared" si="2"/>
        <v>23</v>
      </c>
      <c r="S17" s="436">
        <f t="shared" si="3"/>
        <v>23</v>
      </c>
      <c r="U17" s="434" t="s">
        <v>509</v>
      </c>
      <c r="V17" s="10">
        <v>-1</v>
      </c>
      <c r="W17" s="443">
        <v>0</v>
      </c>
      <c r="X17" s="10">
        <f t="shared" si="42"/>
        <v>-1</v>
      </c>
      <c r="Y17" s="101" t="s">
        <v>860</v>
      </c>
      <c r="AB17">
        <f t="shared" si="38"/>
        <v>9</v>
      </c>
      <c r="AC17" s="121">
        <f>Transport!$A28</f>
        <v>44531</v>
      </c>
      <c r="AD17" s="132" t="str">
        <f t="shared" si="16"/>
        <v>12</v>
      </c>
      <c r="AE17" s="132" t="str">
        <f t="shared" si="39"/>
        <v>21</v>
      </c>
      <c r="AF17" s="132" t="str">
        <f t="shared" si="40"/>
        <v>12/21</v>
      </c>
      <c r="AG17" s="133" t="str">
        <f>AD17&amp;"/"&amp;AE17</f>
        <v>12/21</v>
      </c>
      <c r="AH17" s="73">
        <f>H35</f>
        <v>2.23</v>
      </c>
      <c r="AI17" s="73">
        <f>LeastSq!AD15</f>
        <v>35.020523015690699</v>
      </c>
      <c r="AJ17" s="73"/>
      <c r="AK17" s="73"/>
      <c r="AL17" s="73">
        <f>Transport!$G28</f>
        <v>5.141439864531562E-2</v>
      </c>
      <c r="AM17" s="73">
        <f t="shared" si="17"/>
        <v>2.23</v>
      </c>
      <c r="AP17" s="121">
        <f t="shared" si="18"/>
        <v>44531</v>
      </c>
      <c r="AQ17" s="73">
        <f t="shared" si="19"/>
        <v>2.23</v>
      </c>
      <c r="AR17" s="73">
        <f>Transport!$N28</f>
        <v>42.995812189979681</v>
      </c>
      <c r="AS17" s="73">
        <f>Transport!$J28</f>
        <v>48.96810775013158</v>
      </c>
      <c r="AT17" s="73">
        <f>Transport!$O28</f>
        <v>42.995812189979681</v>
      </c>
      <c r="AU17" s="2">
        <v>9</v>
      </c>
      <c r="AW17" s="121">
        <f>Transport!$A28</f>
        <v>44531</v>
      </c>
      <c r="AX17" s="73">
        <f t="shared" si="9"/>
        <v>2.23</v>
      </c>
      <c r="AY17" s="15">
        <f t="shared" si="20"/>
        <v>0.80200158547202738</v>
      </c>
      <c r="AZ17" s="98">
        <f t="shared" si="21"/>
        <v>1</v>
      </c>
      <c r="BA17" s="128">
        <f>IF(AZ17&gt;0,9,0)</f>
        <v>9</v>
      </c>
      <c r="BB17" s="128">
        <f t="shared" si="22"/>
        <v>81</v>
      </c>
      <c r="BC17" s="15">
        <f t="shared" si="23"/>
        <v>7.2180142692482461</v>
      </c>
      <c r="BD17" s="127">
        <f t="shared" ca="1" si="10"/>
        <v>0.64441853176509734</v>
      </c>
      <c r="BE17" s="127">
        <f t="shared" ca="1" si="24"/>
        <v>1.9048790805079876</v>
      </c>
      <c r="BG17" s="121">
        <f>Transport!$A28</f>
        <v>44531</v>
      </c>
      <c r="BH17" s="73">
        <f t="shared" si="25"/>
        <v>0</v>
      </c>
      <c r="BI17" s="15">
        <f t="shared" si="26"/>
        <v>0</v>
      </c>
      <c r="BJ17" s="98">
        <f t="shared" si="27"/>
        <v>0</v>
      </c>
      <c r="BK17" s="128">
        <f>IF(BJ17&gt;0,9,0)</f>
        <v>0</v>
      </c>
      <c r="BL17" s="128">
        <f t="shared" si="28"/>
        <v>0</v>
      </c>
      <c r="BM17" s="15">
        <f t="shared" si="29"/>
        <v>0</v>
      </c>
      <c r="BN17" s="127" t="e">
        <f t="shared" si="11"/>
        <v>#DIV/0!</v>
      </c>
      <c r="BO17" s="127" t="e">
        <f t="shared" si="41"/>
        <v>#DIV/0!</v>
      </c>
      <c r="BQ17" s="121">
        <f>Transport!$A28</f>
        <v>44531</v>
      </c>
      <c r="BR17" s="131">
        <v>0</v>
      </c>
      <c r="BS17" s="15">
        <f t="shared" si="30"/>
        <v>0</v>
      </c>
      <c r="BT17" s="98">
        <f t="shared" si="31"/>
        <v>0</v>
      </c>
      <c r="BU17" s="128">
        <f>IF(BT17&gt;0,9,0)</f>
        <v>0</v>
      </c>
      <c r="BV17" s="128">
        <f t="shared" si="32"/>
        <v>0</v>
      </c>
      <c r="BW17" s="15">
        <f t="shared" si="33"/>
        <v>0</v>
      </c>
      <c r="BX17" s="127" t="e">
        <f t="shared" si="12"/>
        <v>#DIV/0!</v>
      </c>
      <c r="BY17" s="127" t="e">
        <f t="shared" si="13"/>
        <v>#DIV/0!</v>
      </c>
      <c r="CA17" s="121">
        <f>Transport!$A28</f>
        <v>44531</v>
      </c>
      <c r="CB17" s="131">
        <v>0</v>
      </c>
      <c r="CC17" s="15">
        <f t="shared" si="34"/>
        <v>0</v>
      </c>
      <c r="CD17" s="98">
        <f t="shared" si="35"/>
        <v>0</v>
      </c>
      <c r="CE17" s="128">
        <f>IF(CD17&gt;0,9,0)</f>
        <v>0</v>
      </c>
      <c r="CF17" s="128">
        <f t="shared" si="36"/>
        <v>0</v>
      </c>
      <c r="CG17" s="15">
        <f t="shared" si="37"/>
        <v>0</v>
      </c>
      <c r="CH17" s="127" t="e">
        <f t="shared" si="14"/>
        <v>#DIV/0!</v>
      </c>
      <c r="CI17" s="127" t="e">
        <f t="shared" si="15"/>
        <v>#DIV/0!</v>
      </c>
    </row>
    <row r="18" spans="2:87" x14ac:dyDescent="0.2">
      <c r="B18" s="440">
        <f>'Incurred Per Day'!N15</f>
        <v>45047</v>
      </c>
      <c r="C18" s="441">
        <f ca="1">Final!X21</f>
        <v>5412483</v>
      </c>
      <c r="D18" s="151">
        <f>Data!AO18</f>
        <v>134465</v>
      </c>
      <c r="E18" s="10">
        <f>'Incurred Per Day'!S15</f>
        <v>22</v>
      </c>
      <c r="F18" s="295">
        <f t="shared" ca="1" si="6"/>
        <v>40.25</v>
      </c>
      <c r="G18" s="441">
        <f t="shared" ca="1" si="7"/>
        <v>246022</v>
      </c>
      <c r="H18" s="295">
        <f t="shared" ca="1" si="8"/>
        <v>1.83</v>
      </c>
      <c r="N18" s="4">
        <f t="shared" si="4"/>
        <v>44958</v>
      </c>
      <c r="O18" s="216" t="str">
        <f t="shared" si="0"/>
        <v>Feb</v>
      </c>
      <c r="P18" s="2" t="str">
        <f t="shared" si="1"/>
        <v>Wed</v>
      </c>
      <c r="Q18" s="436">
        <f t="shared" si="5"/>
        <v>28</v>
      </c>
      <c r="R18" s="436">
        <f t="shared" si="2"/>
        <v>20</v>
      </c>
      <c r="S18" s="436">
        <f t="shared" si="3"/>
        <v>20</v>
      </c>
      <c r="U18" s="434" t="s">
        <v>499</v>
      </c>
      <c r="V18" s="10"/>
      <c r="W18" s="443">
        <v>0</v>
      </c>
      <c r="X18" s="10">
        <f t="shared" si="42"/>
        <v>0</v>
      </c>
      <c r="AB18">
        <f t="shared" si="38"/>
        <v>10</v>
      </c>
      <c r="AC18" s="121">
        <f>Transport!$A29</f>
        <v>44562</v>
      </c>
      <c r="AD18" s="132" t="str">
        <f t="shared" si="16"/>
        <v>1</v>
      </c>
      <c r="AE18" s="132" t="str">
        <f t="shared" si="39"/>
        <v>22</v>
      </c>
      <c r="AF18" s="132" t="str">
        <f t="shared" si="40"/>
        <v>1/22</v>
      </c>
      <c r="AG18" s="134" t="s">
        <v>280</v>
      </c>
      <c r="AH18" s="73">
        <f>H34</f>
        <v>1.64</v>
      </c>
      <c r="AI18" s="73">
        <f>LeastSq!AD16</f>
        <v>34.901853204577492</v>
      </c>
      <c r="AJ18" s="73"/>
      <c r="AK18" s="73"/>
      <c r="AL18" s="73">
        <f>Transport!$G29</f>
        <v>3.6260234009988179E-2</v>
      </c>
      <c r="AM18" s="73">
        <f t="shared" si="17"/>
        <v>1.64</v>
      </c>
      <c r="AP18" s="121">
        <f t="shared" si="18"/>
        <v>44562</v>
      </c>
      <c r="AQ18" s="73">
        <f t="shared" si="19"/>
        <v>1.64</v>
      </c>
      <c r="AR18" s="73">
        <f>Transport!$N29</f>
        <v>37.643409092562997</v>
      </c>
      <c r="AS18" s="73">
        <f>Transport!$J29</f>
        <v>32.792024176098245</v>
      </c>
      <c r="AT18" s="73">
        <f>Transport!$O29</f>
        <v>37.643409092562997</v>
      </c>
      <c r="AU18" s="2">
        <v>10</v>
      </c>
      <c r="AW18" s="121">
        <f>Transport!$A29</f>
        <v>44562</v>
      </c>
      <c r="AX18" s="73">
        <f t="shared" si="9"/>
        <v>1.64</v>
      </c>
      <c r="AY18" s="15">
        <f t="shared" si="20"/>
        <v>0.494696241836107</v>
      </c>
      <c r="AZ18" s="98">
        <f t="shared" si="21"/>
        <v>1</v>
      </c>
      <c r="BA18" s="128">
        <f>IF(AZ18&gt;0,10,0)</f>
        <v>10</v>
      </c>
      <c r="BB18" s="128">
        <f t="shared" si="22"/>
        <v>100</v>
      </c>
      <c r="BC18" s="15">
        <f t="shared" si="23"/>
        <v>4.9469624183610703</v>
      </c>
      <c r="BD18" s="127">
        <f t="shared" ca="1" si="10"/>
        <v>0.64441853176509734</v>
      </c>
      <c r="BE18" s="127">
        <f t="shared" ca="1" si="24"/>
        <v>1.9048790805079876</v>
      </c>
      <c r="BG18" s="121">
        <f>Transport!$A29</f>
        <v>44562</v>
      </c>
      <c r="BH18" s="73">
        <f t="shared" si="25"/>
        <v>0</v>
      </c>
      <c r="BI18" s="15">
        <f t="shared" si="26"/>
        <v>0</v>
      </c>
      <c r="BJ18" s="98">
        <f t="shared" si="27"/>
        <v>0</v>
      </c>
      <c r="BK18" s="128">
        <f>IF(BJ18&gt;0,10,0)</f>
        <v>0</v>
      </c>
      <c r="BL18" s="128">
        <f t="shared" si="28"/>
        <v>0</v>
      </c>
      <c r="BM18" s="15">
        <f t="shared" si="29"/>
        <v>0</v>
      </c>
      <c r="BN18" s="127" t="e">
        <f t="shared" si="11"/>
        <v>#DIV/0!</v>
      </c>
      <c r="BO18" s="127" t="e">
        <f t="shared" si="41"/>
        <v>#DIV/0!</v>
      </c>
      <c r="BQ18" s="121">
        <f>Transport!$A29</f>
        <v>44562</v>
      </c>
      <c r="BR18" s="131">
        <v>0</v>
      </c>
      <c r="BS18" s="15">
        <f t="shared" si="30"/>
        <v>0</v>
      </c>
      <c r="BT18" s="98">
        <f t="shared" si="31"/>
        <v>0</v>
      </c>
      <c r="BU18" s="128">
        <f>IF(BT18&gt;0,10,0)</f>
        <v>0</v>
      </c>
      <c r="BV18" s="128">
        <f t="shared" si="32"/>
        <v>0</v>
      </c>
      <c r="BW18" s="15">
        <f t="shared" si="33"/>
        <v>0</v>
      </c>
      <c r="BX18" s="127" t="e">
        <f t="shared" si="12"/>
        <v>#DIV/0!</v>
      </c>
      <c r="BY18" s="127" t="e">
        <f t="shared" si="13"/>
        <v>#DIV/0!</v>
      </c>
      <c r="CA18" s="121">
        <f>Transport!$A29</f>
        <v>44562</v>
      </c>
      <c r="CB18" s="131">
        <v>0</v>
      </c>
      <c r="CC18" s="15">
        <f t="shared" si="34"/>
        <v>0</v>
      </c>
      <c r="CD18" s="98">
        <f t="shared" si="35"/>
        <v>0</v>
      </c>
      <c r="CE18" s="128">
        <f>IF(CD18&gt;0,10,0)</f>
        <v>0</v>
      </c>
      <c r="CF18" s="128">
        <f t="shared" si="36"/>
        <v>0</v>
      </c>
      <c r="CG18" s="15">
        <f t="shared" si="37"/>
        <v>0</v>
      </c>
      <c r="CH18" s="127" t="e">
        <f t="shared" si="14"/>
        <v>#DIV/0!</v>
      </c>
      <c r="CI18" s="127" t="e">
        <f t="shared" si="15"/>
        <v>#DIV/0!</v>
      </c>
    </row>
    <row r="19" spans="2:87" x14ac:dyDescent="0.2">
      <c r="B19" s="440">
        <f>'Incurred Per Day'!N16</f>
        <v>45017</v>
      </c>
      <c r="C19" s="441">
        <f ca="1">Final!X22</f>
        <v>4838676</v>
      </c>
      <c r="D19" s="151">
        <f>Data!AO19</f>
        <v>134470</v>
      </c>
      <c r="E19" s="10">
        <f>'Incurred Per Day'!S16</f>
        <v>20</v>
      </c>
      <c r="F19" s="295">
        <f t="shared" ca="1" si="6"/>
        <v>35.979999999999997</v>
      </c>
      <c r="G19" s="441">
        <f t="shared" ca="1" si="7"/>
        <v>241934</v>
      </c>
      <c r="H19" s="295">
        <f t="shared" ca="1" si="8"/>
        <v>1.8</v>
      </c>
      <c r="N19" s="4">
        <f t="shared" si="4"/>
        <v>44927</v>
      </c>
      <c r="O19" s="216" t="str">
        <f t="shared" si="0"/>
        <v>Jan</v>
      </c>
      <c r="P19" s="2" t="str">
        <f t="shared" si="1"/>
        <v>Sun</v>
      </c>
      <c r="Q19" s="436">
        <f t="shared" si="5"/>
        <v>31</v>
      </c>
      <c r="R19" s="436">
        <f t="shared" si="2"/>
        <v>22</v>
      </c>
      <c r="S19" s="436">
        <f t="shared" si="3"/>
        <v>21</v>
      </c>
      <c r="U19" s="434" t="s">
        <v>498</v>
      </c>
      <c r="V19" s="10">
        <v>-1</v>
      </c>
      <c r="W19" s="443">
        <v>0</v>
      </c>
      <c r="X19" s="10">
        <f t="shared" si="42"/>
        <v>-1</v>
      </c>
      <c r="Y19" s="435" t="s">
        <v>869</v>
      </c>
      <c r="AB19">
        <f t="shared" si="38"/>
        <v>11</v>
      </c>
      <c r="AC19" s="121">
        <f>Transport!$A30</f>
        <v>44593</v>
      </c>
      <c r="AD19" s="132" t="str">
        <f t="shared" si="16"/>
        <v>2</v>
      </c>
      <c r="AE19" s="132" t="str">
        <f t="shared" si="39"/>
        <v>22</v>
      </c>
      <c r="AF19" s="132" t="str">
        <f t="shared" si="40"/>
        <v>2/22</v>
      </c>
      <c r="AG19" s="134" t="s">
        <v>281</v>
      </c>
      <c r="AH19" s="73">
        <f>H33</f>
        <v>1.56</v>
      </c>
      <c r="AI19" s="73">
        <f>LeastSq!AD17</f>
        <v>37.834050681377491</v>
      </c>
      <c r="AJ19" s="73"/>
      <c r="AK19" s="73"/>
      <c r="AL19" s="73">
        <f>Transport!$G30</f>
        <v>3.6571913018890283E-2</v>
      </c>
      <c r="AM19" s="73">
        <f t="shared" si="17"/>
        <v>1.56</v>
      </c>
      <c r="AP19" s="121">
        <f t="shared" si="18"/>
        <v>44593</v>
      </c>
      <c r="AQ19" s="73">
        <f t="shared" si="19"/>
        <v>1.56</v>
      </c>
      <c r="AR19" s="73">
        <f>Transport!$N30</f>
        <v>34.336082921368636</v>
      </c>
      <c r="AS19" s="73">
        <f>Transport!$J30</f>
        <v>31.17009535145916</v>
      </c>
      <c r="AT19" s="73">
        <f>Transport!$O30</f>
        <v>34.336082921368636</v>
      </c>
      <c r="AU19" s="2">
        <v>11</v>
      </c>
      <c r="AW19" s="121">
        <f>Transport!$A30</f>
        <v>44593</v>
      </c>
      <c r="AX19" s="73">
        <f t="shared" si="9"/>
        <v>1.56</v>
      </c>
      <c r="AY19" s="15">
        <f t="shared" si="20"/>
        <v>0.44468582126144574</v>
      </c>
      <c r="AZ19" s="98">
        <f t="shared" si="21"/>
        <v>1</v>
      </c>
      <c r="BA19" s="128">
        <f>IF(AZ19&gt;0,11,0)</f>
        <v>11</v>
      </c>
      <c r="BB19" s="128">
        <f t="shared" si="22"/>
        <v>121</v>
      </c>
      <c r="BC19" s="15">
        <f t="shared" si="23"/>
        <v>4.8915440338759026</v>
      </c>
      <c r="BD19" s="127">
        <f t="shared" ca="1" si="10"/>
        <v>0.64441853176509734</v>
      </c>
      <c r="BE19" s="127">
        <f t="shared" ca="1" si="24"/>
        <v>1.9048790805079876</v>
      </c>
      <c r="BG19" s="121">
        <f>Transport!$A30</f>
        <v>44593</v>
      </c>
      <c r="BH19" s="73">
        <f t="shared" si="25"/>
        <v>0</v>
      </c>
      <c r="BI19" s="15">
        <f t="shared" si="26"/>
        <v>0</v>
      </c>
      <c r="BJ19" s="98">
        <f t="shared" si="27"/>
        <v>0</v>
      </c>
      <c r="BK19" s="128">
        <f>IF(BJ19&gt;0,11,0)</f>
        <v>0</v>
      </c>
      <c r="BL19" s="128">
        <f t="shared" si="28"/>
        <v>0</v>
      </c>
      <c r="BM19" s="15">
        <f t="shared" si="29"/>
        <v>0</v>
      </c>
      <c r="BN19" s="127" t="e">
        <f t="shared" si="11"/>
        <v>#DIV/0!</v>
      </c>
      <c r="BO19" s="127" t="e">
        <f t="shared" si="41"/>
        <v>#DIV/0!</v>
      </c>
      <c r="BQ19" s="121">
        <f>Transport!$A30</f>
        <v>44593</v>
      </c>
      <c r="BR19" s="131">
        <v>0</v>
      </c>
      <c r="BS19" s="15">
        <f t="shared" si="30"/>
        <v>0</v>
      </c>
      <c r="BT19" s="98">
        <f t="shared" si="31"/>
        <v>0</v>
      </c>
      <c r="BU19" s="128">
        <f>IF(BT19&gt;0,11,0)</f>
        <v>0</v>
      </c>
      <c r="BV19" s="128">
        <f t="shared" si="32"/>
        <v>0</v>
      </c>
      <c r="BW19" s="15">
        <f t="shared" si="33"/>
        <v>0</v>
      </c>
      <c r="BX19" s="127" t="e">
        <f t="shared" si="12"/>
        <v>#DIV/0!</v>
      </c>
      <c r="BY19" s="127" t="e">
        <f t="shared" si="13"/>
        <v>#DIV/0!</v>
      </c>
      <c r="CA19" s="121">
        <f>Transport!$A30</f>
        <v>44593</v>
      </c>
      <c r="CB19" s="131">
        <v>0</v>
      </c>
      <c r="CC19" s="15">
        <f t="shared" si="34"/>
        <v>0</v>
      </c>
      <c r="CD19" s="98">
        <f t="shared" si="35"/>
        <v>0</v>
      </c>
      <c r="CE19" s="128">
        <f>IF(CD19&gt;0,11,0)</f>
        <v>0</v>
      </c>
      <c r="CF19" s="128">
        <f t="shared" si="36"/>
        <v>0</v>
      </c>
      <c r="CG19" s="15">
        <f t="shared" si="37"/>
        <v>0</v>
      </c>
      <c r="CH19" s="127" t="e">
        <f t="shared" si="14"/>
        <v>#DIV/0!</v>
      </c>
      <c r="CI19" s="127" t="e">
        <f t="shared" si="15"/>
        <v>#DIV/0!</v>
      </c>
    </row>
    <row r="20" spans="2:87" x14ac:dyDescent="0.2">
      <c r="B20" s="440">
        <f>'Incurred Per Day'!N17</f>
        <v>44986</v>
      </c>
      <c r="C20" s="441">
        <f>Final!X23</f>
        <v>5834981.5740672164</v>
      </c>
      <c r="D20" s="151">
        <f>Data!AO20</f>
        <v>134844</v>
      </c>
      <c r="E20" s="10">
        <f>'Incurred Per Day'!S17</f>
        <v>23</v>
      </c>
      <c r="F20" s="295">
        <f t="shared" si="6"/>
        <v>43.27</v>
      </c>
      <c r="G20" s="441">
        <f t="shared" si="7"/>
        <v>253695</v>
      </c>
      <c r="H20" s="295">
        <f t="shared" si="8"/>
        <v>1.88</v>
      </c>
      <c r="N20" s="4">
        <f t="shared" si="4"/>
        <v>44896</v>
      </c>
      <c r="O20" s="216" t="str">
        <f t="shared" si="0"/>
        <v>Dec</v>
      </c>
      <c r="P20" s="2" t="str">
        <f t="shared" si="1"/>
        <v>Thu</v>
      </c>
      <c r="Q20" s="436">
        <f t="shared" si="5"/>
        <v>31</v>
      </c>
      <c r="R20" s="436">
        <f t="shared" si="2"/>
        <v>22</v>
      </c>
      <c r="S20" s="436">
        <f t="shared" si="3"/>
        <v>21</v>
      </c>
      <c r="U20" s="434" t="s">
        <v>504</v>
      </c>
      <c r="V20" s="10">
        <v>-1</v>
      </c>
      <c r="W20" s="443">
        <v>0</v>
      </c>
      <c r="X20" s="10">
        <f t="shared" si="42"/>
        <v>-1</v>
      </c>
      <c r="Y20" s="431">
        <v>39633</v>
      </c>
      <c r="AB20">
        <f t="shared" si="38"/>
        <v>12</v>
      </c>
      <c r="AC20" s="121">
        <f>Transport!$A31</f>
        <v>44621</v>
      </c>
      <c r="AD20" s="132" t="str">
        <f t="shared" si="16"/>
        <v>3</v>
      </c>
      <c r="AE20" s="132" t="str">
        <f t="shared" si="39"/>
        <v>22</v>
      </c>
      <c r="AF20" s="132" t="str">
        <f t="shared" si="40"/>
        <v>3/22</v>
      </c>
      <c r="AG20" s="133" t="str">
        <f>AD20&amp;"/"&amp;AE20</f>
        <v>3/22</v>
      </c>
      <c r="AH20" s="73">
        <f>H32</f>
        <v>1.7</v>
      </c>
      <c r="AI20" s="73">
        <f>LeastSq!AD18</f>
        <v>43.976924977306282</v>
      </c>
      <c r="AJ20" s="73"/>
      <c r="AK20" s="73"/>
      <c r="AL20" s="73">
        <f>Transport!$G31</f>
        <v>4.8681831643879306E-2</v>
      </c>
      <c r="AM20" s="73">
        <f t="shared" si="17"/>
        <v>1.7</v>
      </c>
      <c r="AP20" s="121">
        <f t="shared" si="18"/>
        <v>44621</v>
      </c>
      <c r="AQ20" s="73">
        <f t="shared" si="19"/>
        <v>1.7</v>
      </c>
      <c r="AR20" s="73">
        <f>Transport!$N31</f>
        <v>35.891674164698969</v>
      </c>
      <c r="AS20" s="73">
        <f>Transport!$J31</f>
        <v>39.046129236548509</v>
      </c>
      <c r="AT20" s="73">
        <f>Transport!$O31</f>
        <v>35.891674164698969</v>
      </c>
      <c r="AU20" s="2">
        <v>12</v>
      </c>
      <c r="AW20" s="121">
        <f>Transport!$A31</f>
        <v>44621</v>
      </c>
      <c r="AX20" s="73">
        <f t="shared" si="9"/>
        <v>1.7</v>
      </c>
      <c r="AY20" s="15">
        <f t="shared" si="20"/>
        <v>0.53062825106217038</v>
      </c>
      <c r="AZ20" s="98">
        <f t="shared" si="21"/>
        <v>1</v>
      </c>
      <c r="BA20" s="128">
        <f>IF(AZ20&gt;0,12,0)</f>
        <v>12</v>
      </c>
      <c r="BB20" s="128">
        <f t="shared" si="22"/>
        <v>144</v>
      </c>
      <c r="BC20" s="15">
        <f t="shared" si="23"/>
        <v>6.3675390127460449</v>
      </c>
      <c r="BD20" s="127">
        <f t="shared" ca="1" si="10"/>
        <v>0.64441853176509734</v>
      </c>
      <c r="BE20" s="127">
        <f t="shared" ca="1" si="24"/>
        <v>1.9048790805079876</v>
      </c>
      <c r="BG20" s="121">
        <f>Transport!$A31</f>
        <v>44621</v>
      </c>
      <c r="BH20" s="73">
        <f t="shared" si="25"/>
        <v>0</v>
      </c>
      <c r="BI20" s="15">
        <f t="shared" si="26"/>
        <v>0</v>
      </c>
      <c r="BJ20" s="98">
        <f t="shared" si="27"/>
        <v>0</v>
      </c>
      <c r="BK20" s="128">
        <f>IF(BJ20&gt;0,12,0)</f>
        <v>0</v>
      </c>
      <c r="BL20" s="128">
        <f t="shared" si="28"/>
        <v>0</v>
      </c>
      <c r="BM20" s="15">
        <f t="shared" si="29"/>
        <v>0</v>
      </c>
      <c r="BN20" s="127" t="e">
        <f t="shared" si="11"/>
        <v>#DIV/0!</v>
      </c>
      <c r="BO20" s="127" t="e">
        <f t="shared" si="41"/>
        <v>#DIV/0!</v>
      </c>
      <c r="BQ20" s="121">
        <f>Transport!$A31</f>
        <v>44621</v>
      </c>
      <c r="BR20" s="131">
        <v>0</v>
      </c>
      <c r="BS20" s="15">
        <f t="shared" si="30"/>
        <v>0</v>
      </c>
      <c r="BT20" s="98">
        <f t="shared" si="31"/>
        <v>0</v>
      </c>
      <c r="BU20" s="128">
        <f>IF(BT20&gt;0,12,0)</f>
        <v>0</v>
      </c>
      <c r="BV20" s="128">
        <f t="shared" si="32"/>
        <v>0</v>
      </c>
      <c r="BW20" s="15">
        <f t="shared" si="33"/>
        <v>0</v>
      </c>
      <c r="BX20" s="127" t="e">
        <f t="shared" si="12"/>
        <v>#DIV/0!</v>
      </c>
      <c r="BY20" s="127" t="e">
        <f t="shared" si="13"/>
        <v>#DIV/0!</v>
      </c>
      <c r="CA20" s="121">
        <f>Transport!$A31</f>
        <v>44621</v>
      </c>
      <c r="CB20" s="131">
        <v>0</v>
      </c>
      <c r="CC20" s="15">
        <f t="shared" si="34"/>
        <v>0</v>
      </c>
      <c r="CD20" s="98">
        <f t="shared" si="35"/>
        <v>0</v>
      </c>
      <c r="CE20" s="128">
        <f>IF(CD20&gt;0,12,0)</f>
        <v>0</v>
      </c>
      <c r="CF20" s="128">
        <f t="shared" si="36"/>
        <v>0</v>
      </c>
      <c r="CG20" s="15">
        <f t="shared" si="37"/>
        <v>0</v>
      </c>
      <c r="CH20" s="127" t="e">
        <f t="shared" si="14"/>
        <v>#DIV/0!</v>
      </c>
      <c r="CI20" s="127" t="e">
        <f t="shared" si="15"/>
        <v>#DIV/0!</v>
      </c>
    </row>
    <row r="21" spans="2:87" x14ac:dyDescent="0.2">
      <c r="B21" s="440">
        <f>'Incurred Per Day'!N18</f>
        <v>44958</v>
      </c>
      <c r="C21" s="441">
        <f>Final!X24</f>
        <v>4821841.9485111265</v>
      </c>
      <c r="D21" s="151">
        <f>Data!AO21</f>
        <v>135481</v>
      </c>
      <c r="E21" s="10">
        <f>'Incurred Per Day'!S18</f>
        <v>20</v>
      </c>
      <c r="F21" s="295">
        <f t="shared" si="6"/>
        <v>35.590000000000003</v>
      </c>
      <c r="G21" s="441">
        <f t="shared" si="7"/>
        <v>241092</v>
      </c>
      <c r="H21" s="295">
        <f t="shared" si="8"/>
        <v>1.78</v>
      </c>
      <c r="N21" s="4">
        <f t="shared" si="4"/>
        <v>44866</v>
      </c>
      <c r="O21" s="216" t="str">
        <f t="shared" si="0"/>
        <v>Nov</v>
      </c>
      <c r="P21" s="2" t="str">
        <f t="shared" si="1"/>
        <v>Tue</v>
      </c>
      <c r="Q21" s="436">
        <f t="shared" si="5"/>
        <v>30</v>
      </c>
      <c r="R21" s="436">
        <f t="shared" si="2"/>
        <v>22</v>
      </c>
      <c r="S21" s="436">
        <f t="shared" si="3"/>
        <v>20</v>
      </c>
      <c r="U21" s="434" t="s">
        <v>503</v>
      </c>
      <c r="V21" s="10"/>
      <c r="W21" s="443">
        <v>0</v>
      </c>
      <c r="X21" s="10">
        <f t="shared" si="42"/>
        <v>0</v>
      </c>
      <c r="AB21">
        <f t="shared" si="38"/>
        <v>13</v>
      </c>
      <c r="AC21" s="121">
        <f>Transport!$A32</f>
        <v>44652</v>
      </c>
      <c r="AD21" s="132" t="str">
        <f t="shared" si="16"/>
        <v>4</v>
      </c>
      <c r="AE21" s="132" t="str">
        <f t="shared" si="39"/>
        <v>22</v>
      </c>
      <c r="AF21" s="132" t="str">
        <f t="shared" si="40"/>
        <v>4/22</v>
      </c>
      <c r="AG21" s="134" t="s">
        <v>282</v>
      </c>
      <c r="AH21" s="73">
        <f>H31</f>
        <v>1.78</v>
      </c>
      <c r="AI21" s="73">
        <f>LeastSq!AD19</f>
        <v>47.102140883642264</v>
      </c>
      <c r="AJ21" s="73">
        <f ca="1">LeastSq!$AZ19</f>
        <v>38.078836095182204</v>
      </c>
      <c r="AK21" s="73"/>
      <c r="AL21" s="73">
        <f>Transport!$G32</f>
        <v>5.3955309016420962E-2</v>
      </c>
      <c r="AM21" s="73">
        <f t="shared" si="17"/>
        <v>1.78</v>
      </c>
      <c r="AP21" s="121">
        <f t="shared" si="18"/>
        <v>44652</v>
      </c>
      <c r="AQ21" s="73">
        <f t="shared" si="19"/>
        <v>1.78</v>
      </c>
      <c r="AR21" s="73">
        <f>Transport!$N32</f>
        <v>38.575308126785323</v>
      </c>
      <c r="AS21" s="73">
        <f>Transport!$J32</f>
        <v>37.458797906089245</v>
      </c>
      <c r="AT21" s="73">
        <f>Transport!$O32</f>
        <v>38.575308126785323</v>
      </c>
      <c r="AU21" s="2">
        <v>13</v>
      </c>
      <c r="AW21" s="121">
        <f>Transport!$A32</f>
        <v>44652</v>
      </c>
      <c r="AX21" s="73">
        <f t="shared" si="9"/>
        <v>1.78</v>
      </c>
      <c r="AY21" s="15">
        <f t="shared" si="20"/>
        <v>0.57661336430399379</v>
      </c>
      <c r="AZ21" s="98">
        <f t="shared" si="21"/>
        <v>1</v>
      </c>
      <c r="BA21" s="128">
        <f>IF(AZ21&gt;0,13,0)</f>
        <v>13</v>
      </c>
      <c r="BB21" s="128">
        <f t="shared" si="22"/>
        <v>169</v>
      </c>
      <c r="BC21" s="15">
        <f t="shared" si="23"/>
        <v>7.4959737359519192</v>
      </c>
      <c r="BD21" s="127">
        <f t="shared" ca="1" si="10"/>
        <v>0.64441853176509734</v>
      </c>
      <c r="BE21" s="127">
        <f t="shared" ca="1" si="24"/>
        <v>1.9048790805079876</v>
      </c>
      <c r="BG21" s="121">
        <f>Transport!$A32</f>
        <v>44652</v>
      </c>
      <c r="BH21" s="73">
        <f t="shared" si="25"/>
        <v>0</v>
      </c>
      <c r="BI21" s="15">
        <f t="shared" si="26"/>
        <v>0</v>
      </c>
      <c r="BJ21" s="98">
        <f t="shared" si="27"/>
        <v>0</v>
      </c>
      <c r="BK21" s="128">
        <f>IF(BJ21&gt;0,13,0)</f>
        <v>0</v>
      </c>
      <c r="BL21" s="128">
        <f t="shared" si="28"/>
        <v>0</v>
      </c>
      <c r="BM21" s="15">
        <f t="shared" si="29"/>
        <v>0</v>
      </c>
      <c r="BN21" s="127" t="e">
        <f t="shared" si="11"/>
        <v>#DIV/0!</v>
      </c>
      <c r="BO21" s="127" t="e">
        <f t="shared" si="41"/>
        <v>#DIV/0!</v>
      </c>
      <c r="BQ21" s="121">
        <f>Transport!$A32</f>
        <v>44652</v>
      </c>
      <c r="BR21" s="73">
        <f t="shared" ref="BR21:BR44" si="43">$J19</f>
        <v>0</v>
      </c>
      <c r="BS21" s="15">
        <f t="shared" si="30"/>
        <v>0</v>
      </c>
      <c r="BT21" s="98">
        <f t="shared" si="31"/>
        <v>0</v>
      </c>
      <c r="BU21" s="128">
        <f>IF(BT21&gt;0,13,0)</f>
        <v>0</v>
      </c>
      <c r="BV21" s="128">
        <f t="shared" si="32"/>
        <v>0</v>
      </c>
      <c r="BW21" s="15">
        <f t="shared" si="33"/>
        <v>0</v>
      </c>
      <c r="BX21" s="127" t="e">
        <f t="shared" si="12"/>
        <v>#DIV/0!</v>
      </c>
      <c r="BY21" s="127" t="e">
        <f t="shared" si="13"/>
        <v>#DIV/0!</v>
      </c>
      <c r="CA21" s="121">
        <f>Transport!$A32</f>
        <v>44652</v>
      </c>
      <c r="CB21" s="131">
        <v>0</v>
      </c>
      <c r="CC21" s="15">
        <f t="shared" si="34"/>
        <v>0</v>
      </c>
      <c r="CD21" s="98">
        <f t="shared" si="35"/>
        <v>0</v>
      </c>
      <c r="CE21" s="128">
        <f>IF(CD21&gt;0,13,0)</f>
        <v>0</v>
      </c>
      <c r="CF21" s="128">
        <f t="shared" si="36"/>
        <v>0</v>
      </c>
      <c r="CG21" s="15">
        <f t="shared" si="37"/>
        <v>0</v>
      </c>
      <c r="CH21" s="127" t="e">
        <f t="shared" si="14"/>
        <v>#DIV/0!</v>
      </c>
      <c r="CI21" s="127" t="e">
        <f t="shared" si="15"/>
        <v>#DIV/0!</v>
      </c>
    </row>
    <row r="22" spans="2:87" x14ac:dyDescent="0.2">
      <c r="B22" s="440">
        <f>'Incurred Per Day'!N19</f>
        <v>44927</v>
      </c>
      <c r="C22" s="441">
        <f>Final!X25</f>
        <v>4620382.2943228586</v>
      </c>
      <c r="D22" s="151">
        <f>Data!AO22</f>
        <v>134089</v>
      </c>
      <c r="E22" s="10">
        <f>'Incurred Per Day'!S19</f>
        <v>21</v>
      </c>
      <c r="F22" s="295">
        <f t="shared" si="6"/>
        <v>34.46</v>
      </c>
      <c r="G22" s="441">
        <f t="shared" si="7"/>
        <v>220018</v>
      </c>
      <c r="H22" s="295">
        <f t="shared" si="8"/>
        <v>1.64</v>
      </c>
      <c r="N22" s="4">
        <f t="shared" si="4"/>
        <v>44835</v>
      </c>
      <c r="O22" s="216" t="str">
        <f t="shared" si="0"/>
        <v>Oct</v>
      </c>
      <c r="P22" s="2" t="str">
        <f t="shared" si="1"/>
        <v>Sat</v>
      </c>
      <c r="Q22" s="436">
        <f t="shared" si="5"/>
        <v>31</v>
      </c>
      <c r="R22" s="436">
        <f t="shared" si="2"/>
        <v>21</v>
      </c>
      <c r="S22" s="436">
        <f t="shared" si="3"/>
        <v>21</v>
      </c>
      <c r="U22" s="434" t="s">
        <v>500</v>
      </c>
      <c r="V22" s="10"/>
      <c r="W22" s="443">
        <v>0</v>
      </c>
      <c r="X22" s="10">
        <f t="shared" si="42"/>
        <v>0</v>
      </c>
      <c r="AB22">
        <f t="shared" si="38"/>
        <v>14</v>
      </c>
      <c r="AC22" s="121">
        <f>Transport!$A33</f>
        <v>44682</v>
      </c>
      <c r="AD22" s="132" t="str">
        <f t="shared" si="16"/>
        <v>5</v>
      </c>
      <c r="AE22" s="132" t="str">
        <f t="shared" si="39"/>
        <v>22</v>
      </c>
      <c r="AF22" s="132" t="str">
        <f t="shared" si="40"/>
        <v>5/22</v>
      </c>
      <c r="AG22" s="134" t="s">
        <v>283</v>
      </c>
      <c r="AH22" s="73">
        <f>H30</f>
        <v>1.87</v>
      </c>
      <c r="AI22" s="73">
        <f>LeastSq!AD20</f>
        <v>51.368971460937416</v>
      </c>
      <c r="AJ22" s="73">
        <f ca="1">LeastSq!$AZ20</f>
        <v>38.219560704939695</v>
      </c>
      <c r="AK22" s="73"/>
      <c r="AL22" s="73">
        <f>Transport!$G33</f>
        <v>6.2115910719676599E-2</v>
      </c>
      <c r="AM22" s="73">
        <f t="shared" si="17"/>
        <v>1.87</v>
      </c>
      <c r="AP22" s="121">
        <f t="shared" si="18"/>
        <v>44682</v>
      </c>
      <c r="AQ22" s="73">
        <f t="shared" si="19"/>
        <v>1.87</v>
      </c>
      <c r="AR22" s="73">
        <f>Transport!$N33</f>
        <v>38.68900887949323</v>
      </c>
      <c r="AS22" s="73">
        <f>Transport!$J33</f>
        <v>39.220997237718201</v>
      </c>
      <c r="AT22" s="73">
        <f>Transport!$O33</f>
        <v>38.68900887949323</v>
      </c>
      <c r="AU22" s="2">
        <v>14</v>
      </c>
      <c r="AW22" s="121">
        <f>Transport!$A33</f>
        <v>44682</v>
      </c>
      <c r="AX22" s="73">
        <f t="shared" si="9"/>
        <v>1.87</v>
      </c>
      <c r="AY22" s="15">
        <f t="shared" si="20"/>
        <v>0.62593843086649537</v>
      </c>
      <c r="AZ22" s="98">
        <f t="shared" si="21"/>
        <v>1</v>
      </c>
      <c r="BA22" s="128">
        <f>IF(AZ22&gt;0,14,0)</f>
        <v>14</v>
      </c>
      <c r="BB22" s="128">
        <f t="shared" si="22"/>
        <v>196</v>
      </c>
      <c r="BC22" s="15">
        <f t="shared" si="23"/>
        <v>8.7631380321309358</v>
      </c>
      <c r="BD22" s="127">
        <f t="shared" ca="1" si="10"/>
        <v>0.64441853176509734</v>
      </c>
      <c r="BE22" s="127">
        <f t="shared" ca="1" si="24"/>
        <v>1.9048790805079876</v>
      </c>
      <c r="BG22" s="121">
        <f>Transport!$A33</f>
        <v>44682</v>
      </c>
      <c r="BH22" s="73">
        <f t="shared" si="25"/>
        <v>0</v>
      </c>
      <c r="BI22" s="15">
        <f t="shared" si="26"/>
        <v>0</v>
      </c>
      <c r="BJ22" s="98">
        <f t="shared" si="27"/>
        <v>0</v>
      </c>
      <c r="BK22" s="128">
        <f>IF(BJ22&gt;0,14,0)</f>
        <v>0</v>
      </c>
      <c r="BL22" s="128">
        <f t="shared" si="28"/>
        <v>0</v>
      </c>
      <c r="BM22" s="15">
        <f t="shared" si="29"/>
        <v>0</v>
      </c>
      <c r="BN22" s="127" t="e">
        <f t="shared" si="11"/>
        <v>#DIV/0!</v>
      </c>
      <c r="BO22" s="127" t="e">
        <f t="shared" si="41"/>
        <v>#DIV/0!</v>
      </c>
      <c r="BQ22" s="121">
        <f>Transport!$A33</f>
        <v>44682</v>
      </c>
      <c r="BR22" s="73">
        <f t="shared" si="43"/>
        <v>0</v>
      </c>
      <c r="BS22" s="15">
        <f t="shared" si="30"/>
        <v>0</v>
      </c>
      <c r="BT22" s="98">
        <f t="shared" si="31"/>
        <v>0</v>
      </c>
      <c r="BU22" s="128">
        <f>IF(BT22&gt;0,14,0)</f>
        <v>0</v>
      </c>
      <c r="BV22" s="128">
        <f t="shared" si="32"/>
        <v>0</v>
      </c>
      <c r="BW22" s="15">
        <f t="shared" si="33"/>
        <v>0</v>
      </c>
      <c r="BX22" s="127" t="e">
        <f t="shared" si="12"/>
        <v>#DIV/0!</v>
      </c>
      <c r="BY22" s="127" t="e">
        <f t="shared" si="13"/>
        <v>#DIV/0!</v>
      </c>
      <c r="CA22" s="121">
        <f>Transport!$A33</f>
        <v>44682</v>
      </c>
      <c r="CB22" s="131">
        <v>0</v>
      </c>
      <c r="CC22" s="15">
        <f t="shared" si="34"/>
        <v>0</v>
      </c>
      <c r="CD22" s="98">
        <f t="shared" si="35"/>
        <v>0</v>
      </c>
      <c r="CE22" s="128">
        <f>IF(CD22&gt;0,14,0)</f>
        <v>0</v>
      </c>
      <c r="CF22" s="128">
        <f t="shared" si="36"/>
        <v>0</v>
      </c>
      <c r="CG22" s="15">
        <f t="shared" si="37"/>
        <v>0</v>
      </c>
      <c r="CH22" s="127" t="e">
        <f t="shared" si="14"/>
        <v>#DIV/0!</v>
      </c>
      <c r="CI22" s="127" t="e">
        <f t="shared" si="15"/>
        <v>#DIV/0!</v>
      </c>
    </row>
    <row r="23" spans="2:87" x14ac:dyDescent="0.2">
      <c r="B23" s="440">
        <f>'Incurred Per Day'!N20</f>
        <v>44896</v>
      </c>
      <c r="C23" s="441">
        <f>Final!X26</f>
        <v>5120495.1487528142</v>
      </c>
      <c r="D23" s="151">
        <f>Data!AO23</f>
        <v>128156</v>
      </c>
      <c r="E23" s="10">
        <f>'Incurred Per Day'!S20</f>
        <v>21</v>
      </c>
      <c r="F23" s="295">
        <f t="shared" si="6"/>
        <v>39.96</v>
      </c>
      <c r="G23" s="441">
        <f t="shared" si="7"/>
        <v>243833</v>
      </c>
      <c r="H23" s="295">
        <f t="shared" si="8"/>
        <v>1.9</v>
      </c>
      <c r="N23" s="4">
        <f t="shared" si="4"/>
        <v>44805</v>
      </c>
      <c r="O23" s="216" t="str">
        <f t="shared" si="0"/>
        <v>Sep</v>
      </c>
      <c r="P23" s="2" t="str">
        <f t="shared" si="1"/>
        <v>Thu</v>
      </c>
      <c r="Q23" s="436">
        <f t="shared" si="5"/>
        <v>30</v>
      </c>
      <c r="R23" s="436">
        <f t="shared" si="2"/>
        <v>22</v>
      </c>
      <c r="S23" s="436">
        <f t="shared" si="3"/>
        <v>21</v>
      </c>
      <c r="U23" s="434" t="s">
        <v>502</v>
      </c>
      <c r="V23" s="10">
        <v>-1</v>
      </c>
      <c r="W23" s="443">
        <v>0</v>
      </c>
      <c r="X23" s="10">
        <f t="shared" si="42"/>
        <v>-1</v>
      </c>
      <c r="Y23" s="101" t="s">
        <v>858</v>
      </c>
      <c r="AB23">
        <f t="shared" si="38"/>
        <v>15</v>
      </c>
      <c r="AC23" s="121">
        <f>Transport!$A34</f>
        <v>44713</v>
      </c>
      <c r="AD23" s="132" t="str">
        <f t="shared" si="16"/>
        <v>6</v>
      </c>
      <c r="AE23" s="132" t="str">
        <f t="shared" si="39"/>
        <v>22</v>
      </c>
      <c r="AF23" s="132" t="str">
        <f t="shared" si="40"/>
        <v>6/22</v>
      </c>
      <c r="AG23" s="133" t="str">
        <f>AD23&amp;"/"&amp;AE23</f>
        <v>6/22</v>
      </c>
      <c r="AH23" s="73">
        <f>H29</f>
        <v>1.79</v>
      </c>
      <c r="AI23" s="73">
        <f>LeastSq!AD21</f>
        <v>55.101625350620438</v>
      </c>
      <c r="AJ23" s="73">
        <f ca="1">LeastSq!$AZ21</f>
        <v>38.360805378276368</v>
      </c>
      <c r="AK23" s="73"/>
      <c r="AL23" s="73">
        <f>Transport!$G34</f>
        <v>0.12538542138161263</v>
      </c>
      <c r="AM23" s="73">
        <f t="shared" si="17"/>
        <v>1.79</v>
      </c>
      <c r="AP23" s="121">
        <f t="shared" si="18"/>
        <v>44713</v>
      </c>
      <c r="AQ23" s="73">
        <f t="shared" si="19"/>
        <v>1.79</v>
      </c>
      <c r="AR23" s="73">
        <f>Transport!$N34</f>
        <v>38.864810745549583</v>
      </c>
      <c r="AS23" s="73">
        <f>Transport!$J34</f>
        <v>39.387231494672243</v>
      </c>
      <c r="AT23" s="73">
        <f>Transport!$O34</f>
        <v>38.864810745549583</v>
      </c>
      <c r="AU23" s="2">
        <v>15</v>
      </c>
      <c r="AW23" s="121">
        <f>Transport!$A34</f>
        <v>44713</v>
      </c>
      <c r="AX23" s="73">
        <f t="shared" si="9"/>
        <v>1.79</v>
      </c>
      <c r="AY23" s="15">
        <f t="shared" si="20"/>
        <v>0.58221561985266368</v>
      </c>
      <c r="AZ23" s="98">
        <f t="shared" si="21"/>
        <v>1</v>
      </c>
      <c r="BA23" s="128">
        <f>IF(AZ23&gt;0,15,0)</f>
        <v>15</v>
      </c>
      <c r="BB23" s="128">
        <f t="shared" si="22"/>
        <v>225</v>
      </c>
      <c r="BC23" s="15">
        <f t="shared" si="23"/>
        <v>8.7332342977899557</v>
      </c>
      <c r="BD23" s="127">
        <f t="shared" ca="1" si="10"/>
        <v>0.64441853176509734</v>
      </c>
      <c r="BE23" s="127">
        <f t="shared" ca="1" si="24"/>
        <v>1.9048790805079876</v>
      </c>
      <c r="BG23" s="121">
        <f>Transport!$A34</f>
        <v>44713</v>
      </c>
      <c r="BH23" s="73">
        <f t="shared" si="25"/>
        <v>0</v>
      </c>
      <c r="BI23" s="15">
        <f t="shared" si="26"/>
        <v>0</v>
      </c>
      <c r="BJ23" s="98">
        <f t="shared" si="27"/>
        <v>0</v>
      </c>
      <c r="BK23" s="128">
        <f>IF(BJ23&gt;0,15,0)</f>
        <v>0</v>
      </c>
      <c r="BL23" s="128">
        <f t="shared" si="28"/>
        <v>0</v>
      </c>
      <c r="BM23" s="15">
        <f t="shared" si="29"/>
        <v>0</v>
      </c>
      <c r="BN23" s="127" t="e">
        <f t="shared" si="11"/>
        <v>#DIV/0!</v>
      </c>
      <c r="BO23" s="127" t="e">
        <f t="shared" si="41"/>
        <v>#DIV/0!</v>
      </c>
      <c r="BQ23" s="121">
        <f>Transport!$A34</f>
        <v>44713</v>
      </c>
      <c r="BR23" s="73">
        <f t="shared" si="43"/>
        <v>0</v>
      </c>
      <c r="BS23" s="15">
        <f t="shared" si="30"/>
        <v>0</v>
      </c>
      <c r="BT23" s="98">
        <f t="shared" si="31"/>
        <v>0</v>
      </c>
      <c r="BU23" s="128">
        <f>IF(BT23&gt;0,15,0)</f>
        <v>0</v>
      </c>
      <c r="BV23" s="128">
        <f t="shared" si="32"/>
        <v>0</v>
      </c>
      <c r="BW23" s="15">
        <f t="shared" si="33"/>
        <v>0</v>
      </c>
      <c r="BX23" s="127" t="e">
        <f t="shared" si="12"/>
        <v>#DIV/0!</v>
      </c>
      <c r="BY23" s="127" t="e">
        <f t="shared" si="13"/>
        <v>#DIV/0!</v>
      </c>
      <c r="CA23" s="121">
        <f>Transport!$A34</f>
        <v>44713</v>
      </c>
      <c r="CB23" s="131">
        <v>0</v>
      </c>
      <c r="CC23" s="15">
        <f t="shared" si="34"/>
        <v>0</v>
      </c>
      <c r="CD23" s="98">
        <f t="shared" si="35"/>
        <v>0</v>
      </c>
      <c r="CE23" s="128">
        <f>IF(CD23&gt;0,15,0)</f>
        <v>0</v>
      </c>
      <c r="CF23" s="128">
        <f t="shared" si="36"/>
        <v>0</v>
      </c>
      <c r="CG23" s="15">
        <f t="shared" si="37"/>
        <v>0</v>
      </c>
      <c r="CH23" s="127" t="e">
        <f t="shared" si="14"/>
        <v>#DIV/0!</v>
      </c>
      <c r="CI23" s="127" t="e">
        <f t="shared" si="15"/>
        <v>#DIV/0!</v>
      </c>
    </row>
    <row r="24" spans="2:87" x14ac:dyDescent="0.2">
      <c r="B24" s="440">
        <f>'Incurred Per Day'!N21</f>
        <v>44866</v>
      </c>
      <c r="C24" s="441">
        <f>Final!X27</f>
        <v>5047051.0525426669</v>
      </c>
      <c r="D24" s="151">
        <f>Data!AO24</f>
        <v>128447</v>
      </c>
      <c r="E24" s="10">
        <f>'Incurred Per Day'!S21</f>
        <v>20</v>
      </c>
      <c r="F24" s="295">
        <f t="shared" si="6"/>
        <v>39.29</v>
      </c>
      <c r="G24" s="441">
        <f t="shared" si="7"/>
        <v>252353</v>
      </c>
      <c r="H24" s="295">
        <f t="shared" si="8"/>
        <v>1.96</v>
      </c>
      <c r="N24" s="4">
        <f t="shared" si="4"/>
        <v>44774</v>
      </c>
      <c r="O24" s="216" t="str">
        <f t="shared" si="0"/>
        <v>Aug</v>
      </c>
      <c r="P24" s="2" t="str">
        <f t="shared" si="1"/>
        <v>Mon</v>
      </c>
      <c r="Q24" s="436">
        <f t="shared" si="5"/>
        <v>31</v>
      </c>
      <c r="R24" s="436">
        <f t="shared" si="2"/>
        <v>23</v>
      </c>
      <c r="S24" s="436">
        <f t="shared" si="3"/>
        <v>23</v>
      </c>
      <c r="U24" s="434" t="s">
        <v>508</v>
      </c>
      <c r="V24" s="10">
        <v>-2</v>
      </c>
      <c r="W24" s="443">
        <v>0</v>
      </c>
      <c r="X24" s="10">
        <f t="shared" si="42"/>
        <v>-2</v>
      </c>
      <c r="Y24" s="101" t="s">
        <v>859</v>
      </c>
      <c r="AB24">
        <f t="shared" si="38"/>
        <v>16</v>
      </c>
      <c r="AC24" s="121">
        <f>Transport!$A35</f>
        <v>44743</v>
      </c>
      <c r="AD24" s="132" t="str">
        <f t="shared" si="16"/>
        <v>7</v>
      </c>
      <c r="AE24" s="132" t="str">
        <f t="shared" si="39"/>
        <v>22</v>
      </c>
      <c r="AF24" s="132" t="str">
        <f t="shared" si="40"/>
        <v>7/22</v>
      </c>
      <c r="AG24" s="134" t="s">
        <v>284</v>
      </c>
      <c r="AH24" s="73">
        <f>H28</f>
        <v>1.9</v>
      </c>
      <c r="AI24" s="73">
        <f>LeastSq!AD22</f>
        <v>58.195568449994759</v>
      </c>
      <c r="AJ24" s="73">
        <f ca="1">LeastSq!$AZ22</f>
        <v>38.502572037145548</v>
      </c>
      <c r="AK24" s="73"/>
      <c r="AL24" s="73">
        <f>Transport!$G35</f>
        <v>0.15874216493247023</v>
      </c>
      <c r="AM24" s="73">
        <f t="shared" si="17"/>
        <v>1.9</v>
      </c>
      <c r="AP24" s="121">
        <f t="shared" si="18"/>
        <v>44743</v>
      </c>
      <c r="AQ24" s="73">
        <f t="shared" si="19"/>
        <v>1.9</v>
      </c>
      <c r="AR24" s="73">
        <f>Transport!$N35</f>
        <v>40.695594523008687</v>
      </c>
      <c r="AS24" s="73">
        <f>Transport!$J35</f>
        <v>37.986203504258292</v>
      </c>
      <c r="AT24" s="73">
        <f>Transport!$O35</f>
        <v>40.695594523008687</v>
      </c>
      <c r="AU24" s="2">
        <v>16</v>
      </c>
      <c r="AW24" s="121">
        <f>Transport!$A35</f>
        <v>44743</v>
      </c>
      <c r="AX24" s="73">
        <f t="shared" si="9"/>
        <v>1.9</v>
      </c>
      <c r="AY24" s="15">
        <f t="shared" si="20"/>
        <v>0.64185388617239469</v>
      </c>
      <c r="AZ24" s="98">
        <f t="shared" si="21"/>
        <v>1</v>
      </c>
      <c r="BA24" s="128">
        <f>IF(AZ24&gt;0,16,0)</f>
        <v>16</v>
      </c>
      <c r="BB24" s="128">
        <f t="shared" si="22"/>
        <v>256</v>
      </c>
      <c r="BC24" s="15">
        <f t="shared" si="23"/>
        <v>10.269662178758315</v>
      </c>
      <c r="BD24" s="127">
        <f t="shared" ca="1" si="10"/>
        <v>0.64441853176509734</v>
      </c>
      <c r="BE24" s="127">
        <f t="shared" ca="1" si="24"/>
        <v>1.9048790805079876</v>
      </c>
      <c r="BG24" s="121">
        <f>Transport!$A35</f>
        <v>44743</v>
      </c>
      <c r="BH24" s="73">
        <f t="shared" si="25"/>
        <v>0</v>
      </c>
      <c r="BI24" s="15">
        <f t="shared" si="26"/>
        <v>0</v>
      </c>
      <c r="BJ24" s="98">
        <f t="shared" si="27"/>
        <v>0</v>
      </c>
      <c r="BK24" s="128">
        <f>IF(BJ24&gt;0,16,0)</f>
        <v>0</v>
      </c>
      <c r="BL24" s="128">
        <f t="shared" si="28"/>
        <v>0</v>
      </c>
      <c r="BM24" s="15">
        <f t="shared" si="29"/>
        <v>0</v>
      </c>
      <c r="BN24" s="127" t="e">
        <f t="shared" si="11"/>
        <v>#DIV/0!</v>
      </c>
      <c r="BO24" s="127" t="e">
        <f t="shared" si="41"/>
        <v>#DIV/0!</v>
      </c>
      <c r="BQ24" s="121">
        <f>Transport!$A35</f>
        <v>44743</v>
      </c>
      <c r="BR24" s="73">
        <f t="shared" si="43"/>
        <v>0</v>
      </c>
      <c r="BS24" s="15">
        <f t="shared" si="30"/>
        <v>0</v>
      </c>
      <c r="BT24" s="98">
        <f t="shared" si="31"/>
        <v>0</v>
      </c>
      <c r="BU24" s="128">
        <f>IF(BT24&gt;0,16,0)</f>
        <v>0</v>
      </c>
      <c r="BV24" s="128">
        <f t="shared" si="32"/>
        <v>0</v>
      </c>
      <c r="BW24" s="15">
        <f t="shared" si="33"/>
        <v>0</v>
      </c>
      <c r="BX24" s="127" t="e">
        <f t="shared" si="12"/>
        <v>#DIV/0!</v>
      </c>
      <c r="BY24" s="127" t="e">
        <f t="shared" si="13"/>
        <v>#DIV/0!</v>
      </c>
      <c r="CA24" s="121">
        <f>Transport!$A35</f>
        <v>44743</v>
      </c>
      <c r="CB24" s="131">
        <v>0</v>
      </c>
      <c r="CC24" s="15">
        <f t="shared" si="34"/>
        <v>0</v>
      </c>
      <c r="CD24" s="98">
        <f t="shared" si="35"/>
        <v>0</v>
      </c>
      <c r="CE24" s="128">
        <f>IF(CD24&gt;0,16,0)</f>
        <v>0</v>
      </c>
      <c r="CF24" s="128">
        <f t="shared" si="36"/>
        <v>0</v>
      </c>
      <c r="CG24" s="15">
        <f t="shared" si="37"/>
        <v>0</v>
      </c>
      <c r="CH24" s="127" t="e">
        <f t="shared" si="14"/>
        <v>#DIV/0!</v>
      </c>
      <c r="CI24" s="127" t="e">
        <f t="shared" si="15"/>
        <v>#DIV/0!</v>
      </c>
    </row>
    <row r="25" spans="2:87" x14ac:dyDescent="0.2">
      <c r="B25" s="440">
        <f>'Incurred Per Day'!N22</f>
        <v>44835</v>
      </c>
      <c r="C25" s="441">
        <f>Final!X28</f>
        <v>5346516.4463065388</v>
      </c>
      <c r="D25" s="151">
        <f>Data!AO25</f>
        <v>128887</v>
      </c>
      <c r="E25" s="10">
        <f>'Incurred Per Day'!S22</f>
        <v>21</v>
      </c>
      <c r="F25" s="295">
        <f t="shared" si="6"/>
        <v>41.48</v>
      </c>
      <c r="G25" s="441">
        <f t="shared" si="7"/>
        <v>254596</v>
      </c>
      <c r="H25" s="295">
        <f t="shared" si="8"/>
        <v>1.98</v>
      </c>
      <c r="N25" s="4">
        <f t="shared" si="4"/>
        <v>44743</v>
      </c>
      <c r="O25" s="216" t="str">
        <f t="shared" si="0"/>
        <v>Jul</v>
      </c>
      <c r="P25" s="2" t="str">
        <f t="shared" si="1"/>
        <v>Fri</v>
      </c>
      <c r="Q25" s="436">
        <f t="shared" si="5"/>
        <v>31</v>
      </c>
      <c r="R25" s="436">
        <f t="shared" si="2"/>
        <v>21</v>
      </c>
      <c r="S25" s="436">
        <f t="shared" si="3"/>
        <v>20</v>
      </c>
      <c r="U25" s="434" t="s">
        <v>507</v>
      </c>
      <c r="V25" s="10"/>
      <c r="W25" s="443">
        <v>0</v>
      </c>
      <c r="X25" s="10">
        <f t="shared" si="42"/>
        <v>0</v>
      </c>
      <c r="AB25">
        <f t="shared" si="38"/>
        <v>17</v>
      </c>
      <c r="AC25" s="121">
        <f>Transport!$A36</f>
        <v>44774</v>
      </c>
      <c r="AD25" s="132" t="str">
        <f t="shared" si="16"/>
        <v>8</v>
      </c>
      <c r="AE25" s="132" t="str">
        <f t="shared" si="39"/>
        <v>22</v>
      </c>
      <c r="AF25" s="132" t="str">
        <f t="shared" si="40"/>
        <v>8/22</v>
      </c>
      <c r="AG25" s="134" t="s">
        <v>285</v>
      </c>
      <c r="AH25" s="73">
        <f>H27</f>
        <v>1.94</v>
      </c>
      <c r="AI25" s="73">
        <f>LeastSq!AD23</f>
        <v>64.604625407072007</v>
      </c>
      <c r="AJ25" s="73">
        <f ca="1">LeastSq!$AZ23</f>
        <v>38.644862610603298</v>
      </c>
      <c r="AK25" s="73"/>
      <c r="AL25" s="73">
        <f>Transport!$G36</f>
        <v>0.21215089123758382</v>
      </c>
      <c r="AM25" s="73">
        <f t="shared" si="17"/>
        <v>1.94</v>
      </c>
      <c r="AP25" s="121">
        <f t="shared" si="18"/>
        <v>44774</v>
      </c>
      <c r="AQ25" s="73">
        <f t="shared" si="19"/>
        <v>1.94</v>
      </c>
      <c r="AR25" s="73">
        <f>Transport!$N36</f>
        <v>41.162244674750916</v>
      </c>
      <c r="AS25" s="73">
        <f>Transport!$J36</f>
        <v>44.71334857009554</v>
      </c>
      <c r="AT25" s="73">
        <f>Transport!$O36</f>
        <v>41.162244674750916</v>
      </c>
      <c r="AU25" s="2">
        <v>17</v>
      </c>
      <c r="AW25" s="121">
        <f>Transport!$A36</f>
        <v>44774</v>
      </c>
      <c r="AX25" s="73">
        <f t="shared" si="9"/>
        <v>1.94</v>
      </c>
      <c r="AY25" s="15">
        <f t="shared" si="20"/>
        <v>0.66268797307523675</v>
      </c>
      <c r="AZ25" s="98">
        <f t="shared" si="21"/>
        <v>1</v>
      </c>
      <c r="BA25" s="128">
        <f>IF(AZ25&gt;0,17,0)</f>
        <v>17</v>
      </c>
      <c r="BB25" s="128">
        <f t="shared" si="22"/>
        <v>289</v>
      </c>
      <c r="BC25" s="15">
        <f t="shared" si="23"/>
        <v>11.265695542279024</v>
      </c>
      <c r="BD25" s="127">
        <f t="shared" ca="1" si="10"/>
        <v>0.64441853176509734</v>
      </c>
      <c r="BE25" s="127">
        <f t="shared" ca="1" si="24"/>
        <v>1.9048790805079876</v>
      </c>
      <c r="BG25" s="121">
        <f>Transport!$A36</f>
        <v>44774</v>
      </c>
      <c r="BH25" s="73">
        <f t="shared" si="25"/>
        <v>0</v>
      </c>
      <c r="BI25" s="15">
        <f t="shared" si="26"/>
        <v>0</v>
      </c>
      <c r="BJ25" s="98">
        <f t="shared" si="27"/>
        <v>0</v>
      </c>
      <c r="BK25" s="128">
        <f>IF(BJ25&gt;0,17,0)</f>
        <v>0</v>
      </c>
      <c r="BL25" s="128">
        <f t="shared" si="28"/>
        <v>0</v>
      </c>
      <c r="BM25" s="15">
        <f t="shared" si="29"/>
        <v>0</v>
      </c>
      <c r="BN25" s="127" t="e">
        <f t="shared" si="11"/>
        <v>#DIV/0!</v>
      </c>
      <c r="BO25" s="127" t="e">
        <f t="shared" si="41"/>
        <v>#DIV/0!</v>
      </c>
      <c r="BQ25" s="121">
        <f>Transport!$A36</f>
        <v>44774</v>
      </c>
      <c r="BR25" s="73">
        <f t="shared" si="43"/>
        <v>0</v>
      </c>
      <c r="BS25" s="15">
        <f t="shared" si="30"/>
        <v>0</v>
      </c>
      <c r="BT25" s="98">
        <f t="shared" si="31"/>
        <v>0</v>
      </c>
      <c r="BU25" s="128">
        <f>IF(BT25&gt;0,17,0)</f>
        <v>0</v>
      </c>
      <c r="BV25" s="128">
        <f t="shared" si="32"/>
        <v>0</v>
      </c>
      <c r="BW25" s="15">
        <f t="shared" si="33"/>
        <v>0</v>
      </c>
      <c r="BX25" s="127" t="e">
        <f t="shared" si="12"/>
        <v>#DIV/0!</v>
      </c>
      <c r="BY25" s="127" t="e">
        <f t="shared" si="13"/>
        <v>#DIV/0!</v>
      </c>
      <c r="CA25" s="121">
        <f>Transport!$A36</f>
        <v>44774</v>
      </c>
      <c r="CB25" s="131">
        <v>0</v>
      </c>
      <c r="CC25" s="15">
        <f t="shared" si="34"/>
        <v>0</v>
      </c>
      <c r="CD25" s="98">
        <f t="shared" si="35"/>
        <v>0</v>
      </c>
      <c r="CE25" s="128">
        <f>IF(CD25&gt;0,17,0)</f>
        <v>0</v>
      </c>
      <c r="CF25" s="128">
        <f t="shared" si="36"/>
        <v>0</v>
      </c>
      <c r="CG25" s="15">
        <f t="shared" si="37"/>
        <v>0</v>
      </c>
      <c r="CH25" s="127" t="e">
        <f t="shared" si="14"/>
        <v>#DIV/0!</v>
      </c>
      <c r="CI25" s="127" t="e">
        <f t="shared" si="15"/>
        <v>#DIV/0!</v>
      </c>
    </row>
    <row r="26" spans="2:87" ht="12" thickBot="1" x14ac:dyDescent="0.25">
      <c r="B26" s="440">
        <f>'Incurred Per Day'!N23</f>
        <v>44805</v>
      </c>
      <c r="C26" s="441">
        <f>Data!BO26</f>
        <v>5274149.7107594796</v>
      </c>
      <c r="D26" s="151">
        <f>Data!AO26</f>
        <v>129309</v>
      </c>
      <c r="E26" s="10">
        <f>'Incurred Per Day'!S23</f>
        <v>21</v>
      </c>
      <c r="F26" s="295">
        <f t="shared" si="6"/>
        <v>40.79</v>
      </c>
      <c r="G26" s="441">
        <f t="shared" si="7"/>
        <v>251150</v>
      </c>
      <c r="H26" s="295">
        <f t="shared" si="8"/>
        <v>1.94</v>
      </c>
      <c r="N26" s="4">
        <f t="shared" si="4"/>
        <v>44713</v>
      </c>
      <c r="O26" s="216" t="str">
        <f t="shared" si="0"/>
        <v>Jun</v>
      </c>
      <c r="P26" s="2" t="str">
        <f t="shared" si="1"/>
        <v>Wed</v>
      </c>
      <c r="Q26" s="436">
        <f t="shared" si="5"/>
        <v>30</v>
      </c>
      <c r="R26" s="436">
        <f t="shared" si="2"/>
        <v>22</v>
      </c>
      <c r="S26" s="436">
        <f t="shared" si="3"/>
        <v>22</v>
      </c>
      <c r="U26" s="434" t="s">
        <v>506</v>
      </c>
      <c r="V26" s="10">
        <v>-1</v>
      </c>
      <c r="W26" s="444">
        <v>0</v>
      </c>
      <c r="X26" s="10">
        <f t="shared" si="42"/>
        <v>-1</v>
      </c>
      <c r="Y26" s="101" t="s">
        <v>868</v>
      </c>
      <c r="AB26">
        <f t="shared" si="38"/>
        <v>18</v>
      </c>
      <c r="AC26" s="121">
        <f>Transport!$A37</f>
        <v>44805</v>
      </c>
      <c r="AD26" s="132" t="str">
        <f t="shared" si="16"/>
        <v>9</v>
      </c>
      <c r="AE26" s="132" t="str">
        <f t="shared" si="39"/>
        <v>22</v>
      </c>
      <c r="AF26" s="132" t="str">
        <f t="shared" si="40"/>
        <v>9/22</v>
      </c>
      <c r="AG26" s="133" t="str">
        <f>AD26&amp;"/"&amp;AE26</f>
        <v>9/22</v>
      </c>
      <c r="AH26" s="73">
        <f>H26</f>
        <v>1.94</v>
      </c>
      <c r="AI26" s="73">
        <f>LeastSq!AD24</f>
        <v>66.750621554779386</v>
      </c>
      <c r="AJ26" s="73">
        <f ca="1">LeastSq!$AZ24</f>
        <v>38.787679034834738</v>
      </c>
      <c r="AK26" s="73"/>
      <c r="AL26" s="73">
        <f>Transport!$G37</f>
        <v>0.20990975693459887</v>
      </c>
      <c r="AM26" s="73">
        <f t="shared" si="17"/>
        <v>1.94</v>
      </c>
      <c r="AP26" s="121">
        <f t="shared" si="18"/>
        <v>44805</v>
      </c>
      <c r="AQ26" s="73">
        <f t="shared" si="19"/>
        <v>1.94</v>
      </c>
      <c r="AR26" s="73">
        <f>Transport!$N37</f>
        <v>42.32757718889949</v>
      </c>
      <c r="AS26" s="73">
        <f>Transport!$J37</f>
        <v>40.787181949898923</v>
      </c>
      <c r="AT26" s="73">
        <f>Transport!$O37</f>
        <v>42.32757718889949</v>
      </c>
      <c r="AU26" s="2">
        <v>18</v>
      </c>
      <c r="AW26" s="121">
        <f>Transport!$A37</f>
        <v>44805</v>
      </c>
      <c r="AX26" s="73">
        <f t="shared" si="9"/>
        <v>1.94</v>
      </c>
      <c r="AY26" s="15">
        <f t="shared" si="20"/>
        <v>0.66268797307523675</v>
      </c>
      <c r="AZ26" s="98">
        <f t="shared" si="21"/>
        <v>1</v>
      </c>
      <c r="BA26" s="128">
        <f>IF(AZ26&gt;0,18,0)</f>
        <v>18</v>
      </c>
      <c r="BB26" s="128">
        <f t="shared" si="22"/>
        <v>324</v>
      </c>
      <c r="BC26" s="15">
        <f t="shared" si="23"/>
        <v>11.928383515354261</v>
      </c>
      <c r="BD26" s="127">
        <f t="shared" ca="1" si="10"/>
        <v>0.64441853176509734</v>
      </c>
      <c r="BE26" s="127">
        <f t="shared" ca="1" si="24"/>
        <v>1.9048790805079876</v>
      </c>
      <c r="BG26" s="121">
        <f>Transport!$A37</f>
        <v>44805</v>
      </c>
      <c r="BH26" s="73">
        <f t="shared" si="25"/>
        <v>0</v>
      </c>
      <c r="BI26" s="15">
        <f t="shared" si="26"/>
        <v>0</v>
      </c>
      <c r="BJ26" s="98">
        <f t="shared" si="27"/>
        <v>0</v>
      </c>
      <c r="BK26" s="128">
        <f>IF(BJ26&gt;0,18,0)</f>
        <v>0</v>
      </c>
      <c r="BL26" s="128">
        <f t="shared" si="28"/>
        <v>0</v>
      </c>
      <c r="BM26" s="15">
        <f t="shared" si="29"/>
        <v>0</v>
      </c>
      <c r="BN26" s="127" t="e">
        <f t="shared" si="11"/>
        <v>#DIV/0!</v>
      </c>
      <c r="BO26" s="127" t="e">
        <f t="shared" si="41"/>
        <v>#DIV/0!</v>
      </c>
      <c r="BQ26" s="121">
        <f>Transport!$A37</f>
        <v>44805</v>
      </c>
      <c r="BR26" s="73">
        <f t="shared" si="43"/>
        <v>0</v>
      </c>
      <c r="BS26" s="15">
        <f t="shared" si="30"/>
        <v>0</v>
      </c>
      <c r="BT26" s="98">
        <f t="shared" si="31"/>
        <v>0</v>
      </c>
      <c r="BU26" s="128">
        <f>IF(BT26&gt;0,18,0)</f>
        <v>0</v>
      </c>
      <c r="BV26" s="128">
        <f t="shared" si="32"/>
        <v>0</v>
      </c>
      <c r="BW26" s="15">
        <f t="shared" si="33"/>
        <v>0</v>
      </c>
      <c r="BX26" s="127" t="e">
        <f t="shared" si="12"/>
        <v>#DIV/0!</v>
      </c>
      <c r="BY26" s="127" t="e">
        <f t="shared" si="13"/>
        <v>#DIV/0!</v>
      </c>
      <c r="CA26" s="121">
        <f>Transport!$A37</f>
        <v>44805</v>
      </c>
      <c r="CB26" s="131">
        <v>0</v>
      </c>
      <c r="CC26" s="15">
        <f t="shared" si="34"/>
        <v>0</v>
      </c>
      <c r="CD26" s="98">
        <f t="shared" si="35"/>
        <v>0</v>
      </c>
      <c r="CE26" s="128">
        <f>IF(CD26&gt;0,18,0)</f>
        <v>0</v>
      </c>
      <c r="CF26" s="128">
        <f t="shared" si="36"/>
        <v>0</v>
      </c>
      <c r="CG26" s="15">
        <f t="shared" si="37"/>
        <v>0</v>
      </c>
      <c r="CH26" s="127" t="e">
        <f t="shared" si="14"/>
        <v>#DIV/0!</v>
      </c>
      <c r="CI26" s="127" t="e">
        <f t="shared" si="15"/>
        <v>#DIV/0!</v>
      </c>
    </row>
    <row r="27" spans="2:87" x14ac:dyDescent="0.2">
      <c r="B27" s="440">
        <f>'Incurred Per Day'!N24</f>
        <v>44774</v>
      </c>
      <c r="C27" s="441">
        <f>Data!BO27</f>
        <v>5856107.2622254128</v>
      </c>
      <c r="D27" s="151">
        <f>Data!AO27</f>
        <v>130970</v>
      </c>
      <c r="E27" s="10">
        <f>'Incurred Per Day'!S24</f>
        <v>23</v>
      </c>
      <c r="F27" s="295">
        <f t="shared" si="6"/>
        <v>44.71</v>
      </c>
      <c r="G27" s="441">
        <f t="shared" si="7"/>
        <v>254613</v>
      </c>
      <c r="H27" s="295">
        <f t="shared" si="8"/>
        <v>1.94</v>
      </c>
      <c r="N27" s="4">
        <f t="shared" si="4"/>
        <v>44682</v>
      </c>
      <c r="O27" s="216" t="str">
        <f t="shared" si="0"/>
        <v>May</v>
      </c>
      <c r="P27" s="2" t="str">
        <f t="shared" si="1"/>
        <v>Sun</v>
      </c>
      <c r="Q27" s="436">
        <f t="shared" si="5"/>
        <v>31</v>
      </c>
      <c r="R27" s="436">
        <f t="shared" si="2"/>
        <v>22</v>
      </c>
      <c r="S27" s="436">
        <f t="shared" si="3"/>
        <v>21</v>
      </c>
      <c r="AB27">
        <f t="shared" si="38"/>
        <v>19</v>
      </c>
      <c r="AC27" s="121">
        <f>Transport!$A38</f>
        <v>44835</v>
      </c>
      <c r="AD27" s="132" t="str">
        <f t="shared" si="16"/>
        <v>10</v>
      </c>
      <c r="AE27" s="132" t="str">
        <f t="shared" si="39"/>
        <v>22</v>
      </c>
      <c r="AF27" s="132" t="str">
        <f t="shared" si="40"/>
        <v>10/22</v>
      </c>
      <c r="AG27" s="134" t="s">
        <v>286</v>
      </c>
      <c r="AH27" s="73">
        <f>H25</f>
        <v>1.98</v>
      </c>
      <c r="AI27" s="73">
        <f>LeastSq!AD25</f>
        <v>70.780024451123509</v>
      </c>
      <c r="AJ27" s="73">
        <f ca="1">LeastSq!$AZ25</f>
        <v>38.931023253180392</v>
      </c>
      <c r="AK27" s="73">
        <f ca="1">LeastSq!$BJ25</f>
        <v>39.677820201463291</v>
      </c>
      <c r="AL27" s="73">
        <f>Transport!$G38</f>
        <v>0.24959915512441702</v>
      </c>
      <c r="AM27" s="73">
        <f t="shared" si="17"/>
        <v>1.98</v>
      </c>
      <c r="AP27" s="121">
        <f t="shared" si="18"/>
        <v>44835</v>
      </c>
      <c r="AQ27" s="73">
        <f t="shared" si="19"/>
        <v>1.98</v>
      </c>
      <c r="AR27" s="73">
        <f>Transport!$N38</f>
        <v>40.520750427043382</v>
      </c>
      <c r="AS27" s="73">
        <f>Transport!$J38</f>
        <v>41.482201046704006</v>
      </c>
      <c r="AT27" s="73">
        <f>Transport!$O38</f>
        <v>40.520750427043382</v>
      </c>
      <c r="AU27" s="2">
        <v>19</v>
      </c>
      <c r="AW27" s="121">
        <f>Transport!$A38</f>
        <v>44835</v>
      </c>
      <c r="AX27" s="73">
        <f t="shared" si="9"/>
        <v>1.98</v>
      </c>
      <c r="AY27" s="15">
        <f t="shared" si="20"/>
        <v>0.68309684470644383</v>
      </c>
      <c r="AZ27" s="98">
        <f t="shared" si="21"/>
        <v>1</v>
      </c>
      <c r="BA27" s="128">
        <f>IF(AZ27&gt;0,19,0)</f>
        <v>19</v>
      </c>
      <c r="BB27" s="128">
        <f t="shared" si="22"/>
        <v>361</v>
      </c>
      <c r="BC27" s="15">
        <f t="shared" si="23"/>
        <v>12.978840049422432</v>
      </c>
      <c r="BD27" s="127">
        <f t="shared" ca="1" si="10"/>
        <v>0.64441853176509734</v>
      </c>
      <c r="BE27" s="127">
        <f t="shared" ca="1" si="24"/>
        <v>1.9048790805079876</v>
      </c>
      <c r="BG27" s="121">
        <f>Transport!$A38</f>
        <v>44835</v>
      </c>
      <c r="BH27" s="73">
        <f t="shared" si="25"/>
        <v>0</v>
      </c>
      <c r="BI27" s="15">
        <f t="shared" si="26"/>
        <v>0</v>
      </c>
      <c r="BJ27" s="98">
        <f t="shared" si="27"/>
        <v>0</v>
      </c>
      <c r="BK27" s="128">
        <f>IF(BJ27&gt;0,19,0)</f>
        <v>0</v>
      </c>
      <c r="BL27" s="128">
        <f t="shared" si="28"/>
        <v>0</v>
      </c>
      <c r="BM27" s="15">
        <f t="shared" si="29"/>
        <v>0</v>
      </c>
      <c r="BN27" s="127" t="e">
        <f t="shared" si="11"/>
        <v>#DIV/0!</v>
      </c>
      <c r="BO27" s="127" t="e">
        <f t="shared" si="41"/>
        <v>#DIV/0!</v>
      </c>
      <c r="BQ27" s="121">
        <f>Transport!$A38</f>
        <v>44835</v>
      </c>
      <c r="BR27" s="73">
        <f t="shared" si="43"/>
        <v>0</v>
      </c>
      <c r="BS27" s="15">
        <f t="shared" si="30"/>
        <v>0</v>
      </c>
      <c r="BT27" s="98">
        <f t="shared" si="31"/>
        <v>0</v>
      </c>
      <c r="BU27" s="128">
        <f>IF(BT27&gt;0,19,0)</f>
        <v>0</v>
      </c>
      <c r="BV27" s="128">
        <f t="shared" si="32"/>
        <v>0</v>
      </c>
      <c r="BW27" s="15">
        <f t="shared" si="33"/>
        <v>0</v>
      </c>
      <c r="BX27" s="127" t="e">
        <f t="shared" si="12"/>
        <v>#DIV/0!</v>
      </c>
      <c r="BY27" s="127" t="e">
        <f t="shared" si="13"/>
        <v>#DIV/0!</v>
      </c>
      <c r="CA27" s="121">
        <f>Transport!$A38</f>
        <v>44835</v>
      </c>
      <c r="CB27" s="73">
        <f t="shared" ref="CB27:CB44" si="44">$J25</f>
        <v>0</v>
      </c>
      <c r="CC27" s="15">
        <f t="shared" si="34"/>
        <v>0</v>
      </c>
      <c r="CD27" s="98">
        <f t="shared" si="35"/>
        <v>0</v>
      </c>
      <c r="CE27" s="128">
        <f>IF(CD27&gt;0,19,0)</f>
        <v>0</v>
      </c>
      <c r="CF27" s="128">
        <f t="shared" si="36"/>
        <v>0</v>
      </c>
      <c r="CG27" s="15">
        <f t="shared" si="37"/>
        <v>0</v>
      </c>
      <c r="CH27" s="127" t="e">
        <f t="shared" si="14"/>
        <v>#DIV/0!</v>
      </c>
      <c r="CI27" s="127" t="e">
        <f>EXP(CH27)</f>
        <v>#DIV/0!</v>
      </c>
    </row>
    <row r="28" spans="2:87" x14ac:dyDescent="0.2">
      <c r="B28" s="440">
        <f>'Incurred Per Day'!N25</f>
        <v>44743</v>
      </c>
      <c r="C28" s="441">
        <f>Data!BO28</f>
        <v>5003656.6841914151</v>
      </c>
      <c r="D28" s="151">
        <f>Data!AO28</f>
        <v>131723</v>
      </c>
      <c r="E28" s="10">
        <f>'Incurred Per Day'!S25</f>
        <v>20</v>
      </c>
      <c r="F28" s="295">
        <f t="shared" si="6"/>
        <v>37.99</v>
      </c>
      <c r="G28" s="441">
        <f t="shared" si="7"/>
        <v>250183</v>
      </c>
      <c r="H28" s="295">
        <f t="shared" si="8"/>
        <v>1.9</v>
      </c>
      <c r="N28" s="4">
        <f t="shared" si="4"/>
        <v>44652</v>
      </c>
      <c r="O28" s="216" t="str">
        <f t="shared" si="0"/>
        <v>Apr</v>
      </c>
      <c r="P28" s="2" t="str">
        <f t="shared" si="1"/>
        <v>Fri</v>
      </c>
      <c r="Q28" s="436">
        <f t="shared" si="5"/>
        <v>30</v>
      </c>
      <c r="R28" s="436">
        <f t="shared" si="2"/>
        <v>21</v>
      </c>
      <c r="S28" s="436">
        <f t="shared" si="3"/>
        <v>21</v>
      </c>
      <c r="AB28">
        <f t="shared" si="38"/>
        <v>20</v>
      </c>
      <c r="AC28" s="121">
        <f>Transport!$A39</f>
        <v>44866</v>
      </c>
      <c r="AD28" s="132" t="str">
        <f t="shared" si="16"/>
        <v>11</v>
      </c>
      <c r="AE28" s="132" t="str">
        <f t="shared" si="39"/>
        <v>22</v>
      </c>
      <c r="AF28" s="132" t="str">
        <f t="shared" si="40"/>
        <v>11/22</v>
      </c>
      <c r="AG28" s="134" t="s">
        <v>287</v>
      </c>
      <c r="AH28" s="73">
        <f>H24</f>
        <v>1.96</v>
      </c>
      <c r="AI28" s="73">
        <f>LeastSq!AD26</f>
        <v>73.420860676414108</v>
      </c>
      <c r="AJ28" s="73">
        <f ca="1">LeastSq!$AZ26</f>
        <v>39.074897216162597</v>
      </c>
      <c r="AK28" s="73">
        <f ca="1">LeastSq!$BJ26</f>
        <v>39.727877182520444</v>
      </c>
      <c r="AL28" s="73">
        <f>Transport!$G39</f>
        <v>0.27418952986562312</v>
      </c>
      <c r="AM28" s="73">
        <f t="shared" si="17"/>
        <v>1.96</v>
      </c>
      <c r="AP28" s="121">
        <f t="shared" si="18"/>
        <v>44866</v>
      </c>
      <c r="AQ28" s="73">
        <f t="shared" si="19"/>
        <v>1.96</v>
      </c>
      <c r="AR28" s="73">
        <f>Transport!$N39</f>
        <v>40.243414104596695</v>
      </c>
      <c r="AS28" s="73">
        <f>Transport!$J39</f>
        <v>39.292868284527216</v>
      </c>
      <c r="AT28" s="73">
        <f>Transport!$O39</f>
        <v>40.243414104596695</v>
      </c>
      <c r="AU28" s="2">
        <v>20</v>
      </c>
      <c r="AW28" s="121">
        <f>Transport!$A39</f>
        <v>44866</v>
      </c>
      <c r="AX28" s="73">
        <f t="shared" si="9"/>
        <v>1.96</v>
      </c>
      <c r="AY28" s="15">
        <f t="shared" si="20"/>
        <v>0.67294447324242579</v>
      </c>
      <c r="AZ28" s="98">
        <f t="shared" si="21"/>
        <v>1</v>
      </c>
      <c r="BA28" s="128">
        <f>IF(AZ28&gt;0,20,0)</f>
        <v>20</v>
      </c>
      <c r="BB28" s="128">
        <f t="shared" si="22"/>
        <v>400</v>
      </c>
      <c r="BC28" s="15">
        <f t="shared" si="23"/>
        <v>13.458889464848516</v>
      </c>
      <c r="BD28" s="127">
        <f t="shared" ca="1" si="10"/>
        <v>0.64441853176509734</v>
      </c>
      <c r="BE28" s="127">
        <f t="shared" ca="1" si="24"/>
        <v>1.9048790805079876</v>
      </c>
      <c r="BG28" s="121">
        <f>Transport!$A39</f>
        <v>44866</v>
      </c>
      <c r="BH28" s="73">
        <f t="shared" si="25"/>
        <v>0</v>
      </c>
      <c r="BI28" s="15">
        <f t="shared" si="26"/>
        <v>0</v>
      </c>
      <c r="BJ28" s="98">
        <f t="shared" si="27"/>
        <v>0</v>
      </c>
      <c r="BK28" s="128">
        <f>IF(BJ28&gt;0,20,0)</f>
        <v>0</v>
      </c>
      <c r="BL28" s="128">
        <f t="shared" si="28"/>
        <v>0</v>
      </c>
      <c r="BM28" s="15">
        <f t="shared" si="29"/>
        <v>0</v>
      </c>
      <c r="BN28" s="127" t="e">
        <f t="shared" si="11"/>
        <v>#DIV/0!</v>
      </c>
      <c r="BO28" s="127" t="e">
        <f t="shared" si="41"/>
        <v>#DIV/0!</v>
      </c>
      <c r="BQ28" s="121">
        <f>Transport!$A39</f>
        <v>44866</v>
      </c>
      <c r="BR28" s="73">
        <f t="shared" si="43"/>
        <v>0</v>
      </c>
      <c r="BS28" s="15">
        <f t="shared" si="30"/>
        <v>0</v>
      </c>
      <c r="BT28" s="98">
        <f t="shared" si="31"/>
        <v>0</v>
      </c>
      <c r="BU28" s="128">
        <f>IF(BT28&gt;0,20,0)</f>
        <v>0</v>
      </c>
      <c r="BV28" s="128">
        <f t="shared" si="32"/>
        <v>0</v>
      </c>
      <c r="BW28" s="15">
        <f t="shared" si="33"/>
        <v>0</v>
      </c>
      <c r="BX28" s="127" t="e">
        <f t="shared" si="12"/>
        <v>#DIV/0!</v>
      </c>
      <c r="BY28" s="127" t="e">
        <f t="shared" si="13"/>
        <v>#DIV/0!</v>
      </c>
      <c r="CA28" s="121">
        <f>Transport!$A39</f>
        <v>44866</v>
      </c>
      <c r="CB28" s="73">
        <f t="shared" si="44"/>
        <v>0</v>
      </c>
      <c r="CC28" s="15">
        <f t="shared" si="34"/>
        <v>0</v>
      </c>
      <c r="CD28" s="98">
        <f t="shared" si="35"/>
        <v>0</v>
      </c>
      <c r="CE28" s="128">
        <f>IF(CD28&gt;0,20,0)</f>
        <v>0</v>
      </c>
      <c r="CF28" s="128">
        <f t="shared" si="36"/>
        <v>0</v>
      </c>
      <c r="CG28" s="15">
        <f t="shared" si="37"/>
        <v>0</v>
      </c>
      <c r="CH28" s="127" t="e">
        <f t="shared" si="14"/>
        <v>#DIV/0!</v>
      </c>
      <c r="CI28" s="127" t="e">
        <f t="shared" ref="CI28:CI44" si="45">EXP(CH28)</f>
        <v>#DIV/0!</v>
      </c>
    </row>
    <row r="29" spans="2:87" x14ac:dyDescent="0.2">
      <c r="B29" s="440">
        <f>'Incurred Per Day'!N26</f>
        <v>44713</v>
      </c>
      <c r="C29" s="441">
        <f>Data!BO29</f>
        <v>5190331.2046734244</v>
      </c>
      <c r="D29" s="151">
        <f>Data!AO29</f>
        <v>131777</v>
      </c>
      <c r="E29" s="10">
        <f>'Incurred Per Day'!S26</f>
        <v>22</v>
      </c>
      <c r="F29" s="295">
        <f t="shared" si="6"/>
        <v>39.39</v>
      </c>
      <c r="G29" s="441">
        <f t="shared" si="7"/>
        <v>235924</v>
      </c>
      <c r="H29" s="295">
        <f t="shared" si="8"/>
        <v>1.79</v>
      </c>
      <c r="N29" s="4">
        <f t="shared" si="4"/>
        <v>44621</v>
      </c>
      <c r="O29" s="216" t="str">
        <f t="shared" si="0"/>
        <v>Mar</v>
      </c>
      <c r="P29" s="2" t="str">
        <f t="shared" si="1"/>
        <v>Tue</v>
      </c>
      <c r="Q29" s="436">
        <f t="shared" si="5"/>
        <v>31</v>
      </c>
      <c r="R29" s="436">
        <f t="shared" si="2"/>
        <v>23</v>
      </c>
      <c r="S29" s="436">
        <f t="shared" si="3"/>
        <v>23</v>
      </c>
      <c r="AB29">
        <f t="shared" si="38"/>
        <v>21</v>
      </c>
      <c r="AC29" s="121">
        <f>Transport!$A40</f>
        <v>44896</v>
      </c>
      <c r="AD29" s="132" t="str">
        <f t="shared" si="16"/>
        <v>12</v>
      </c>
      <c r="AE29" s="132" t="str">
        <f t="shared" si="39"/>
        <v>22</v>
      </c>
      <c r="AF29" s="132" t="str">
        <f t="shared" si="40"/>
        <v>12/22</v>
      </c>
      <c r="AG29" s="133" t="str">
        <f>AD29&amp;"/"&amp;AE29</f>
        <v>12/22</v>
      </c>
      <c r="AH29" s="73">
        <f>H23</f>
        <v>1.9</v>
      </c>
      <c r="AI29" s="73">
        <f>LeastSq!AD27</f>
        <v>77.442921155284438</v>
      </c>
      <c r="AJ29" s="73">
        <f ca="1">LeastSq!$AZ27</f>
        <v>39.219302881512078</v>
      </c>
      <c r="AK29" s="73">
        <f ca="1">LeastSq!$BJ27</f>
        <v>39.777997314762338</v>
      </c>
      <c r="AL29" s="73">
        <f>Transport!$G40</f>
        <v>0.30109826112542049</v>
      </c>
      <c r="AM29" s="73">
        <f t="shared" si="17"/>
        <v>1.9</v>
      </c>
      <c r="AP29" s="121">
        <f t="shared" si="18"/>
        <v>44896</v>
      </c>
      <c r="AQ29" s="73">
        <f t="shared" si="19"/>
        <v>1.9</v>
      </c>
      <c r="AR29" s="73">
        <f>Transport!$N40</f>
        <v>37.901873382070029</v>
      </c>
      <c r="AS29" s="73">
        <f>Transport!$J40</f>
        <v>39.955172982558864</v>
      </c>
      <c r="AT29" s="73">
        <f>Transport!$O40</f>
        <v>37.901873382070029</v>
      </c>
      <c r="AU29" s="2">
        <v>21</v>
      </c>
      <c r="AW29" s="121">
        <f>Transport!$A40</f>
        <v>44896</v>
      </c>
      <c r="AX29" s="73">
        <f t="shared" si="9"/>
        <v>1.9</v>
      </c>
      <c r="AY29" s="15">
        <f t="shared" si="20"/>
        <v>0.64185388617239469</v>
      </c>
      <c r="AZ29" s="98">
        <f t="shared" si="21"/>
        <v>1</v>
      </c>
      <c r="BA29" s="128">
        <f>IF(AZ29&gt;0,21,0)</f>
        <v>21</v>
      </c>
      <c r="BB29" s="128">
        <f t="shared" si="22"/>
        <v>441</v>
      </c>
      <c r="BC29" s="15">
        <f t="shared" si="23"/>
        <v>13.478931609620288</v>
      </c>
      <c r="BD29" s="127">
        <f t="shared" ca="1" si="10"/>
        <v>0.64441853176509734</v>
      </c>
      <c r="BE29" s="127">
        <f t="shared" ca="1" si="24"/>
        <v>1.9048790805079876</v>
      </c>
      <c r="BG29" s="121">
        <f>Transport!$A40</f>
        <v>44896</v>
      </c>
      <c r="BH29" s="73">
        <f t="shared" si="25"/>
        <v>0</v>
      </c>
      <c r="BI29" s="15">
        <f t="shared" si="26"/>
        <v>0</v>
      </c>
      <c r="BJ29" s="98">
        <f t="shared" si="27"/>
        <v>0</v>
      </c>
      <c r="BK29" s="128">
        <f>IF(BJ29&gt;0,21,0)</f>
        <v>0</v>
      </c>
      <c r="BL29" s="128">
        <f t="shared" si="28"/>
        <v>0</v>
      </c>
      <c r="BM29" s="15">
        <f t="shared" si="29"/>
        <v>0</v>
      </c>
      <c r="BN29" s="127" t="e">
        <f t="shared" si="11"/>
        <v>#DIV/0!</v>
      </c>
      <c r="BO29" s="127" t="e">
        <f t="shared" si="41"/>
        <v>#DIV/0!</v>
      </c>
      <c r="BQ29" s="121">
        <f>Transport!$A40</f>
        <v>44896</v>
      </c>
      <c r="BR29" s="73">
        <f t="shared" si="43"/>
        <v>0</v>
      </c>
      <c r="BS29" s="15">
        <f t="shared" si="30"/>
        <v>0</v>
      </c>
      <c r="BT29" s="98">
        <f t="shared" si="31"/>
        <v>0</v>
      </c>
      <c r="BU29" s="128">
        <f>IF(BT29&gt;0,21,0)</f>
        <v>0</v>
      </c>
      <c r="BV29" s="128">
        <f t="shared" si="32"/>
        <v>0</v>
      </c>
      <c r="BW29" s="15">
        <f t="shared" si="33"/>
        <v>0</v>
      </c>
      <c r="BX29" s="127" t="e">
        <f t="shared" si="12"/>
        <v>#DIV/0!</v>
      </c>
      <c r="BY29" s="127" t="e">
        <f t="shared" si="13"/>
        <v>#DIV/0!</v>
      </c>
      <c r="CA29" s="121">
        <f>Transport!$A40</f>
        <v>44896</v>
      </c>
      <c r="CB29" s="73">
        <f t="shared" si="44"/>
        <v>0</v>
      </c>
      <c r="CC29" s="15">
        <f t="shared" si="34"/>
        <v>0</v>
      </c>
      <c r="CD29" s="98">
        <f t="shared" si="35"/>
        <v>0</v>
      </c>
      <c r="CE29" s="128">
        <f>IF(CD29&gt;0,21,0)</f>
        <v>0</v>
      </c>
      <c r="CF29" s="128">
        <f t="shared" si="36"/>
        <v>0</v>
      </c>
      <c r="CG29" s="15">
        <f t="shared" si="37"/>
        <v>0</v>
      </c>
      <c r="CH29" s="127" t="e">
        <f t="shared" si="14"/>
        <v>#DIV/0!</v>
      </c>
      <c r="CI29" s="127" t="e">
        <f t="shared" si="45"/>
        <v>#DIV/0!</v>
      </c>
    </row>
    <row r="30" spans="2:87" x14ac:dyDescent="0.2">
      <c r="B30" s="440">
        <f>'Incurred Per Day'!N27</f>
        <v>44682</v>
      </c>
      <c r="C30" s="441">
        <f>Data!BO30</f>
        <v>5192428.6033042753</v>
      </c>
      <c r="D30" s="151">
        <f>Data!AO30</f>
        <v>132389</v>
      </c>
      <c r="E30" s="10">
        <f>'Incurred Per Day'!S27</f>
        <v>21</v>
      </c>
      <c r="F30" s="295">
        <f t="shared" si="6"/>
        <v>39.22</v>
      </c>
      <c r="G30" s="441">
        <f t="shared" si="7"/>
        <v>247259</v>
      </c>
      <c r="H30" s="295">
        <f t="shared" si="8"/>
        <v>1.87</v>
      </c>
      <c r="N30" s="4">
        <f t="shared" si="4"/>
        <v>44593</v>
      </c>
      <c r="O30" s="216" t="str">
        <f t="shared" si="0"/>
        <v>Feb</v>
      </c>
      <c r="P30" s="2" t="str">
        <f t="shared" si="1"/>
        <v>Tue</v>
      </c>
      <c r="Q30" s="436">
        <f t="shared" si="5"/>
        <v>28</v>
      </c>
      <c r="R30" s="436">
        <f t="shared" si="2"/>
        <v>20</v>
      </c>
      <c r="S30" s="436">
        <f t="shared" si="3"/>
        <v>20</v>
      </c>
      <c r="AB30">
        <f t="shared" si="38"/>
        <v>22</v>
      </c>
      <c r="AC30" s="121">
        <f>Transport!$A41</f>
        <v>44927</v>
      </c>
      <c r="AD30" s="132" t="str">
        <f t="shared" si="16"/>
        <v>1</v>
      </c>
      <c r="AE30" s="132" t="str">
        <f t="shared" si="39"/>
        <v>23</v>
      </c>
      <c r="AF30" s="132" t="str">
        <f t="shared" si="40"/>
        <v>1/23</v>
      </c>
      <c r="AG30" s="134" t="s">
        <v>288</v>
      </c>
      <c r="AH30" s="73">
        <f>H22</f>
        <v>1.64</v>
      </c>
      <c r="AI30" s="73">
        <f>LeastSq!AD28</f>
        <v>77.874037334615522</v>
      </c>
      <c r="AJ30" s="73">
        <f ca="1">LeastSq!$AZ28</f>
        <v>39.364242214194569</v>
      </c>
      <c r="AK30" s="73">
        <f ca="1">LeastSq!$BJ28</f>
        <v>39.828180677859585</v>
      </c>
      <c r="AL30" s="73">
        <f>Transport!$G41</f>
        <v>0.31269346719620922</v>
      </c>
      <c r="AM30" s="73">
        <f t="shared" si="17"/>
        <v>1.64</v>
      </c>
      <c r="AP30" s="121">
        <f t="shared" si="18"/>
        <v>44927</v>
      </c>
      <c r="AQ30" s="73">
        <f t="shared" si="19"/>
        <v>1.64</v>
      </c>
      <c r="AR30" s="73">
        <f>Transport!$N41</f>
        <v>36.667763950870807</v>
      </c>
      <c r="AS30" s="73">
        <f>Transport!$J41</f>
        <v>34.457578879124007</v>
      </c>
      <c r="AT30" s="73">
        <f>Transport!$O41</f>
        <v>36.667763950870807</v>
      </c>
      <c r="AU30" s="2">
        <v>22</v>
      </c>
      <c r="AW30" s="121">
        <f>Transport!$A41</f>
        <v>44927</v>
      </c>
      <c r="AX30" s="73">
        <f t="shared" si="9"/>
        <v>1.64</v>
      </c>
      <c r="AY30" s="15">
        <f t="shared" si="20"/>
        <v>0.494696241836107</v>
      </c>
      <c r="AZ30" s="98">
        <f t="shared" si="21"/>
        <v>1</v>
      </c>
      <c r="BA30" s="128">
        <f>IF(AZ30&gt;0,22,0)</f>
        <v>22</v>
      </c>
      <c r="BB30" s="128">
        <f t="shared" si="22"/>
        <v>484</v>
      </c>
      <c r="BC30" s="15">
        <f t="shared" si="23"/>
        <v>10.883317320394355</v>
      </c>
      <c r="BD30" s="127">
        <f t="shared" ca="1" si="10"/>
        <v>0.64441853176509734</v>
      </c>
      <c r="BE30" s="127">
        <f t="shared" ca="1" si="24"/>
        <v>1.9048790805079876</v>
      </c>
      <c r="BG30" s="121">
        <f>Transport!$A41</f>
        <v>44927</v>
      </c>
      <c r="BH30" s="73">
        <f t="shared" si="25"/>
        <v>0</v>
      </c>
      <c r="BI30" s="15">
        <f t="shared" si="26"/>
        <v>0</v>
      </c>
      <c r="BJ30" s="98">
        <f t="shared" si="27"/>
        <v>0</v>
      </c>
      <c r="BK30" s="128">
        <f>IF(BJ30&gt;0,22,0)</f>
        <v>0</v>
      </c>
      <c r="BL30" s="128">
        <f t="shared" si="28"/>
        <v>0</v>
      </c>
      <c r="BM30" s="15">
        <f t="shared" si="29"/>
        <v>0</v>
      </c>
      <c r="BN30" s="127" t="e">
        <f t="shared" si="11"/>
        <v>#DIV/0!</v>
      </c>
      <c r="BO30" s="127" t="e">
        <f t="shared" si="41"/>
        <v>#DIV/0!</v>
      </c>
      <c r="BQ30" s="121">
        <f>Transport!$A41</f>
        <v>44927</v>
      </c>
      <c r="BR30" s="73">
        <f t="shared" si="43"/>
        <v>0</v>
      </c>
      <c r="BS30" s="15">
        <f t="shared" si="30"/>
        <v>0</v>
      </c>
      <c r="BT30" s="98">
        <f t="shared" si="31"/>
        <v>0</v>
      </c>
      <c r="BU30" s="128">
        <f>IF(BT30&gt;0,22,0)</f>
        <v>0</v>
      </c>
      <c r="BV30" s="128">
        <f t="shared" si="32"/>
        <v>0</v>
      </c>
      <c r="BW30" s="15">
        <f t="shared" si="33"/>
        <v>0</v>
      </c>
      <c r="BX30" s="127" t="e">
        <f t="shared" si="12"/>
        <v>#DIV/0!</v>
      </c>
      <c r="BY30" s="127" t="e">
        <f t="shared" si="13"/>
        <v>#DIV/0!</v>
      </c>
      <c r="CA30" s="121">
        <f>Transport!$A41</f>
        <v>44927</v>
      </c>
      <c r="CB30" s="73">
        <f t="shared" si="44"/>
        <v>0</v>
      </c>
      <c r="CC30" s="15">
        <f t="shared" si="34"/>
        <v>0</v>
      </c>
      <c r="CD30" s="98">
        <f t="shared" si="35"/>
        <v>0</v>
      </c>
      <c r="CE30" s="128">
        <f>IF(CD30&gt;0,22,0)</f>
        <v>0</v>
      </c>
      <c r="CF30" s="128">
        <f t="shared" si="36"/>
        <v>0</v>
      </c>
      <c r="CG30" s="15">
        <f t="shared" si="37"/>
        <v>0</v>
      </c>
      <c r="CH30" s="127" t="e">
        <f t="shared" si="14"/>
        <v>#DIV/0!</v>
      </c>
      <c r="CI30" s="127" t="e">
        <f t="shared" si="45"/>
        <v>#DIV/0!</v>
      </c>
    </row>
    <row r="31" spans="2:87" x14ac:dyDescent="0.2">
      <c r="B31" s="440">
        <f>'Incurred Per Day'!N28</f>
        <v>44652</v>
      </c>
      <c r="C31" s="441">
        <f>Data!BO31</f>
        <v>4954750.1166342366</v>
      </c>
      <c r="D31" s="151">
        <f>Data!AO31</f>
        <v>132272</v>
      </c>
      <c r="E31" s="10">
        <f>'Incurred Per Day'!S28</f>
        <v>21</v>
      </c>
      <c r="F31" s="295">
        <f t="shared" si="6"/>
        <v>37.46</v>
      </c>
      <c r="G31" s="441">
        <f t="shared" si="7"/>
        <v>235940</v>
      </c>
      <c r="H31" s="295">
        <f t="shared" si="8"/>
        <v>1.78</v>
      </c>
      <c r="N31" s="4">
        <f t="shared" si="4"/>
        <v>44562</v>
      </c>
      <c r="O31" s="216" t="str">
        <f t="shared" si="0"/>
        <v>Jan</v>
      </c>
      <c r="P31" s="2" t="str">
        <f t="shared" si="1"/>
        <v>Sat</v>
      </c>
      <c r="Q31" s="436">
        <f t="shared" si="5"/>
        <v>31</v>
      </c>
      <c r="R31" s="436">
        <f t="shared" si="2"/>
        <v>21</v>
      </c>
      <c r="S31" s="436">
        <f t="shared" si="3"/>
        <v>20</v>
      </c>
      <c r="AB31">
        <f t="shared" si="38"/>
        <v>23</v>
      </c>
      <c r="AC31" s="121">
        <f>Transport!$A42</f>
        <v>44958</v>
      </c>
      <c r="AD31" s="132" t="str">
        <f t="shared" si="16"/>
        <v>2</v>
      </c>
      <c r="AE31" s="132" t="str">
        <f t="shared" si="39"/>
        <v>23</v>
      </c>
      <c r="AF31" s="132" t="str">
        <f t="shared" si="40"/>
        <v>2/23</v>
      </c>
      <c r="AG31" s="134" t="s">
        <v>289</v>
      </c>
      <c r="AH31" s="73">
        <f>H21</f>
        <v>1.78</v>
      </c>
      <c r="AI31" s="73">
        <f>LeastSq!AD29</f>
        <v>82.157837054930241</v>
      </c>
      <c r="AJ31" s="73">
        <f ca="1">LeastSq!$AZ29</f>
        <v>39.509717186437555</v>
      </c>
      <c r="AK31" s="73">
        <f ca="1">LeastSq!$BJ29</f>
        <v>39.878427351583355</v>
      </c>
      <c r="AL31" s="73">
        <f>Transport!$G42</f>
        <v>0.37036911826113594</v>
      </c>
      <c r="AM31" s="73">
        <f t="shared" si="17"/>
        <v>1.78</v>
      </c>
      <c r="AP31" s="121">
        <f t="shared" si="18"/>
        <v>44958</v>
      </c>
      <c r="AQ31" s="73">
        <f t="shared" si="19"/>
        <v>1.78</v>
      </c>
      <c r="AR31" s="73">
        <f>Transport!$N42</f>
        <v>37.77340263559055</v>
      </c>
      <c r="AS31" s="73">
        <f>Transport!$J42</f>
        <v>35.59053999092955</v>
      </c>
      <c r="AT31" s="73">
        <f>Transport!$O42</f>
        <v>37.77340263559055</v>
      </c>
      <c r="AU31" s="2">
        <v>23</v>
      </c>
      <c r="AW31" s="121">
        <f>Transport!$A42</f>
        <v>44958</v>
      </c>
      <c r="AX31" s="73">
        <f t="shared" si="9"/>
        <v>1.78</v>
      </c>
      <c r="AY31" s="15">
        <f t="shared" si="20"/>
        <v>0.57661336430399379</v>
      </c>
      <c r="AZ31" s="98">
        <f t="shared" si="21"/>
        <v>1</v>
      </c>
      <c r="BA31" s="128">
        <f>IF(AZ31&gt;0,23,0)</f>
        <v>23</v>
      </c>
      <c r="BB31" s="128">
        <f t="shared" si="22"/>
        <v>529</v>
      </c>
      <c r="BC31" s="15">
        <f t="shared" si="23"/>
        <v>13.262107378991857</v>
      </c>
      <c r="BD31" s="127">
        <f t="shared" ca="1" si="10"/>
        <v>0.64441853176509734</v>
      </c>
      <c r="BE31" s="127">
        <f t="shared" ca="1" si="24"/>
        <v>1.9048790805079876</v>
      </c>
      <c r="BG31" s="121">
        <f>Transport!$A42</f>
        <v>44958</v>
      </c>
      <c r="BH31" s="73">
        <f t="shared" si="25"/>
        <v>0</v>
      </c>
      <c r="BI31" s="15">
        <f t="shared" si="26"/>
        <v>0</v>
      </c>
      <c r="BJ31" s="98">
        <f t="shared" si="27"/>
        <v>0</v>
      </c>
      <c r="BK31" s="128">
        <f>IF(BJ31&gt;0,23,0)</f>
        <v>0</v>
      </c>
      <c r="BL31" s="128">
        <f t="shared" si="28"/>
        <v>0</v>
      </c>
      <c r="BM31" s="15">
        <f t="shared" si="29"/>
        <v>0</v>
      </c>
      <c r="BN31" s="127" t="e">
        <f t="shared" si="11"/>
        <v>#DIV/0!</v>
      </c>
      <c r="BO31" s="127" t="e">
        <f t="shared" si="41"/>
        <v>#DIV/0!</v>
      </c>
      <c r="BQ31" s="121">
        <f>Transport!$A42</f>
        <v>44958</v>
      </c>
      <c r="BR31" s="73">
        <f t="shared" si="43"/>
        <v>0</v>
      </c>
      <c r="BS31" s="15">
        <f t="shared" si="30"/>
        <v>0</v>
      </c>
      <c r="BT31" s="98">
        <f t="shared" si="31"/>
        <v>0</v>
      </c>
      <c r="BU31" s="128">
        <f>IF(BT31&gt;0,23,0)</f>
        <v>0</v>
      </c>
      <c r="BV31" s="128">
        <f t="shared" si="32"/>
        <v>0</v>
      </c>
      <c r="BW31" s="15">
        <f t="shared" si="33"/>
        <v>0</v>
      </c>
      <c r="BX31" s="127" t="e">
        <f t="shared" si="12"/>
        <v>#DIV/0!</v>
      </c>
      <c r="BY31" s="127" t="e">
        <f t="shared" si="13"/>
        <v>#DIV/0!</v>
      </c>
      <c r="CA31" s="121">
        <f>Transport!$A42</f>
        <v>44958</v>
      </c>
      <c r="CB31" s="73">
        <f t="shared" si="44"/>
        <v>0</v>
      </c>
      <c r="CC31" s="15">
        <f t="shared" si="34"/>
        <v>0</v>
      </c>
      <c r="CD31" s="98">
        <f t="shared" si="35"/>
        <v>0</v>
      </c>
      <c r="CE31" s="128">
        <f>IF(CD31&gt;0,23,0)</f>
        <v>0</v>
      </c>
      <c r="CF31" s="128">
        <f t="shared" si="36"/>
        <v>0</v>
      </c>
      <c r="CG31" s="15">
        <f t="shared" si="37"/>
        <v>0</v>
      </c>
      <c r="CH31" s="127" t="e">
        <f t="shared" si="14"/>
        <v>#DIV/0!</v>
      </c>
      <c r="CI31" s="127" t="e">
        <f t="shared" si="45"/>
        <v>#DIV/0!</v>
      </c>
    </row>
    <row r="32" spans="2:87" x14ac:dyDescent="0.2">
      <c r="B32" s="440">
        <f>'Incurred Per Day'!N29</f>
        <v>44621</v>
      </c>
      <c r="C32" s="441">
        <f>Data!BO32</f>
        <v>5154050.0130951665</v>
      </c>
      <c r="D32" s="151">
        <f>Data!AO32</f>
        <v>131999</v>
      </c>
      <c r="E32" s="10">
        <f>'Incurred Per Day'!S29</f>
        <v>23</v>
      </c>
      <c r="F32" s="295">
        <f t="shared" si="6"/>
        <v>39.049999999999997</v>
      </c>
      <c r="G32" s="441">
        <f t="shared" si="7"/>
        <v>224089</v>
      </c>
      <c r="H32" s="295">
        <f t="shared" si="8"/>
        <v>1.7</v>
      </c>
      <c r="N32" s="4">
        <f t="shared" si="4"/>
        <v>44531</v>
      </c>
      <c r="O32" s="216" t="str">
        <f t="shared" si="0"/>
        <v>Dec</v>
      </c>
      <c r="P32" s="2" t="str">
        <f t="shared" si="1"/>
        <v>Wed</v>
      </c>
      <c r="Q32" s="436">
        <f t="shared" si="5"/>
        <v>31</v>
      </c>
      <c r="R32" s="436">
        <f t="shared" si="2"/>
        <v>23</v>
      </c>
      <c r="S32" s="436">
        <f t="shared" si="3"/>
        <v>22</v>
      </c>
      <c r="AB32">
        <f t="shared" si="38"/>
        <v>24</v>
      </c>
      <c r="AC32" s="121">
        <f>Transport!$A43</f>
        <v>44986</v>
      </c>
      <c r="AD32" s="132" t="str">
        <f t="shared" si="16"/>
        <v>3</v>
      </c>
      <c r="AE32" s="132" t="str">
        <f t="shared" si="39"/>
        <v>23</v>
      </c>
      <c r="AF32" s="132" t="str">
        <f t="shared" si="40"/>
        <v>3/23</v>
      </c>
      <c r="AG32" s="133" t="str">
        <f>AD32&amp;"/"&amp;AE32</f>
        <v>3/23</v>
      </c>
      <c r="AH32" s="73">
        <f>H20</f>
        <v>1.88</v>
      </c>
      <c r="AI32" s="73">
        <f>LeastSq!AD30</f>
        <v>90.420187972147374</v>
      </c>
      <c r="AJ32" s="73">
        <f ca="1">LeastSq!$AZ30</f>
        <v>39.655729777757116</v>
      </c>
      <c r="AK32" s="73">
        <f ca="1">LeastSq!$BJ30</f>
        <v>39.928737415805429</v>
      </c>
      <c r="AL32" s="73">
        <f>Transport!$G43</f>
        <v>0.54371439639319596</v>
      </c>
      <c r="AM32" s="73">
        <f t="shared" si="17"/>
        <v>1.88</v>
      </c>
      <c r="AP32" s="121">
        <f t="shared" si="18"/>
        <v>44986</v>
      </c>
      <c r="AQ32" s="73">
        <f t="shared" si="19"/>
        <v>1.88</v>
      </c>
      <c r="AR32" s="73">
        <f ca="1">Transport!$N43</f>
        <v>38.281980430201976</v>
      </c>
      <c r="AS32" s="73">
        <f>Transport!$J43</f>
        <v>43.272089036718107</v>
      </c>
      <c r="AT32" s="73">
        <f ca="1">Transport!$O43</f>
        <v>38.281980430201976</v>
      </c>
      <c r="AU32" s="2">
        <v>24</v>
      </c>
      <c r="AW32" s="121">
        <f>Transport!$A43</f>
        <v>44986</v>
      </c>
      <c r="AX32" s="73">
        <f t="shared" si="9"/>
        <v>1.88</v>
      </c>
      <c r="AY32" s="15">
        <f t="shared" si="20"/>
        <v>0.63127177684185776</v>
      </c>
      <c r="AZ32" s="98">
        <f t="shared" si="21"/>
        <v>1</v>
      </c>
      <c r="BA32" s="128">
        <f>IF(AZ32&gt;0,24,0)</f>
        <v>24</v>
      </c>
      <c r="BB32" s="128">
        <f t="shared" si="22"/>
        <v>576</v>
      </c>
      <c r="BC32" s="15">
        <f t="shared" si="23"/>
        <v>15.150522644204585</v>
      </c>
      <c r="BD32" s="127">
        <f t="shared" ca="1" si="10"/>
        <v>0.64441853176509734</v>
      </c>
      <c r="BE32" s="127">
        <f t="shared" ca="1" si="24"/>
        <v>1.9048790805079876</v>
      </c>
      <c r="BG32" s="121">
        <f>Transport!$A43</f>
        <v>44986</v>
      </c>
      <c r="BH32" s="73">
        <f t="shared" si="25"/>
        <v>0</v>
      </c>
      <c r="BI32" s="15">
        <f t="shared" si="26"/>
        <v>0</v>
      </c>
      <c r="BJ32" s="98">
        <f t="shared" si="27"/>
        <v>0</v>
      </c>
      <c r="BK32" s="128">
        <f>IF(BJ32&gt;0,24,0)</f>
        <v>0</v>
      </c>
      <c r="BL32" s="128">
        <f t="shared" si="28"/>
        <v>0</v>
      </c>
      <c r="BM32" s="15">
        <f t="shared" si="29"/>
        <v>0</v>
      </c>
      <c r="BN32" s="127" t="e">
        <f t="shared" si="11"/>
        <v>#DIV/0!</v>
      </c>
      <c r="BO32" s="127" t="e">
        <f t="shared" si="41"/>
        <v>#DIV/0!</v>
      </c>
      <c r="BQ32" s="121">
        <f>Transport!$A43</f>
        <v>44986</v>
      </c>
      <c r="BR32" s="73">
        <f t="shared" si="43"/>
        <v>0</v>
      </c>
      <c r="BS32" s="15">
        <f t="shared" si="30"/>
        <v>0</v>
      </c>
      <c r="BT32" s="98">
        <f t="shared" si="31"/>
        <v>0</v>
      </c>
      <c r="BU32" s="128">
        <f>IF(BT32&gt;0,24,0)</f>
        <v>0</v>
      </c>
      <c r="BV32" s="128">
        <f t="shared" si="32"/>
        <v>0</v>
      </c>
      <c r="BW32" s="15">
        <f t="shared" si="33"/>
        <v>0</v>
      </c>
      <c r="BX32" s="127" t="e">
        <f t="shared" si="12"/>
        <v>#DIV/0!</v>
      </c>
      <c r="BY32" s="127" t="e">
        <f t="shared" si="13"/>
        <v>#DIV/0!</v>
      </c>
      <c r="CA32" s="121">
        <f>Transport!$A43</f>
        <v>44986</v>
      </c>
      <c r="CB32" s="73">
        <f t="shared" si="44"/>
        <v>0</v>
      </c>
      <c r="CC32" s="15">
        <f t="shared" si="34"/>
        <v>0</v>
      </c>
      <c r="CD32" s="98">
        <f t="shared" si="35"/>
        <v>0</v>
      </c>
      <c r="CE32" s="128">
        <f>IF(CD32&gt;0,24,0)</f>
        <v>0</v>
      </c>
      <c r="CF32" s="128">
        <f t="shared" si="36"/>
        <v>0</v>
      </c>
      <c r="CG32" s="15">
        <f t="shared" si="37"/>
        <v>0</v>
      </c>
      <c r="CH32" s="127" t="e">
        <f t="shared" si="14"/>
        <v>#DIV/0!</v>
      </c>
      <c r="CI32" s="127" t="e">
        <f t="shared" si="45"/>
        <v>#DIV/0!</v>
      </c>
    </row>
    <row r="33" spans="2:87" x14ac:dyDescent="0.2">
      <c r="B33" s="440">
        <f>'Incurred Per Day'!N30</f>
        <v>44593</v>
      </c>
      <c r="C33" s="441">
        <f>Data!BO33</f>
        <v>4143877.1564043867</v>
      </c>
      <c r="D33" s="151">
        <f>Data!AO33</f>
        <v>132944</v>
      </c>
      <c r="E33" s="10">
        <f>'Incurred Per Day'!S30</f>
        <v>20</v>
      </c>
      <c r="F33" s="295">
        <f t="shared" si="6"/>
        <v>31.17</v>
      </c>
      <c r="G33" s="441">
        <f t="shared" si="7"/>
        <v>207194</v>
      </c>
      <c r="H33" s="295">
        <f t="shared" si="8"/>
        <v>1.56</v>
      </c>
      <c r="N33" s="4">
        <f t="shared" si="4"/>
        <v>44501</v>
      </c>
      <c r="O33" s="216" t="str">
        <f t="shared" si="0"/>
        <v>Nov</v>
      </c>
      <c r="P33" s="2" t="str">
        <f t="shared" si="1"/>
        <v>Mon</v>
      </c>
      <c r="Q33" s="436">
        <f t="shared" si="5"/>
        <v>30</v>
      </c>
      <c r="R33" s="436">
        <f t="shared" si="2"/>
        <v>22</v>
      </c>
      <c r="S33" s="436">
        <f t="shared" si="3"/>
        <v>20</v>
      </c>
      <c r="AB33">
        <f t="shared" si="38"/>
        <v>25</v>
      </c>
      <c r="AC33" s="121">
        <f>Transport!$A44</f>
        <v>45017</v>
      </c>
      <c r="AD33" s="132" t="str">
        <f t="shared" si="16"/>
        <v>4</v>
      </c>
      <c r="AE33" s="132" t="str">
        <f t="shared" si="39"/>
        <v>23</v>
      </c>
      <c r="AF33" s="132" t="str">
        <f t="shared" si="40"/>
        <v>4/23</v>
      </c>
      <c r="AG33" s="134" t="s">
        <v>290</v>
      </c>
      <c r="AH33" s="73">
        <f ca="1">H19</f>
        <v>1.8</v>
      </c>
      <c r="AI33" s="73">
        <f ca="1">LeastSq!AD31</f>
        <v>89.576382068331171</v>
      </c>
      <c r="AJ33" s="73">
        <f ca="1">LeastSq!$AZ31</f>
        <v>39.80228197498483</v>
      </c>
      <c r="AK33" s="73">
        <f ca="1">LeastSq!$BJ31</f>
        <v>39.979110950498402</v>
      </c>
      <c r="AL33" s="73">
        <f ca="1">Transport!$G44</f>
        <v>0.55866066780702617</v>
      </c>
      <c r="AM33" s="73">
        <f t="shared" ca="1" si="17"/>
        <v>1.8</v>
      </c>
      <c r="AP33" s="121">
        <f t="shared" si="18"/>
        <v>45017</v>
      </c>
      <c r="AQ33" s="73">
        <f t="shared" ca="1" si="19"/>
        <v>1.8</v>
      </c>
      <c r="AR33" s="73">
        <f ca="1">Transport!$N44</f>
        <v>39.835795029093035</v>
      </c>
      <c r="AS33" s="73">
        <f ca="1">Transport!$J44</f>
        <v>35.983312262958279</v>
      </c>
      <c r="AT33" s="73">
        <f ca="1">Transport!$O44</f>
        <v>39.835795029093035</v>
      </c>
      <c r="AU33" s="2">
        <v>25</v>
      </c>
      <c r="AW33" s="121">
        <f>Transport!$A44</f>
        <v>45017</v>
      </c>
      <c r="AX33" s="73">
        <f t="shared" ca="1" si="9"/>
        <v>1.8</v>
      </c>
      <c r="AY33" s="15">
        <f t="shared" ca="1" si="20"/>
        <v>0.58778666490211906</v>
      </c>
      <c r="AZ33" s="98">
        <f t="shared" ca="1" si="21"/>
        <v>1</v>
      </c>
      <c r="BA33" s="128">
        <f ca="1">IF(AZ33&gt;0,25,0)</f>
        <v>25</v>
      </c>
      <c r="BB33" s="128">
        <f t="shared" ca="1" si="22"/>
        <v>625</v>
      </c>
      <c r="BC33" s="15">
        <f t="shared" ca="1" si="23"/>
        <v>14.694666622552976</v>
      </c>
      <c r="BD33" s="127">
        <f t="shared" ca="1" si="10"/>
        <v>0.64441853176509734</v>
      </c>
      <c r="BE33" s="127">
        <f t="shared" ca="1" si="24"/>
        <v>1.9048790805079876</v>
      </c>
      <c r="BG33" s="121">
        <f>Transport!$A44</f>
        <v>45017</v>
      </c>
      <c r="BH33" s="73">
        <f t="shared" si="25"/>
        <v>0</v>
      </c>
      <c r="BI33" s="15">
        <f t="shared" si="26"/>
        <v>0</v>
      </c>
      <c r="BJ33" s="98">
        <f t="shared" si="27"/>
        <v>0</v>
      </c>
      <c r="BK33" s="128">
        <f>IF(BJ33&gt;0,25,0)</f>
        <v>0</v>
      </c>
      <c r="BL33" s="128">
        <f t="shared" si="28"/>
        <v>0</v>
      </c>
      <c r="BM33" s="15">
        <f t="shared" si="29"/>
        <v>0</v>
      </c>
      <c r="BN33" s="127" t="e">
        <f t="shared" si="11"/>
        <v>#DIV/0!</v>
      </c>
      <c r="BO33" s="127" t="e">
        <f t="shared" si="41"/>
        <v>#DIV/0!</v>
      </c>
      <c r="BQ33" s="121">
        <f>Transport!$A44</f>
        <v>45017</v>
      </c>
      <c r="BR33" s="73">
        <f t="shared" si="43"/>
        <v>0</v>
      </c>
      <c r="BS33" s="15">
        <f t="shared" si="30"/>
        <v>0</v>
      </c>
      <c r="BT33" s="98">
        <f t="shared" si="31"/>
        <v>0</v>
      </c>
      <c r="BU33" s="128">
        <f>IF(BT33&gt;0,25,0)</f>
        <v>0</v>
      </c>
      <c r="BV33" s="128">
        <f t="shared" si="32"/>
        <v>0</v>
      </c>
      <c r="BW33" s="15">
        <f t="shared" si="33"/>
        <v>0</v>
      </c>
      <c r="BX33" s="127" t="e">
        <f t="shared" si="12"/>
        <v>#DIV/0!</v>
      </c>
      <c r="BY33" s="127" t="e">
        <f t="shared" si="13"/>
        <v>#DIV/0!</v>
      </c>
      <c r="CA33" s="121">
        <f>Transport!$A44</f>
        <v>45017</v>
      </c>
      <c r="CB33" s="73">
        <f t="shared" si="44"/>
        <v>0</v>
      </c>
      <c r="CC33" s="15">
        <f t="shared" si="34"/>
        <v>0</v>
      </c>
      <c r="CD33" s="98">
        <f t="shared" si="35"/>
        <v>0</v>
      </c>
      <c r="CE33" s="128">
        <f>IF(CD33&gt;0,25,0)</f>
        <v>0</v>
      </c>
      <c r="CF33" s="128">
        <f t="shared" si="36"/>
        <v>0</v>
      </c>
      <c r="CG33" s="15">
        <f t="shared" si="37"/>
        <v>0</v>
      </c>
      <c r="CH33" s="127" t="e">
        <f t="shared" si="14"/>
        <v>#DIV/0!</v>
      </c>
      <c r="CI33" s="127" t="e">
        <f t="shared" si="45"/>
        <v>#DIV/0!</v>
      </c>
    </row>
    <row r="34" spans="2:87" x14ac:dyDescent="0.2">
      <c r="B34" s="440">
        <f>'Incurred Per Day'!N31</f>
        <v>44562</v>
      </c>
      <c r="C34" s="441">
        <f>Data!BO34</f>
        <v>4237746.0763013521</v>
      </c>
      <c r="D34" s="151">
        <f>Data!AO34</f>
        <v>129231</v>
      </c>
      <c r="E34" s="10">
        <f>'Incurred Per Day'!S31</f>
        <v>20</v>
      </c>
      <c r="F34" s="295">
        <f t="shared" si="6"/>
        <v>32.79</v>
      </c>
      <c r="G34" s="441">
        <f t="shared" si="7"/>
        <v>211887</v>
      </c>
      <c r="H34" s="295">
        <f t="shared" si="8"/>
        <v>1.64</v>
      </c>
      <c r="N34" s="4">
        <f t="shared" si="4"/>
        <v>44470</v>
      </c>
      <c r="O34" s="216" t="str">
        <f t="shared" si="0"/>
        <v>Oct</v>
      </c>
      <c r="P34" s="2" t="str">
        <f t="shared" si="1"/>
        <v>Fri</v>
      </c>
      <c r="Q34" s="436">
        <f t="shared" si="5"/>
        <v>31</v>
      </c>
      <c r="R34" s="436">
        <f t="shared" si="2"/>
        <v>21</v>
      </c>
      <c r="S34" s="436">
        <f t="shared" si="3"/>
        <v>21</v>
      </c>
      <c r="AB34">
        <f t="shared" si="38"/>
        <v>26</v>
      </c>
      <c r="AC34" s="121">
        <f>Transport!$A45</f>
        <v>45047</v>
      </c>
      <c r="AD34" s="132" t="str">
        <f t="shared" si="16"/>
        <v>5</v>
      </c>
      <c r="AE34" s="132" t="str">
        <f t="shared" si="39"/>
        <v>23</v>
      </c>
      <c r="AF34" s="132" t="str">
        <f t="shared" si="40"/>
        <v>5/23</v>
      </c>
      <c r="AG34" s="134" t="s">
        <v>276</v>
      </c>
      <c r="AH34" s="73">
        <f ca="1">H18</f>
        <v>1.83</v>
      </c>
      <c r="AI34" s="73">
        <f ca="1">LeastSq!AD32</f>
        <v>96.074141521762058</v>
      </c>
      <c r="AJ34" s="73">
        <f ca="1">LeastSq!$AZ32</f>
        <v>39.949375772294879</v>
      </c>
      <c r="AK34" s="73">
        <f ca="1">LeastSq!$BJ32</f>
        <v>40.029548035735708</v>
      </c>
      <c r="AL34" s="73">
        <f ca="1">Transport!$G45</f>
        <v>0.71747213029414691</v>
      </c>
      <c r="AM34" s="73">
        <f t="shared" ca="1" si="17"/>
        <v>1.83</v>
      </c>
      <c r="AP34" s="121">
        <f t="shared" si="18"/>
        <v>45047</v>
      </c>
      <c r="AQ34" s="73">
        <f t="shared" ca="1" si="19"/>
        <v>1.83</v>
      </c>
      <c r="AR34" s="73">
        <f ca="1">Transport!$N45</f>
        <v>39.06728357194973</v>
      </c>
      <c r="AS34" s="73">
        <f ca="1">Transport!$J45</f>
        <v>40.251983787602725</v>
      </c>
      <c r="AT34" s="73">
        <f ca="1">Transport!$O45</f>
        <v>39.06728357194973</v>
      </c>
      <c r="AU34" s="2">
        <v>26</v>
      </c>
      <c r="AW34" s="121">
        <f>Transport!$A45</f>
        <v>45047</v>
      </c>
      <c r="AX34" s="73">
        <f t="shared" ca="1" si="9"/>
        <v>1.83</v>
      </c>
      <c r="AY34" s="15">
        <f t="shared" ca="1" si="20"/>
        <v>0.60431596685332956</v>
      </c>
      <c r="AZ34" s="98">
        <f t="shared" ca="1" si="21"/>
        <v>1</v>
      </c>
      <c r="BA34" s="128">
        <f ca="1">IF(AZ34&gt;0,26,0)</f>
        <v>26</v>
      </c>
      <c r="BB34" s="128">
        <f t="shared" ca="1" si="22"/>
        <v>676</v>
      </c>
      <c r="BC34" s="15">
        <f t="shared" ca="1" si="23"/>
        <v>15.712215138186568</v>
      </c>
      <c r="BD34" s="127">
        <f t="shared" ca="1" si="10"/>
        <v>0.64441853176509734</v>
      </c>
      <c r="BE34" s="127">
        <f t="shared" ca="1" si="24"/>
        <v>1.9048790805079876</v>
      </c>
      <c r="BG34" s="121">
        <f>Transport!$A45</f>
        <v>45047</v>
      </c>
      <c r="BH34" s="73">
        <f t="shared" si="25"/>
        <v>0</v>
      </c>
      <c r="BI34" s="15">
        <f t="shared" si="26"/>
        <v>0</v>
      </c>
      <c r="BJ34" s="98">
        <f t="shared" si="27"/>
        <v>0</v>
      </c>
      <c r="BK34" s="128">
        <f>IF(BJ34&gt;0,26,0)</f>
        <v>0</v>
      </c>
      <c r="BL34" s="128">
        <f t="shared" si="28"/>
        <v>0</v>
      </c>
      <c r="BM34" s="15">
        <f t="shared" si="29"/>
        <v>0</v>
      </c>
      <c r="BN34" s="127" t="e">
        <f t="shared" si="11"/>
        <v>#DIV/0!</v>
      </c>
      <c r="BO34" s="127" t="e">
        <f t="shared" si="41"/>
        <v>#DIV/0!</v>
      </c>
      <c r="BQ34" s="121">
        <f>Transport!$A45</f>
        <v>45047</v>
      </c>
      <c r="BR34" s="73">
        <f t="shared" si="43"/>
        <v>0</v>
      </c>
      <c r="BS34" s="15">
        <f t="shared" si="30"/>
        <v>0</v>
      </c>
      <c r="BT34" s="98">
        <f t="shared" si="31"/>
        <v>0</v>
      </c>
      <c r="BU34" s="128">
        <f>IF(BT34&gt;0,26,0)</f>
        <v>0</v>
      </c>
      <c r="BV34" s="128">
        <f t="shared" si="32"/>
        <v>0</v>
      </c>
      <c r="BW34" s="15">
        <f t="shared" si="33"/>
        <v>0</v>
      </c>
      <c r="BX34" s="127" t="e">
        <f t="shared" si="12"/>
        <v>#DIV/0!</v>
      </c>
      <c r="BY34" s="127" t="e">
        <f t="shared" si="13"/>
        <v>#DIV/0!</v>
      </c>
      <c r="CA34" s="121">
        <f>Transport!$A45</f>
        <v>45047</v>
      </c>
      <c r="CB34" s="73">
        <f t="shared" si="44"/>
        <v>0</v>
      </c>
      <c r="CC34" s="15">
        <f t="shared" si="34"/>
        <v>0</v>
      </c>
      <c r="CD34" s="98">
        <f t="shared" si="35"/>
        <v>0</v>
      </c>
      <c r="CE34" s="128">
        <f>IF(CD34&gt;0,26,0)</f>
        <v>0</v>
      </c>
      <c r="CF34" s="128">
        <f t="shared" si="36"/>
        <v>0</v>
      </c>
      <c r="CG34" s="15">
        <f t="shared" si="37"/>
        <v>0</v>
      </c>
      <c r="CH34" s="127" t="e">
        <f t="shared" si="14"/>
        <v>#DIV/0!</v>
      </c>
      <c r="CI34" s="127" t="e">
        <f t="shared" si="45"/>
        <v>#DIV/0!</v>
      </c>
    </row>
    <row r="35" spans="2:87" x14ac:dyDescent="0.2">
      <c r="B35" s="440">
        <f>'Incurred Per Day'!N32</f>
        <v>44531</v>
      </c>
      <c r="C35" s="441">
        <f>Data!BO35</f>
        <v>5395061.2713707471</v>
      </c>
      <c r="D35" s="151">
        <f>Data!AO35</f>
        <v>110175</v>
      </c>
      <c r="E35" s="10">
        <f>'Incurred Per Day'!S32</f>
        <v>22</v>
      </c>
      <c r="F35" s="295">
        <f t="shared" si="6"/>
        <v>48.97</v>
      </c>
      <c r="G35" s="441">
        <f t="shared" si="7"/>
        <v>245230</v>
      </c>
      <c r="H35" s="295">
        <f t="shared" si="8"/>
        <v>2.23</v>
      </c>
      <c r="N35" s="4">
        <f t="shared" si="4"/>
        <v>44440</v>
      </c>
      <c r="O35" s="216" t="str">
        <f t="shared" si="0"/>
        <v>Sep</v>
      </c>
      <c r="P35" s="2" t="str">
        <f t="shared" si="1"/>
        <v>Wed</v>
      </c>
      <c r="Q35" s="436">
        <f t="shared" si="5"/>
        <v>30</v>
      </c>
      <c r="R35" s="436">
        <f t="shared" si="2"/>
        <v>22</v>
      </c>
      <c r="S35" s="436">
        <f t="shared" si="3"/>
        <v>21</v>
      </c>
      <c r="AB35">
        <f t="shared" si="38"/>
        <v>27</v>
      </c>
      <c r="AC35" s="121">
        <f>Transport!$A46</f>
        <v>45078</v>
      </c>
      <c r="AD35" s="132" t="str">
        <f t="shared" si="16"/>
        <v>6</v>
      </c>
      <c r="AE35" s="132" t="str">
        <f t="shared" si="39"/>
        <v>23</v>
      </c>
      <c r="AF35" s="132" t="str">
        <f t="shared" si="40"/>
        <v>6/23</v>
      </c>
      <c r="AG35" s="133" t="str">
        <f>AD35&amp;"/"&amp;AE35</f>
        <v>6/23</v>
      </c>
      <c r="AH35" s="73">
        <f ca="1">H17</f>
        <v>1.86</v>
      </c>
      <c r="AI35" s="73">
        <f ca="1">LeastSq!AD33</f>
        <v>100.24441183628466</v>
      </c>
      <c r="AJ35" s="73">
        <f ca="1">LeastSq!$AZ33</f>
        <v>40.097013171231112</v>
      </c>
      <c r="AK35" s="73">
        <f ca="1">LeastSq!$BJ33</f>
        <v>40.080048751691812</v>
      </c>
      <c r="AL35" s="73">
        <f ca="1">Transport!$G46</f>
        <v>0.87586825684018188</v>
      </c>
      <c r="AM35" s="73">
        <f t="shared" ca="1" si="17"/>
        <v>1.86</v>
      </c>
      <c r="AP35" s="121">
        <f t="shared" si="18"/>
        <v>45078</v>
      </c>
      <c r="AQ35" s="73">
        <f t="shared" ca="1" si="19"/>
        <v>1.86</v>
      </c>
      <c r="AR35" s="73">
        <f ca="1">Transport!$N46</f>
        <v>39.846795576588477</v>
      </c>
      <c r="AS35" s="73">
        <f ca="1">Transport!$J46</f>
        <v>40.966554665288186</v>
      </c>
      <c r="AT35" s="73">
        <f ca="1">Transport!$O46</f>
        <v>39.846795576588477</v>
      </c>
      <c r="AU35" s="2">
        <v>27</v>
      </c>
      <c r="AW35" s="121">
        <f>Transport!$A46</f>
        <v>45078</v>
      </c>
      <c r="AX35" s="73">
        <f t="shared" ca="1" si="9"/>
        <v>1.86</v>
      </c>
      <c r="AY35" s="15">
        <f t="shared" ca="1" si="20"/>
        <v>0.62057648772510998</v>
      </c>
      <c r="AZ35" s="98">
        <f t="shared" ca="1" si="21"/>
        <v>1</v>
      </c>
      <c r="BA35" s="128">
        <f ca="1">IF(AZ35&gt;0,27,0)</f>
        <v>27</v>
      </c>
      <c r="BB35" s="128">
        <f t="shared" ca="1" si="22"/>
        <v>729</v>
      </c>
      <c r="BC35" s="15">
        <f t="shared" ca="1" si="23"/>
        <v>16.75556516857797</v>
      </c>
      <c r="BD35" s="127">
        <f t="shared" ca="1" si="10"/>
        <v>0.64441853176509734</v>
      </c>
      <c r="BE35" s="127">
        <f t="shared" ca="1" si="24"/>
        <v>1.9048790805079876</v>
      </c>
      <c r="BG35" s="121">
        <f>Transport!$A46</f>
        <v>45078</v>
      </c>
      <c r="BH35" s="73">
        <f t="shared" si="25"/>
        <v>0</v>
      </c>
      <c r="BI35" s="15">
        <f t="shared" si="26"/>
        <v>0</v>
      </c>
      <c r="BJ35" s="98">
        <f t="shared" si="27"/>
        <v>0</v>
      </c>
      <c r="BK35" s="128">
        <f>IF(BJ35&gt;0,27,0)</f>
        <v>0</v>
      </c>
      <c r="BL35" s="128">
        <f t="shared" si="28"/>
        <v>0</v>
      </c>
      <c r="BM35" s="15">
        <f t="shared" si="29"/>
        <v>0</v>
      </c>
      <c r="BN35" s="127" t="e">
        <f t="shared" si="11"/>
        <v>#DIV/0!</v>
      </c>
      <c r="BO35" s="127" t="e">
        <f t="shared" si="41"/>
        <v>#DIV/0!</v>
      </c>
      <c r="BQ35" s="121">
        <f>Transport!$A46</f>
        <v>45078</v>
      </c>
      <c r="BR35" s="73">
        <f t="shared" si="43"/>
        <v>0</v>
      </c>
      <c r="BS35" s="15">
        <f t="shared" si="30"/>
        <v>0</v>
      </c>
      <c r="BT35" s="98">
        <f t="shared" si="31"/>
        <v>0</v>
      </c>
      <c r="BU35" s="128">
        <f>IF(BT35&gt;0,27,0)</f>
        <v>0</v>
      </c>
      <c r="BV35" s="128">
        <f t="shared" si="32"/>
        <v>0</v>
      </c>
      <c r="BW35" s="15">
        <f t="shared" si="33"/>
        <v>0</v>
      </c>
      <c r="BX35" s="127" t="e">
        <f t="shared" si="12"/>
        <v>#DIV/0!</v>
      </c>
      <c r="BY35" s="127" t="e">
        <f t="shared" si="13"/>
        <v>#DIV/0!</v>
      </c>
      <c r="CA35" s="121">
        <f>Transport!$A46</f>
        <v>45078</v>
      </c>
      <c r="CB35" s="73">
        <f t="shared" si="44"/>
        <v>0</v>
      </c>
      <c r="CC35" s="15">
        <f t="shared" si="34"/>
        <v>0</v>
      </c>
      <c r="CD35" s="98">
        <f t="shared" si="35"/>
        <v>0</v>
      </c>
      <c r="CE35" s="128">
        <f>IF(CD35&gt;0,27,0)</f>
        <v>0</v>
      </c>
      <c r="CF35" s="128">
        <f t="shared" si="36"/>
        <v>0</v>
      </c>
      <c r="CG35" s="15">
        <f t="shared" si="37"/>
        <v>0</v>
      </c>
      <c r="CH35" s="127" t="e">
        <f t="shared" si="14"/>
        <v>#DIV/0!</v>
      </c>
      <c r="CI35" s="127" t="e">
        <f t="shared" si="45"/>
        <v>#DIV/0!</v>
      </c>
    </row>
    <row r="36" spans="2:87" x14ac:dyDescent="0.2">
      <c r="B36" s="440">
        <f>'Incurred Per Day'!N33</f>
        <v>44501</v>
      </c>
      <c r="C36" s="441">
        <f>Data!BO36</f>
        <v>5114575.4109997768</v>
      </c>
      <c r="D36" s="151">
        <f>Data!AO36</f>
        <v>108297</v>
      </c>
      <c r="E36" s="10">
        <f>'Incurred Per Day'!S33</f>
        <v>20</v>
      </c>
      <c r="F36" s="295">
        <f t="shared" si="6"/>
        <v>47.23</v>
      </c>
      <c r="G36" s="441">
        <f t="shared" si="7"/>
        <v>255729</v>
      </c>
      <c r="H36" s="295">
        <f t="shared" si="8"/>
        <v>2.36</v>
      </c>
      <c r="N36" s="4">
        <f t="shared" si="4"/>
        <v>44409</v>
      </c>
      <c r="O36" s="216" t="str">
        <f t="shared" si="0"/>
        <v>Aug</v>
      </c>
      <c r="P36" s="2" t="str">
        <f t="shared" si="1"/>
        <v>Sun</v>
      </c>
      <c r="Q36" s="436">
        <f t="shared" si="5"/>
        <v>31</v>
      </c>
      <c r="R36" s="436">
        <f t="shared" si="2"/>
        <v>22</v>
      </c>
      <c r="S36" s="436">
        <f t="shared" si="3"/>
        <v>22</v>
      </c>
      <c r="AB36">
        <f t="shared" si="38"/>
        <v>28</v>
      </c>
      <c r="AC36" s="121">
        <f>Transport!$A47</f>
        <v>45108</v>
      </c>
      <c r="AD36" s="132" t="str">
        <f t="shared" ref="AD36:AD44" si="46">TEXT(0,MONTH(AC36))</f>
        <v>7</v>
      </c>
      <c r="AE36" s="132" t="str">
        <f t="shared" ref="AE36:AE44" si="47">RIGHT((TEXT(0,YEAR(AC36))),2)</f>
        <v>23</v>
      </c>
      <c r="AF36" s="132" t="str">
        <f t="shared" ref="AF36:AF44" si="48">AD36&amp;"/"&amp;AE36</f>
        <v>7/23</v>
      </c>
      <c r="AG36" s="133" t="str">
        <f t="shared" ref="AG36:AG43" si="49">AD36&amp;"/"&amp;AE36</f>
        <v>7/23</v>
      </c>
      <c r="AH36" s="73">
        <f ca="1">H16</f>
        <v>1.92</v>
      </c>
      <c r="AI36" s="73">
        <f ca="1">LeastSq!AD34</f>
        <v>102.08856516976758</v>
      </c>
      <c r="AJ36" s="73">
        <f ca="1">LeastSq!$AZ34</f>
        <v>40.24519618073429</v>
      </c>
      <c r="AK36" s="73">
        <f ca="1">LeastSq!$BJ34</f>
        <v>40.130613178642363</v>
      </c>
      <c r="AL36" s="73">
        <f ca="1">Transport!$G47</f>
        <v>0.94977751679092437</v>
      </c>
      <c r="AM36" s="73">
        <f t="shared" ref="AM36:AM44" ca="1" si="50">IF(AH36=0,MAX(AH36:AH62),AH36)</f>
        <v>1.92</v>
      </c>
      <c r="AP36" s="121">
        <f t="shared" si="18"/>
        <v>45108</v>
      </c>
      <c r="AQ36" s="73">
        <f t="shared" ca="1" si="19"/>
        <v>1.92</v>
      </c>
      <c r="AR36" s="73">
        <f ca="1">Transport!$N47</f>
        <v>41.065749128111214</v>
      </c>
      <c r="AS36" s="73">
        <f ca="1">Transport!$J47</f>
        <v>38.321848276874519</v>
      </c>
      <c r="AT36" s="73">
        <f ca="1">Transport!$O47</f>
        <v>41.065749128111214</v>
      </c>
      <c r="AU36" s="2">
        <v>28</v>
      </c>
      <c r="AW36" s="121">
        <f>Transport!$A47</f>
        <v>45108</v>
      </c>
      <c r="AX36" s="73">
        <f t="shared" ca="1" si="9"/>
        <v>1.92</v>
      </c>
      <c r="AY36" s="15">
        <f t="shared" ca="1" si="20"/>
        <v>0.65232518603969014</v>
      </c>
      <c r="AZ36" s="98">
        <f t="shared" ca="1" si="21"/>
        <v>1</v>
      </c>
      <c r="BA36" s="128">
        <f ca="1">IF(AZ36&gt;0,28,0)</f>
        <v>28</v>
      </c>
      <c r="BB36" s="128">
        <f t="shared" ca="1" si="22"/>
        <v>784</v>
      </c>
      <c r="BC36" s="15">
        <f t="shared" ca="1" si="23"/>
        <v>18.265105209111326</v>
      </c>
      <c r="BD36" s="127">
        <f t="shared" ca="1" si="10"/>
        <v>0.64441853176509734</v>
      </c>
      <c r="BE36" s="127">
        <f t="shared" ca="1" si="24"/>
        <v>1.9048790805079876</v>
      </c>
      <c r="BG36" s="121">
        <f>Transport!$A47</f>
        <v>45108</v>
      </c>
      <c r="BH36" s="73">
        <f t="shared" si="25"/>
        <v>0</v>
      </c>
      <c r="BI36" s="15">
        <f t="shared" si="26"/>
        <v>0</v>
      </c>
      <c r="BJ36" s="98">
        <f t="shared" si="27"/>
        <v>0</v>
      </c>
      <c r="BK36" s="128">
        <f>IF(BJ36&gt;0,28,0)</f>
        <v>0</v>
      </c>
      <c r="BL36" s="128">
        <f t="shared" si="28"/>
        <v>0</v>
      </c>
      <c r="BM36" s="15">
        <f t="shared" si="29"/>
        <v>0</v>
      </c>
      <c r="BN36" s="127" t="e">
        <f t="shared" si="11"/>
        <v>#DIV/0!</v>
      </c>
      <c r="BO36" s="127" t="e">
        <f t="shared" si="41"/>
        <v>#DIV/0!</v>
      </c>
      <c r="BQ36" s="121">
        <f>Transport!$A47</f>
        <v>45108</v>
      </c>
      <c r="BR36" s="73">
        <f t="shared" si="43"/>
        <v>0</v>
      </c>
      <c r="BS36" s="15">
        <f t="shared" si="30"/>
        <v>0</v>
      </c>
      <c r="BT36" s="98">
        <f t="shared" si="31"/>
        <v>0</v>
      </c>
      <c r="BU36" s="128">
        <f>IF(BT36&gt;0,28,0)</f>
        <v>0</v>
      </c>
      <c r="BV36" s="128">
        <f t="shared" si="32"/>
        <v>0</v>
      </c>
      <c r="BW36" s="15">
        <f t="shared" si="33"/>
        <v>0</v>
      </c>
      <c r="BX36" s="127" t="e">
        <f t="shared" si="12"/>
        <v>#DIV/0!</v>
      </c>
      <c r="BY36" s="127" t="e">
        <f t="shared" si="13"/>
        <v>#DIV/0!</v>
      </c>
      <c r="CA36" s="121">
        <f>Transport!$A47</f>
        <v>45108</v>
      </c>
      <c r="CB36" s="73">
        <f t="shared" si="44"/>
        <v>0</v>
      </c>
      <c r="CC36" s="15">
        <f t="shared" si="34"/>
        <v>0</v>
      </c>
      <c r="CD36" s="98">
        <f t="shared" si="35"/>
        <v>0</v>
      </c>
      <c r="CE36" s="128">
        <f>IF(CD36&gt;0,28,0)</f>
        <v>0</v>
      </c>
      <c r="CF36" s="128">
        <f t="shared" si="36"/>
        <v>0</v>
      </c>
      <c r="CG36" s="15">
        <f t="shared" si="37"/>
        <v>0</v>
      </c>
      <c r="CH36" s="127" t="e">
        <f t="shared" si="14"/>
        <v>#DIV/0!</v>
      </c>
      <c r="CI36" s="127" t="e">
        <f t="shared" si="45"/>
        <v>#DIV/0!</v>
      </c>
    </row>
    <row r="37" spans="2:87" x14ac:dyDescent="0.2">
      <c r="B37" s="440">
        <f>'Incurred Per Day'!N34</f>
        <v>44470</v>
      </c>
      <c r="C37" s="441">
        <f>Data!BO37</f>
        <v>5131141.1637510406</v>
      </c>
      <c r="D37" s="151">
        <f>Data!AO37</f>
        <v>107747</v>
      </c>
      <c r="E37" s="10">
        <f>'Incurred Per Day'!S34</f>
        <v>21</v>
      </c>
      <c r="F37" s="295">
        <f t="shared" si="6"/>
        <v>47.62</v>
      </c>
      <c r="G37" s="441">
        <f t="shared" si="7"/>
        <v>244340</v>
      </c>
      <c r="H37" s="295">
        <f t="shared" si="8"/>
        <v>2.27</v>
      </c>
      <c r="N37" s="4">
        <f t="shared" si="4"/>
        <v>44378</v>
      </c>
      <c r="O37" s="216" t="str">
        <f t="shared" si="0"/>
        <v>Jul</v>
      </c>
      <c r="P37" s="2" t="str">
        <f t="shared" si="1"/>
        <v>Thu</v>
      </c>
      <c r="Q37" s="436">
        <f t="shared" si="5"/>
        <v>31</v>
      </c>
      <c r="R37" s="436">
        <f t="shared" si="2"/>
        <v>22</v>
      </c>
      <c r="S37" s="436">
        <f t="shared" si="3"/>
        <v>21</v>
      </c>
      <c r="AB37">
        <f t="shared" si="38"/>
        <v>29</v>
      </c>
      <c r="AC37" s="121">
        <f>Transport!$A48</f>
        <v>45139</v>
      </c>
      <c r="AD37" s="132" t="str">
        <f t="shared" si="46"/>
        <v>8</v>
      </c>
      <c r="AE37" s="132" t="str">
        <f t="shared" si="47"/>
        <v>23</v>
      </c>
      <c r="AF37" s="132" t="str">
        <f t="shared" si="48"/>
        <v>8/23</v>
      </c>
      <c r="AG37" s="133" t="str">
        <f t="shared" si="49"/>
        <v>8/23</v>
      </c>
      <c r="AH37" s="73">
        <f ca="1">H15</f>
        <v>1.91</v>
      </c>
      <c r="AI37" s="73">
        <f ca="1">LeastSq!AD35</f>
        <v>109.68135726388547</v>
      </c>
      <c r="AJ37" s="73">
        <f ca="1">LeastSq!$AZ35</f>
        <v>40.393926817169479</v>
      </c>
      <c r="AK37" s="73">
        <f ca="1">LeastSq!$BJ35</f>
        <v>40.181241396964246</v>
      </c>
      <c r="AL37" s="73">
        <f ca="1">Transport!$G48</f>
        <v>1.2589881104624836</v>
      </c>
      <c r="AM37" s="73">
        <f t="shared" ca="1" si="50"/>
        <v>1.91</v>
      </c>
      <c r="AP37" s="121">
        <f t="shared" si="18"/>
        <v>45139</v>
      </c>
      <c r="AQ37" s="73">
        <f t="shared" ca="1" si="19"/>
        <v>1.91</v>
      </c>
      <c r="AR37" s="73">
        <f ca="1">Transport!$N48</f>
        <v>40.62223741069598</v>
      </c>
      <c r="AS37" s="73">
        <f ca="1">Transport!$J48</f>
        <v>43.908844442170953</v>
      </c>
      <c r="AT37" s="73">
        <f ca="1">Transport!$O48</f>
        <v>40.62223741069598</v>
      </c>
      <c r="AU37" s="2">
        <v>29</v>
      </c>
      <c r="AW37" s="121">
        <f>Transport!$A48</f>
        <v>45139</v>
      </c>
      <c r="AX37" s="73">
        <f t="shared" ca="1" si="9"/>
        <v>1.91</v>
      </c>
      <c r="AY37" s="15">
        <f t="shared" ca="1" si="20"/>
        <v>0.64710324205853842</v>
      </c>
      <c r="AZ37" s="98">
        <f t="shared" ca="1" si="21"/>
        <v>1</v>
      </c>
      <c r="BA37" s="128">
        <f ca="1">IF(AZ37&gt;0,29,0)</f>
        <v>29</v>
      </c>
      <c r="BB37" s="128">
        <f t="shared" ca="1" si="22"/>
        <v>841</v>
      </c>
      <c r="BC37" s="15">
        <f t="shared" ca="1" si="23"/>
        <v>18.765994019697615</v>
      </c>
      <c r="BD37" s="127">
        <f t="shared" ca="1" si="10"/>
        <v>0.64441853176509734</v>
      </c>
      <c r="BE37" s="127">
        <f t="shared" ca="1" si="24"/>
        <v>1.9048790805079876</v>
      </c>
      <c r="BG37" s="121">
        <f>Transport!$A48</f>
        <v>45139</v>
      </c>
      <c r="BH37" s="73">
        <f t="shared" si="25"/>
        <v>0</v>
      </c>
      <c r="BI37" s="15">
        <f t="shared" si="26"/>
        <v>0</v>
      </c>
      <c r="BJ37" s="98">
        <f t="shared" si="27"/>
        <v>0</v>
      </c>
      <c r="BK37" s="128">
        <f>IF(BJ37&gt;0,29,0)</f>
        <v>0</v>
      </c>
      <c r="BL37" s="128">
        <f t="shared" si="28"/>
        <v>0</v>
      </c>
      <c r="BM37" s="15">
        <f t="shared" si="29"/>
        <v>0</v>
      </c>
      <c r="BN37" s="127" t="e">
        <f t="shared" si="11"/>
        <v>#DIV/0!</v>
      </c>
      <c r="BO37" s="127" t="e">
        <f t="shared" si="41"/>
        <v>#DIV/0!</v>
      </c>
      <c r="BQ37" s="121">
        <f>Transport!$A48</f>
        <v>45139</v>
      </c>
      <c r="BR37" s="73">
        <f t="shared" si="43"/>
        <v>0</v>
      </c>
      <c r="BS37" s="15">
        <f t="shared" si="30"/>
        <v>0</v>
      </c>
      <c r="BT37" s="98">
        <f t="shared" si="31"/>
        <v>0</v>
      </c>
      <c r="BU37" s="128">
        <f>IF(BT37&gt;0,29,0)</f>
        <v>0</v>
      </c>
      <c r="BV37" s="128">
        <f t="shared" si="32"/>
        <v>0</v>
      </c>
      <c r="BW37" s="15">
        <f t="shared" si="33"/>
        <v>0</v>
      </c>
      <c r="BX37" s="127" t="e">
        <f t="shared" si="12"/>
        <v>#DIV/0!</v>
      </c>
      <c r="BY37" s="127" t="e">
        <f t="shared" si="13"/>
        <v>#DIV/0!</v>
      </c>
      <c r="CA37" s="121">
        <f>Transport!$A48</f>
        <v>45139</v>
      </c>
      <c r="CB37" s="73">
        <f t="shared" si="44"/>
        <v>0</v>
      </c>
      <c r="CC37" s="15">
        <f t="shared" si="34"/>
        <v>0</v>
      </c>
      <c r="CD37" s="98">
        <f t="shared" si="35"/>
        <v>0</v>
      </c>
      <c r="CE37" s="128">
        <f>IF(CD37&gt;0,29,0)</f>
        <v>0</v>
      </c>
      <c r="CF37" s="128">
        <f t="shared" si="36"/>
        <v>0</v>
      </c>
      <c r="CG37" s="15">
        <f t="shared" si="37"/>
        <v>0</v>
      </c>
      <c r="CH37" s="127" t="e">
        <f t="shared" si="14"/>
        <v>#DIV/0!</v>
      </c>
      <c r="CI37" s="127" t="e">
        <f t="shared" si="45"/>
        <v>#DIV/0!</v>
      </c>
    </row>
    <row r="38" spans="2:87" x14ac:dyDescent="0.2">
      <c r="B38" s="440">
        <f>'Incurred Per Day'!N35</f>
        <v>44440</v>
      </c>
      <c r="C38" s="441">
        <f>Data!BO38</f>
        <v>4982399.3777596075</v>
      </c>
      <c r="D38" s="151">
        <f>Data!AO38</f>
        <v>107756</v>
      </c>
      <c r="E38" s="10">
        <f>'Incurred Per Day'!S35</f>
        <v>21</v>
      </c>
      <c r="F38" s="295">
        <f t="shared" si="6"/>
        <v>46.24</v>
      </c>
      <c r="G38" s="441">
        <f t="shared" si="7"/>
        <v>237257</v>
      </c>
      <c r="H38" s="295">
        <f t="shared" si="8"/>
        <v>2.2000000000000002</v>
      </c>
      <c r="N38" s="4">
        <f t="shared" si="4"/>
        <v>44348</v>
      </c>
      <c r="O38" s="216" t="str">
        <f t="shared" si="0"/>
        <v>Jun</v>
      </c>
      <c r="P38" s="2" t="str">
        <f t="shared" si="1"/>
        <v>Tue</v>
      </c>
      <c r="Q38" s="436">
        <f t="shared" si="5"/>
        <v>30</v>
      </c>
      <c r="R38" s="436">
        <f t="shared" si="2"/>
        <v>22</v>
      </c>
      <c r="S38" s="436">
        <f t="shared" si="3"/>
        <v>22</v>
      </c>
      <c r="AB38">
        <f t="shared" si="38"/>
        <v>30</v>
      </c>
      <c r="AC38" s="121">
        <f>Transport!$A49</f>
        <v>45170</v>
      </c>
      <c r="AD38" s="132" t="str">
        <f t="shared" si="46"/>
        <v>9</v>
      </c>
      <c r="AE38" s="132" t="str">
        <f t="shared" si="47"/>
        <v>23</v>
      </c>
      <c r="AF38" s="132" t="str">
        <f t="shared" si="48"/>
        <v>9/23</v>
      </c>
      <c r="AG38" s="133" t="str">
        <f t="shared" si="49"/>
        <v>9/23</v>
      </c>
      <c r="AH38" s="73">
        <f ca="1">H14</f>
        <v>1.98</v>
      </c>
      <c r="AI38" s="73">
        <f ca="1">LeastSq!AD36</f>
        <v>110.39214865507736</v>
      </c>
      <c r="AJ38" s="73">
        <f ca="1">LeastSq!$AZ36</f>
        <v>40.543207104353414</v>
      </c>
      <c r="AK38" s="73">
        <f ca="1">LeastSq!$BJ36</f>
        <v>40.231933487135763</v>
      </c>
      <c r="AL38" s="73">
        <f ca="1">Transport!$G49</f>
        <v>1.4276210156046916</v>
      </c>
      <c r="AM38" s="73">
        <f t="shared" ca="1" si="50"/>
        <v>1.98</v>
      </c>
      <c r="AP38" s="121">
        <f t="shared" si="18"/>
        <v>45170</v>
      </c>
      <c r="AQ38" s="73">
        <f t="shared" ca="1" si="19"/>
        <v>1.98</v>
      </c>
      <c r="AR38" s="73">
        <f ca="1">Transport!$N49</f>
        <v>42.966373388232512</v>
      </c>
      <c r="AS38" s="73">
        <f ca="1">Transport!$J49</f>
        <v>39.63601951304247</v>
      </c>
      <c r="AT38" s="73">
        <f ca="1">Transport!$O49</f>
        <v>42.966373388232512</v>
      </c>
      <c r="AU38" s="2">
        <v>30</v>
      </c>
      <c r="AW38" s="121">
        <f>Transport!$A49</f>
        <v>45170</v>
      </c>
      <c r="AX38" s="73">
        <f t="shared" ca="1" si="9"/>
        <v>1.98</v>
      </c>
      <c r="AY38" s="15">
        <f t="shared" ca="1" si="20"/>
        <v>0.68309684470644383</v>
      </c>
      <c r="AZ38" s="98">
        <f t="shared" ca="1" si="21"/>
        <v>1</v>
      </c>
      <c r="BA38" s="128">
        <f ca="1">IF(AZ38&gt;0,30,0)</f>
        <v>30</v>
      </c>
      <c r="BB38" s="128">
        <f t="shared" ca="1" si="22"/>
        <v>900</v>
      </c>
      <c r="BC38" s="15">
        <f t="shared" ca="1" si="23"/>
        <v>20.492905341193314</v>
      </c>
      <c r="BD38" s="127">
        <f t="shared" ca="1" si="10"/>
        <v>0.64441853176509734</v>
      </c>
      <c r="BE38" s="127">
        <f t="shared" ca="1" si="24"/>
        <v>1.9048790805079876</v>
      </c>
      <c r="BG38" s="121">
        <f>Transport!$A49</f>
        <v>45170</v>
      </c>
      <c r="BH38" s="73">
        <f t="shared" si="25"/>
        <v>0</v>
      </c>
      <c r="BI38" s="15">
        <f t="shared" si="26"/>
        <v>0</v>
      </c>
      <c r="BJ38" s="98">
        <f t="shared" si="27"/>
        <v>0</v>
      </c>
      <c r="BK38" s="128">
        <f>IF(BJ38&gt;0,30,0)</f>
        <v>0</v>
      </c>
      <c r="BL38" s="128">
        <f t="shared" si="28"/>
        <v>0</v>
      </c>
      <c r="BM38" s="15">
        <f t="shared" si="29"/>
        <v>0</v>
      </c>
      <c r="BN38" s="127" t="e">
        <f t="shared" si="11"/>
        <v>#DIV/0!</v>
      </c>
      <c r="BO38" s="127" t="e">
        <f t="shared" si="41"/>
        <v>#DIV/0!</v>
      </c>
      <c r="BQ38" s="121">
        <f>Transport!$A49</f>
        <v>45170</v>
      </c>
      <c r="BR38" s="73">
        <f t="shared" si="43"/>
        <v>0</v>
      </c>
      <c r="BS38" s="15">
        <f t="shared" si="30"/>
        <v>0</v>
      </c>
      <c r="BT38" s="98">
        <f t="shared" si="31"/>
        <v>0</v>
      </c>
      <c r="BU38" s="128">
        <f>IF(BT38&gt;0,30,0)</f>
        <v>0</v>
      </c>
      <c r="BV38" s="128">
        <f t="shared" si="32"/>
        <v>0</v>
      </c>
      <c r="BW38" s="15">
        <f t="shared" si="33"/>
        <v>0</v>
      </c>
      <c r="BX38" s="127" t="e">
        <f t="shared" si="12"/>
        <v>#DIV/0!</v>
      </c>
      <c r="BY38" s="127" t="e">
        <f t="shared" si="13"/>
        <v>#DIV/0!</v>
      </c>
      <c r="CA38" s="121">
        <f>Transport!$A49</f>
        <v>45170</v>
      </c>
      <c r="CB38" s="73">
        <f t="shared" si="44"/>
        <v>0</v>
      </c>
      <c r="CC38" s="15">
        <f t="shared" si="34"/>
        <v>0</v>
      </c>
      <c r="CD38" s="98">
        <f t="shared" si="35"/>
        <v>0</v>
      </c>
      <c r="CE38" s="128">
        <f>IF(CD38&gt;0,30,0)</f>
        <v>0</v>
      </c>
      <c r="CF38" s="128">
        <f t="shared" si="36"/>
        <v>0</v>
      </c>
      <c r="CG38" s="15">
        <f t="shared" si="37"/>
        <v>0</v>
      </c>
      <c r="CH38" s="127" t="e">
        <f t="shared" si="14"/>
        <v>#DIV/0!</v>
      </c>
      <c r="CI38" s="127" t="e">
        <f t="shared" si="45"/>
        <v>#DIV/0!</v>
      </c>
    </row>
    <row r="39" spans="2:87" x14ac:dyDescent="0.2">
      <c r="B39" s="440">
        <f>'Incurred Per Day'!N36</f>
        <v>44409</v>
      </c>
      <c r="C39" s="441">
        <f>Data!BO39</f>
        <v>5138973.5657334104</v>
      </c>
      <c r="D39" s="151">
        <f>Data!AO39</f>
        <v>107513</v>
      </c>
      <c r="E39" s="10">
        <f>'Incurred Per Day'!S36</f>
        <v>22</v>
      </c>
      <c r="F39" s="295">
        <f t="shared" si="6"/>
        <v>47.8</v>
      </c>
      <c r="G39" s="441">
        <f t="shared" si="7"/>
        <v>233590</v>
      </c>
      <c r="H39" s="295">
        <f t="shared" si="8"/>
        <v>2.17</v>
      </c>
      <c r="N39" s="4">
        <f t="shared" si="4"/>
        <v>44317</v>
      </c>
      <c r="O39" s="216" t="str">
        <f t="shared" si="0"/>
        <v>May</v>
      </c>
      <c r="P39" s="2" t="str">
        <f t="shared" si="1"/>
        <v>Sat</v>
      </c>
      <c r="Q39" s="436">
        <f t="shared" si="5"/>
        <v>31</v>
      </c>
      <c r="R39" s="436">
        <f t="shared" si="2"/>
        <v>21</v>
      </c>
      <c r="S39" s="436">
        <f t="shared" si="3"/>
        <v>20</v>
      </c>
      <c r="AB39">
        <f t="shared" si="38"/>
        <v>31</v>
      </c>
      <c r="AC39" s="121">
        <f>Transport!$A50</f>
        <v>45200</v>
      </c>
      <c r="AD39" s="132" t="str">
        <f t="shared" si="46"/>
        <v>10</v>
      </c>
      <c r="AE39" s="132" t="str">
        <f t="shared" si="47"/>
        <v>23</v>
      </c>
      <c r="AF39" s="132" t="str">
        <f t="shared" si="48"/>
        <v>10/23</v>
      </c>
      <c r="AG39" s="133" t="str">
        <f t="shared" si="49"/>
        <v>10/23</v>
      </c>
      <c r="AH39" s="73">
        <f ca="1">H13</f>
        <v>2.06</v>
      </c>
      <c r="AI39" s="73">
        <f ca="1">LeastSq!AD37</f>
        <v>118.24962476342483</v>
      </c>
      <c r="AJ39" s="73">
        <f ca="1">LeastSq!$AZ37</f>
        <v>40.693039073582099</v>
      </c>
      <c r="AK39" s="73">
        <f ca="1">LeastSq!$BJ37</f>
        <v>40.282689529736714</v>
      </c>
      <c r="AL39" s="73">
        <f ca="1">Transport!$G50</f>
        <v>1.9568181624749865</v>
      </c>
      <c r="AM39" s="73">
        <f t="shared" ca="1" si="50"/>
        <v>2.06</v>
      </c>
      <c r="AP39" s="121">
        <f t="shared" si="18"/>
        <v>45200</v>
      </c>
      <c r="AQ39" s="73">
        <f t="shared" ca="1" si="19"/>
        <v>2.06</v>
      </c>
      <c r="AR39" s="73">
        <f ca="1">Transport!$N50</f>
        <v>42.365922389362225</v>
      </c>
      <c r="AS39" s="73">
        <f ca="1">Transport!$J50</f>
        <v>45.354256209484092</v>
      </c>
      <c r="AT39" s="73">
        <f ca="1">Transport!$O50</f>
        <v>42.365922389362225</v>
      </c>
      <c r="AU39" s="2">
        <v>31</v>
      </c>
      <c r="AW39" s="121">
        <f>Transport!$A50</f>
        <v>45200</v>
      </c>
      <c r="AX39" s="73">
        <f t="shared" ca="1" si="9"/>
        <v>2.06</v>
      </c>
      <c r="AY39" s="15">
        <f t="shared" ca="1" si="20"/>
        <v>0.72270598280148979</v>
      </c>
      <c r="AZ39" s="98">
        <f t="shared" ca="1" si="21"/>
        <v>1</v>
      </c>
      <c r="BA39" s="128">
        <f ca="1">IF(AZ39&gt;0,31,0)</f>
        <v>31</v>
      </c>
      <c r="BB39" s="128">
        <f t="shared" ca="1" si="22"/>
        <v>961</v>
      </c>
      <c r="BC39" s="15">
        <f t="shared" ca="1" si="23"/>
        <v>22.403885466846184</v>
      </c>
      <c r="BD39" s="127">
        <f t="shared" ca="1" si="10"/>
        <v>0.64441853176509734</v>
      </c>
      <c r="BE39" s="127">
        <f t="shared" ca="1" si="24"/>
        <v>1.9048790805079876</v>
      </c>
      <c r="BG39" s="121">
        <f>Transport!$A50</f>
        <v>45200</v>
      </c>
      <c r="BH39" s="73">
        <f t="shared" si="25"/>
        <v>0</v>
      </c>
      <c r="BI39" s="15">
        <f t="shared" si="26"/>
        <v>0</v>
      </c>
      <c r="BJ39" s="98">
        <f t="shared" si="27"/>
        <v>0</v>
      </c>
      <c r="BK39" s="128">
        <f>IF(BJ39&gt;0,31,0)</f>
        <v>0</v>
      </c>
      <c r="BL39" s="128">
        <f t="shared" si="28"/>
        <v>0</v>
      </c>
      <c r="BM39" s="15">
        <f t="shared" si="29"/>
        <v>0</v>
      </c>
      <c r="BN39" s="127" t="e">
        <f t="shared" si="11"/>
        <v>#DIV/0!</v>
      </c>
      <c r="BO39" s="127" t="e">
        <f t="shared" si="41"/>
        <v>#DIV/0!</v>
      </c>
      <c r="BQ39" s="121">
        <f>Transport!$A50</f>
        <v>45200</v>
      </c>
      <c r="BR39" s="73">
        <f t="shared" si="43"/>
        <v>0</v>
      </c>
      <c r="BS39" s="15">
        <f t="shared" si="30"/>
        <v>0</v>
      </c>
      <c r="BT39" s="98">
        <f t="shared" si="31"/>
        <v>0</v>
      </c>
      <c r="BU39" s="128">
        <f>IF(BT39&gt;0,31,0)</f>
        <v>0</v>
      </c>
      <c r="BV39" s="128">
        <f t="shared" si="32"/>
        <v>0</v>
      </c>
      <c r="BW39" s="15">
        <f t="shared" si="33"/>
        <v>0</v>
      </c>
      <c r="BX39" s="127" t="e">
        <f t="shared" si="12"/>
        <v>#DIV/0!</v>
      </c>
      <c r="BY39" s="127" t="e">
        <f t="shared" si="13"/>
        <v>#DIV/0!</v>
      </c>
      <c r="CA39" s="121">
        <f>Transport!$A50</f>
        <v>45200</v>
      </c>
      <c r="CB39" s="73">
        <f t="shared" si="44"/>
        <v>0</v>
      </c>
      <c r="CC39" s="15">
        <f t="shared" si="34"/>
        <v>0</v>
      </c>
      <c r="CD39" s="98">
        <f t="shared" si="35"/>
        <v>0</v>
      </c>
      <c r="CE39" s="128">
        <f>IF(CD39&gt;0,31,0)</f>
        <v>0</v>
      </c>
      <c r="CF39" s="128">
        <f t="shared" si="36"/>
        <v>0</v>
      </c>
      <c r="CG39" s="15">
        <f t="shared" si="37"/>
        <v>0</v>
      </c>
      <c r="CH39" s="127" t="e">
        <f t="shared" si="14"/>
        <v>#DIV/0!</v>
      </c>
      <c r="CI39" s="127" t="e">
        <f t="shared" si="45"/>
        <v>#DIV/0!</v>
      </c>
    </row>
    <row r="40" spans="2:87" x14ac:dyDescent="0.2">
      <c r="B40" s="440">
        <f>'Incurred Per Day'!N37</f>
        <v>44378</v>
      </c>
      <c r="C40" s="441">
        <f>Data!BO40</f>
        <v>4327216.0260074185</v>
      </c>
      <c r="D40" s="151">
        <f>Data!AO40</f>
        <v>107241</v>
      </c>
      <c r="E40" s="10">
        <f>'Incurred Per Day'!S37</f>
        <v>21</v>
      </c>
      <c r="F40" s="295">
        <f t="shared" si="6"/>
        <v>40.35</v>
      </c>
      <c r="G40" s="441">
        <f t="shared" si="7"/>
        <v>206058</v>
      </c>
      <c r="H40" s="295">
        <f t="shared" si="8"/>
        <v>1.92</v>
      </c>
      <c r="N40" s="4">
        <f t="shared" si="4"/>
        <v>44287</v>
      </c>
      <c r="O40" s="216" t="str">
        <f t="shared" si="0"/>
        <v>Apr</v>
      </c>
      <c r="P40" s="2" t="str">
        <f t="shared" si="1"/>
        <v>Thu</v>
      </c>
      <c r="Q40" s="436">
        <f t="shared" si="5"/>
        <v>30</v>
      </c>
      <c r="R40" s="436">
        <f t="shared" si="2"/>
        <v>22</v>
      </c>
      <c r="S40" s="436">
        <f t="shared" si="3"/>
        <v>22</v>
      </c>
      <c r="AB40">
        <f t="shared" si="38"/>
        <v>32</v>
      </c>
      <c r="AC40" s="121">
        <f>Transport!$A51</f>
        <v>45231</v>
      </c>
      <c r="AD40" s="132" t="str">
        <f t="shared" si="46"/>
        <v>11</v>
      </c>
      <c r="AE40" s="132" t="str">
        <f t="shared" si="47"/>
        <v>23</v>
      </c>
      <c r="AF40" s="132" t="str">
        <f t="shared" si="48"/>
        <v>11/23</v>
      </c>
      <c r="AG40" s="133" t="str">
        <f t="shared" si="49"/>
        <v>11/23</v>
      </c>
      <c r="AH40" s="73">
        <f ca="1">H12</f>
        <v>2.11</v>
      </c>
      <c r="AI40" s="73">
        <f ca="1">LeastSq!AD38</f>
        <v>119.68722140586331</v>
      </c>
      <c r="AJ40" s="73">
        <f ca="1">LeastSq!$AZ38</f>
        <v>40.843424763658398</v>
      </c>
      <c r="AK40" s="73">
        <f ca="1">LeastSq!$BJ38</f>
        <v>40.333509605448626</v>
      </c>
      <c r="AL40" s="73">
        <f ca="1">Transport!$G51</f>
        <v>2.1989383379145369</v>
      </c>
      <c r="AM40" s="73">
        <f t="shared" ca="1" si="50"/>
        <v>2.11</v>
      </c>
      <c r="AP40" s="121">
        <f t="shared" si="18"/>
        <v>45231</v>
      </c>
      <c r="AQ40" s="73">
        <f t="shared" ca="1" si="19"/>
        <v>2.11</v>
      </c>
      <c r="AR40" s="73">
        <f ca="1">Transport!$N51</f>
        <v>42.398128718961154</v>
      </c>
      <c r="AS40" s="73">
        <f ca="1">Transport!$J51</f>
        <v>42.107491445560107</v>
      </c>
      <c r="AT40" s="73">
        <f ca="1">Transport!$O51</f>
        <v>42.398128718961154</v>
      </c>
      <c r="AU40" s="2">
        <v>32</v>
      </c>
      <c r="AW40" s="121">
        <f>Transport!$A51</f>
        <v>45231</v>
      </c>
      <c r="AX40" s="73">
        <f t="shared" ca="1" si="9"/>
        <v>2.11</v>
      </c>
      <c r="AY40" s="15">
        <f t="shared" ca="1" si="20"/>
        <v>0.74668794748797507</v>
      </c>
      <c r="AZ40" s="98">
        <f t="shared" ca="1" si="21"/>
        <v>1</v>
      </c>
      <c r="BA40" s="128">
        <f ca="1">IF(AZ40&gt;0,32,0)</f>
        <v>32</v>
      </c>
      <c r="BB40" s="128">
        <f t="shared" ca="1" si="22"/>
        <v>1024</v>
      </c>
      <c r="BC40" s="15">
        <f t="shared" ca="1" si="23"/>
        <v>23.894014319615202</v>
      </c>
      <c r="BD40" s="127">
        <f t="shared" ca="1" si="10"/>
        <v>0.64441853176509734</v>
      </c>
      <c r="BE40" s="127">
        <f t="shared" ca="1" si="24"/>
        <v>1.9048790805079876</v>
      </c>
      <c r="BG40" s="121">
        <f>Transport!$A51</f>
        <v>45231</v>
      </c>
      <c r="BH40" s="73">
        <f t="shared" si="25"/>
        <v>0</v>
      </c>
      <c r="BI40" s="15">
        <f t="shared" si="26"/>
        <v>0</v>
      </c>
      <c r="BJ40" s="98">
        <f t="shared" si="27"/>
        <v>0</v>
      </c>
      <c r="BK40" s="128">
        <f>IF(BJ40&gt;0,32,0)</f>
        <v>0</v>
      </c>
      <c r="BL40" s="128">
        <f t="shared" si="28"/>
        <v>0</v>
      </c>
      <c r="BM40" s="15">
        <f t="shared" si="29"/>
        <v>0</v>
      </c>
      <c r="BN40" s="127" t="e">
        <f t="shared" si="11"/>
        <v>#DIV/0!</v>
      </c>
      <c r="BO40" s="127" t="e">
        <f t="shared" si="41"/>
        <v>#DIV/0!</v>
      </c>
      <c r="BQ40" s="121">
        <f>Transport!$A51</f>
        <v>45231</v>
      </c>
      <c r="BR40" s="73">
        <f t="shared" si="43"/>
        <v>0</v>
      </c>
      <c r="BS40" s="15">
        <f t="shared" si="30"/>
        <v>0</v>
      </c>
      <c r="BT40" s="98">
        <f t="shared" si="31"/>
        <v>0</v>
      </c>
      <c r="BU40" s="128">
        <f>IF(BT40&gt;0,32,0)</f>
        <v>0</v>
      </c>
      <c r="BV40" s="128">
        <f t="shared" si="32"/>
        <v>0</v>
      </c>
      <c r="BW40" s="15">
        <f t="shared" si="33"/>
        <v>0</v>
      </c>
      <c r="BX40" s="127" t="e">
        <f t="shared" si="12"/>
        <v>#DIV/0!</v>
      </c>
      <c r="BY40" s="127" t="e">
        <f t="shared" si="13"/>
        <v>#DIV/0!</v>
      </c>
      <c r="CA40" s="121">
        <f>Transport!$A51</f>
        <v>45231</v>
      </c>
      <c r="CB40" s="73">
        <f t="shared" si="44"/>
        <v>0</v>
      </c>
      <c r="CC40" s="15">
        <f t="shared" si="34"/>
        <v>0</v>
      </c>
      <c r="CD40" s="98">
        <f t="shared" si="35"/>
        <v>0</v>
      </c>
      <c r="CE40" s="128">
        <f>IF(CD40&gt;0,32,0)</f>
        <v>0</v>
      </c>
      <c r="CF40" s="128">
        <f t="shared" si="36"/>
        <v>0</v>
      </c>
      <c r="CG40" s="15">
        <f t="shared" si="37"/>
        <v>0</v>
      </c>
      <c r="CH40" s="127" t="e">
        <f t="shared" si="14"/>
        <v>#DIV/0!</v>
      </c>
      <c r="CI40" s="127" t="e">
        <f t="shared" si="45"/>
        <v>#DIV/0!</v>
      </c>
    </row>
    <row r="41" spans="2:87" x14ac:dyDescent="0.2">
      <c r="B41" s="440">
        <f>'Incurred Per Day'!N38</f>
        <v>44348</v>
      </c>
      <c r="C41" s="441">
        <f>Data!BO41</f>
        <v>4156017.5334047913</v>
      </c>
      <c r="D41" s="151">
        <f>Data!AO41</f>
        <v>107140</v>
      </c>
      <c r="E41" s="10">
        <f>'Incurred Per Day'!S38</f>
        <v>22</v>
      </c>
      <c r="F41" s="295">
        <f t="shared" si="6"/>
        <v>38.79</v>
      </c>
      <c r="G41" s="441">
        <f t="shared" si="7"/>
        <v>188910</v>
      </c>
      <c r="H41" s="295">
        <f t="shared" si="8"/>
        <v>1.76</v>
      </c>
      <c r="N41" s="4"/>
      <c r="O41" s="4"/>
      <c r="AB41">
        <f t="shared" si="38"/>
        <v>33</v>
      </c>
      <c r="AC41" s="121">
        <f>Transport!$A52</f>
        <v>45261</v>
      </c>
      <c r="AD41" s="132" t="str">
        <f t="shared" si="46"/>
        <v>12</v>
      </c>
      <c r="AE41" s="132" t="str">
        <f t="shared" si="47"/>
        <v>23</v>
      </c>
      <c r="AF41" s="132" t="str">
        <f t="shared" si="48"/>
        <v>12/23</v>
      </c>
      <c r="AG41" s="133" t="str">
        <f t="shared" si="49"/>
        <v>12/23</v>
      </c>
      <c r="AH41" s="73">
        <f ca="1">H11</f>
        <v>1.99</v>
      </c>
      <c r="AI41" s="73">
        <f ca="1">LeastSq!AD39</f>
        <v>121.51170828853375</v>
      </c>
      <c r="AJ41" s="73">
        <f ca="1">LeastSq!$AZ39</f>
        <v>40.994366220919815</v>
      </c>
      <c r="AK41" s="73">
        <f ca="1">LeastSq!$BJ39</f>
        <v>40.384393795054763</v>
      </c>
      <c r="AL41" s="73">
        <f ca="1">Transport!$G52</f>
        <v>2.8458061392264149</v>
      </c>
      <c r="AM41" s="73">
        <f t="shared" ca="1" si="50"/>
        <v>1.99</v>
      </c>
      <c r="AP41" s="121">
        <f t="shared" si="18"/>
        <v>45261</v>
      </c>
      <c r="AQ41" s="73">
        <f t="shared" ca="1" si="19"/>
        <v>1.99</v>
      </c>
      <c r="AR41" s="73">
        <f ca="1">Transport!$N52</f>
        <v>39.63227905853757</v>
      </c>
      <c r="AS41" s="73">
        <f ca="1">Transport!$J52</f>
        <v>39.732638501839261</v>
      </c>
      <c r="AT41" s="73">
        <f ca="1">Transport!$O52</f>
        <v>39.63227905853757</v>
      </c>
      <c r="AU41" s="2">
        <v>33</v>
      </c>
      <c r="AW41" s="121">
        <f>Transport!$A52</f>
        <v>45261</v>
      </c>
      <c r="AX41" s="73">
        <f t="shared" ca="1" si="9"/>
        <v>1.99</v>
      </c>
      <c r="AY41" s="15">
        <f t="shared" ca="1" si="20"/>
        <v>0.68813463873640102</v>
      </c>
      <c r="AZ41" s="98">
        <f t="shared" ca="1" si="21"/>
        <v>1</v>
      </c>
      <c r="BA41" s="128">
        <f ca="1">IF(AZ41&gt;0,33,0)</f>
        <v>33</v>
      </c>
      <c r="BB41" s="128">
        <f t="shared" ca="1" si="22"/>
        <v>1089</v>
      </c>
      <c r="BC41" s="15">
        <f t="shared" ca="1" si="23"/>
        <v>22.708443078301233</v>
      </c>
      <c r="BD41" s="127">
        <f t="shared" ca="1" si="10"/>
        <v>0.64441853176509734</v>
      </c>
      <c r="BE41" s="127">
        <f t="shared" ca="1" si="24"/>
        <v>1.9048790805079876</v>
      </c>
      <c r="BG41" s="121">
        <f>Transport!$A52</f>
        <v>45261</v>
      </c>
      <c r="BH41" s="73">
        <f t="shared" si="25"/>
        <v>0</v>
      </c>
      <c r="BI41" s="15">
        <f t="shared" si="26"/>
        <v>0</v>
      </c>
      <c r="BJ41" s="98">
        <f t="shared" si="27"/>
        <v>0</v>
      </c>
      <c r="BK41" s="128">
        <f>IF(BJ41&gt;0,33,0)</f>
        <v>0</v>
      </c>
      <c r="BL41" s="128">
        <f t="shared" si="28"/>
        <v>0</v>
      </c>
      <c r="BM41" s="15">
        <f t="shared" si="29"/>
        <v>0</v>
      </c>
      <c r="BN41" s="127" t="e">
        <f t="shared" si="11"/>
        <v>#DIV/0!</v>
      </c>
      <c r="BO41" s="127" t="e">
        <f t="shared" si="41"/>
        <v>#DIV/0!</v>
      </c>
      <c r="BQ41" s="121">
        <f>Transport!$A52</f>
        <v>45261</v>
      </c>
      <c r="BR41" s="73">
        <f t="shared" si="43"/>
        <v>0</v>
      </c>
      <c r="BS41" s="15">
        <f t="shared" si="30"/>
        <v>0</v>
      </c>
      <c r="BT41" s="98">
        <f t="shared" si="31"/>
        <v>0</v>
      </c>
      <c r="BU41" s="128">
        <f>IF(BT41&gt;0,33,0)</f>
        <v>0</v>
      </c>
      <c r="BV41" s="128">
        <f t="shared" si="32"/>
        <v>0</v>
      </c>
      <c r="BW41" s="15">
        <f t="shared" si="33"/>
        <v>0</v>
      </c>
      <c r="BX41" s="127" t="e">
        <f t="shared" si="12"/>
        <v>#DIV/0!</v>
      </c>
      <c r="BY41" s="127" t="e">
        <f t="shared" si="13"/>
        <v>#DIV/0!</v>
      </c>
      <c r="CA41" s="121">
        <f>Transport!$A52</f>
        <v>45261</v>
      </c>
      <c r="CB41" s="73">
        <f t="shared" si="44"/>
        <v>0</v>
      </c>
      <c r="CC41" s="15">
        <f t="shared" si="34"/>
        <v>0</v>
      </c>
      <c r="CD41" s="98">
        <f t="shared" si="35"/>
        <v>0</v>
      </c>
      <c r="CE41" s="128">
        <f>IF(CD41&gt;0,33,0)</f>
        <v>0</v>
      </c>
      <c r="CF41" s="128">
        <f t="shared" si="36"/>
        <v>0</v>
      </c>
      <c r="CG41" s="15">
        <f t="shared" si="37"/>
        <v>0</v>
      </c>
      <c r="CH41" s="127" t="e">
        <f t="shared" si="14"/>
        <v>#DIV/0!</v>
      </c>
      <c r="CI41" s="127" t="e">
        <f t="shared" si="45"/>
        <v>#DIV/0!</v>
      </c>
    </row>
    <row r="42" spans="2:87" x14ac:dyDescent="0.2">
      <c r="B42" s="440">
        <f>'Incurred Per Day'!N39</f>
        <v>44317</v>
      </c>
      <c r="C42" s="441">
        <f>Data!BO42</f>
        <v>3920682.8142403895</v>
      </c>
      <c r="D42" s="151">
        <f>Data!AO42</f>
        <v>107146</v>
      </c>
      <c r="E42" s="10">
        <f>'Incurred Per Day'!S39</f>
        <v>20</v>
      </c>
      <c r="F42" s="295">
        <f t="shared" si="6"/>
        <v>36.590000000000003</v>
      </c>
      <c r="G42" s="441">
        <f t="shared" si="7"/>
        <v>196034</v>
      </c>
      <c r="H42" s="295">
        <f t="shared" si="8"/>
        <v>1.83</v>
      </c>
      <c r="AB42">
        <f t="shared" si="38"/>
        <v>34</v>
      </c>
      <c r="AC42" s="121">
        <f>Transport!$A53</f>
        <v>45292</v>
      </c>
      <c r="AD42" s="132" t="str">
        <f t="shared" si="46"/>
        <v>1</v>
      </c>
      <c r="AE42" s="132" t="str">
        <f t="shared" si="47"/>
        <v>24</v>
      </c>
      <c r="AF42" s="132" t="str">
        <f t="shared" si="48"/>
        <v>1/24</v>
      </c>
      <c r="AG42" s="133" t="str">
        <f t="shared" si="49"/>
        <v>1/24</v>
      </c>
      <c r="AH42" s="73">
        <f ca="1">H10</f>
        <v>1.68</v>
      </c>
      <c r="AI42" s="73">
        <f ca="1">LeastSq!AD40</f>
        <v>122.8232784833872</v>
      </c>
      <c r="AJ42" s="73">
        <f ca="1">LeastSq!$AZ40</f>
        <v>41.145865499266314</v>
      </c>
      <c r="AK42" s="73">
        <f ca="1">LeastSq!$BJ40</f>
        <v>40.435342179440305</v>
      </c>
      <c r="AL42" s="73">
        <f ca="1">Transport!$G53</f>
        <v>5.6387455673759401</v>
      </c>
      <c r="AM42" s="73">
        <f t="shared" ca="1" si="50"/>
        <v>1.68</v>
      </c>
      <c r="AP42" s="121">
        <f t="shared" si="18"/>
        <v>45292</v>
      </c>
      <c r="AQ42" s="73">
        <f t="shared" ca="1" si="19"/>
        <v>1.68</v>
      </c>
      <c r="AR42" s="73">
        <f ca="1">Transport!$N53</f>
        <v>38.110022627918276</v>
      </c>
      <c r="AS42" s="73">
        <f ca="1">Transport!$J53</f>
        <v>37.056707228213348</v>
      </c>
      <c r="AT42" s="73">
        <f ca="1">Transport!$O53</f>
        <v>38.110022627918276</v>
      </c>
      <c r="AU42" s="2">
        <v>34</v>
      </c>
      <c r="AW42" s="121">
        <f>Transport!$A53</f>
        <v>45292</v>
      </c>
      <c r="AX42" s="73">
        <f t="shared" ca="1" si="9"/>
        <v>1.68</v>
      </c>
      <c r="AY42" s="15">
        <f t="shared" ca="1" si="20"/>
        <v>0.51879379341516751</v>
      </c>
      <c r="AZ42" s="98">
        <f t="shared" ca="1" si="21"/>
        <v>1</v>
      </c>
      <c r="BA42" s="128">
        <f ca="1">IF(AZ42&gt;0,34,0)</f>
        <v>34</v>
      </c>
      <c r="BB42" s="128">
        <f t="shared" ca="1" si="22"/>
        <v>1156</v>
      </c>
      <c r="BC42" s="15">
        <f t="shared" ca="1" si="23"/>
        <v>17.638988976115694</v>
      </c>
      <c r="BD42" s="127">
        <f t="shared" ca="1" si="10"/>
        <v>0.64441853176509734</v>
      </c>
      <c r="BE42" s="127">
        <f t="shared" ca="1" si="24"/>
        <v>1.9048790805079876</v>
      </c>
      <c r="BG42" s="121">
        <f>Transport!$A53</f>
        <v>45292</v>
      </c>
      <c r="BH42" s="73">
        <f t="shared" si="25"/>
        <v>0</v>
      </c>
      <c r="BI42" s="15">
        <f t="shared" si="26"/>
        <v>0</v>
      </c>
      <c r="BJ42" s="98">
        <f t="shared" si="27"/>
        <v>0</v>
      </c>
      <c r="BK42" s="128">
        <f>IF(BJ42&gt;0,34,0)</f>
        <v>0</v>
      </c>
      <c r="BL42" s="128">
        <f t="shared" si="28"/>
        <v>0</v>
      </c>
      <c r="BM42" s="15">
        <f t="shared" si="29"/>
        <v>0</v>
      </c>
      <c r="BN42" s="127" t="e">
        <f t="shared" si="11"/>
        <v>#DIV/0!</v>
      </c>
      <c r="BO42" s="127" t="e">
        <f t="shared" si="41"/>
        <v>#DIV/0!</v>
      </c>
      <c r="BQ42" s="121">
        <f>Transport!$A53</f>
        <v>45292</v>
      </c>
      <c r="BR42" s="73">
        <f t="shared" si="43"/>
        <v>0</v>
      </c>
      <c r="BS42" s="15">
        <f t="shared" si="30"/>
        <v>0</v>
      </c>
      <c r="BT42" s="98">
        <f t="shared" si="31"/>
        <v>0</v>
      </c>
      <c r="BU42" s="128">
        <f>IF(BT42&gt;0,34,0)</f>
        <v>0</v>
      </c>
      <c r="BV42" s="128">
        <f t="shared" si="32"/>
        <v>0</v>
      </c>
      <c r="BW42" s="15">
        <f t="shared" si="33"/>
        <v>0</v>
      </c>
      <c r="BX42" s="127" t="e">
        <f t="shared" si="12"/>
        <v>#DIV/0!</v>
      </c>
      <c r="BY42" s="127" t="e">
        <f t="shared" si="13"/>
        <v>#DIV/0!</v>
      </c>
      <c r="CA42" s="121">
        <f>Transport!$A53</f>
        <v>45292</v>
      </c>
      <c r="CB42" s="73">
        <f t="shared" si="44"/>
        <v>0</v>
      </c>
      <c r="CC42" s="15">
        <f t="shared" si="34"/>
        <v>0</v>
      </c>
      <c r="CD42" s="98">
        <f t="shared" si="35"/>
        <v>0</v>
      </c>
      <c r="CE42" s="128">
        <f>IF(CD42&gt;0,34,0)</f>
        <v>0</v>
      </c>
      <c r="CF42" s="128">
        <f t="shared" si="36"/>
        <v>0</v>
      </c>
      <c r="CG42" s="15">
        <f t="shared" si="37"/>
        <v>0</v>
      </c>
      <c r="CH42" s="127" t="e">
        <f t="shared" si="14"/>
        <v>#DIV/0!</v>
      </c>
      <c r="CI42" s="127" t="e">
        <f t="shared" si="45"/>
        <v>#DIV/0!</v>
      </c>
    </row>
    <row r="43" spans="2:87" x14ac:dyDescent="0.2">
      <c r="B43" s="440">
        <f>'Incurred Per Day'!N40</f>
        <v>44287</v>
      </c>
      <c r="C43" s="441">
        <f>Data!BO43</f>
        <v>3841701.2300000014</v>
      </c>
      <c r="D43" s="151">
        <f>Data!AO43</f>
        <v>107101</v>
      </c>
      <c r="E43" s="10">
        <f>'Incurred Per Day'!S40</f>
        <v>22</v>
      </c>
      <c r="F43" s="295">
        <f t="shared" si="6"/>
        <v>35.869999999999997</v>
      </c>
      <c r="G43" s="441">
        <f t="shared" si="7"/>
        <v>174623</v>
      </c>
      <c r="H43" s="295">
        <f t="shared" si="8"/>
        <v>1.63</v>
      </c>
      <c r="AB43">
        <f t="shared" si="38"/>
        <v>35</v>
      </c>
      <c r="AC43" s="121">
        <f>Transport!$A54</f>
        <v>45323</v>
      </c>
      <c r="AD43" s="132" t="str">
        <f t="shared" si="46"/>
        <v>2</v>
      </c>
      <c r="AE43" s="132" t="str">
        <f t="shared" si="47"/>
        <v>24</v>
      </c>
      <c r="AF43" s="132" t="str">
        <f t="shared" si="48"/>
        <v>2/24</v>
      </c>
      <c r="AG43" s="133" t="str">
        <f t="shared" si="49"/>
        <v>2/24</v>
      </c>
      <c r="AH43" s="73">
        <f ca="1">H9</f>
        <v>1.79</v>
      </c>
      <c r="AI43" s="73">
        <f ca="1">LeastSq!AD41</f>
        <v>126.88991937601074</v>
      </c>
      <c r="AJ43" s="73">
        <f ca="1">LeastSq!$AZ41</f>
        <v>41.297924660188258</v>
      </c>
      <c r="AK43" s="73">
        <f ca="1">LeastSq!$BJ41</f>
        <v>40.486354839592465</v>
      </c>
      <c r="AL43" s="73">
        <f ca="1">Transport!$G54</f>
        <v>13.74112873729422</v>
      </c>
      <c r="AM43" s="73">
        <f t="shared" ca="1" si="50"/>
        <v>1.79</v>
      </c>
      <c r="AP43" s="121">
        <f t="shared" si="18"/>
        <v>45323</v>
      </c>
      <c r="AQ43" s="73">
        <f t="shared" ca="1" si="19"/>
        <v>1.79</v>
      </c>
      <c r="AR43" s="73">
        <f ca="1">Transport!$N54</f>
        <v>38.815809389715845</v>
      </c>
      <c r="AS43" s="73">
        <f ca="1">Transport!$J54</f>
        <v>37.540722153702205</v>
      </c>
      <c r="AT43" s="73">
        <f ca="1">Transport!$O54</f>
        <v>38.815809389715845</v>
      </c>
      <c r="AU43" s="2">
        <v>35</v>
      </c>
      <c r="AW43" s="121">
        <f>Transport!$A54</f>
        <v>45323</v>
      </c>
      <c r="AX43" s="73">
        <f t="shared" ca="1" si="9"/>
        <v>1.79</v>
      </c>
      <c r="AY43" s="15">
        <f t="shared" ca="1" si="20"/>
        <v>0.58221561985266368</v>
      </c>
      <c r="AZ43" s="98">
        <f t="shared" ca="1" si="21"/>
        <v>1</v>
      </c>
      <c r="BA43" s="128">
        <f ca="1">IF(AZ43&gt;0,35,0)</f>
        <v>35</v>
      </c>
      <c r="BB43" s="128">
        <f t="shared" ca="1" si="22"/>
        <v>1225</v>
      </c>
      <c r="BC43" s="15">
        <f t="shared" ca="1" si="23"/>
        <v>20.377546694843229</v>
      </c>
      <c r="BD43" s="127">
        <f t="shared" ca="1" si="10"/>
        <v>0.64441853176509734</v>
      </c>
      <c r="BE43" s="127">
        <f t="shared" ca="1" si="24"/>
        <v>1.9048790805079876</v>
      </c>
      <c r="BG43" s="121">
        <f>Transport!$A54</f>
        <v>45323</v>
      </c>
      <c r="BH43" s="73">
        <f t="shared" si="25"/>
        <v>0</v>
      </c>
      <c r="BI43" s="15">
        <f t="shared" si="26"/>
        <v>0</v>
      </c>
      <c r="BJ43" s="98">
        <f t="shared" si="27"/>
        <v>0</v>
      </c>
      <c r="BK43" s="128">
        <f>IF(BJ43&gt;0,35,0)</f>
        <v>0</v>
      </c>
      <c r="BL43" s="128">
        <f t="shared" si="28"/>
        <v>0</v>
      </c>
      <c r="BM43" s="15">
        <f t="shared" si="29"/>
        <v>0</v>
      </c>
      <c r="BN43" s="127" t="e">
        <f t="shared" si="11"/>
        <v>#DIV/0!</v>
      </c>
      <c r="BO43" s="127" t="e">
        <f t="shared" si="41"/>
        <v>#DIV/0!</v>
      </c>
      <c r="BQ43" s="121">
        <f>Transport!$A54</f>
        <v>45323</v>
      </c>
      <c r="BR43" s="73">
        <f t="shared" si="43"/>
        <v>0</v>
      </c>
      <c r="BS43" s="15">
        <f t="shared" si="30"/>
        <v>0</v>
      </c>
      <c r="BT43" s="98">
        <f t="shared" si="31"/>
        <v>0</v>
      </c>
      <c r="BU43" s="128">
        <f>IF(BT43&gt;0,35,0)</f>
        <v>0</v>
      </c>
      <c r="BV43" s="128">
        <f t="shared" si="32"/>
        <v>0</v>
      </c>
      <c r="BW43" s="15">
        <f t="shared" si="33"/>
        <v>0</v>
      </c>
      <c r="BX43" s="127" t="e">
        <f t="shared" si="12"/>
        <v>#DIV/0!</v>
      </c>
      <c r="BY43" s="127" t="e">
        <f t="shared" si="13"/>
        <v>#DIV/0!</v>
      </c>
      <c r="CA43" s="121">
        <f>Transport!$A54</f>
        <v>45323</v>
      </c>
      <c r="CB43" s="73">
        <f t="shared" si="44"/>
        <v>0</v>
      </c>
      <c r="CC43" s="15">
        <f t="shared" si="34"/>
        <v>0</v>
      </c>
      <c r="CD43" s="98">
        <f t="shared" si="35"/>
        <v>0</v>
      </c>
      <c r="CE43" s="128">
        <f>IF(CD43&gt;0,35,0)</f>
        <v>0</v>
      </c>
      <c r="CF43" s="128">
        <f t="shared" si="36"/>
        <v>0</v>
      </c>
      <c r="CG43" s="15">
        <f t="shared" si="37"/>
        <v>0</v>
      </c>
      <c r="CH43" s="127" t="e">
        <f t="shared" si="14"/>
        <v>#DIV/0!</v>
      </c>
      <c r="CI43" s="127" t="e">
        <f t="shared" si="45"/>
        <v>#DIV/0!</v>
      </c>
    </row>
    <row r="44" spans="2:87" x14ac:dyDescent="0.2">
      <c r="B44" s="4"/>
      <c r="C44" s="43"/>
      <c r="D44" s="51"/>
      <c r="F44" s="66"/>
      <c r="G44" s="43"/>
      <c r="H44" s="66"/>
      <c r="AB44">
        <f t="shared" si="38"/>
        <v>36</v>
      </c>
      <c r="AC44" s="121">
        <f>Transport!$A55</f>
        <v>45352</v>
      </c>
      <c r="AD44" s="132" t="str">
        <f t="shared" si="46"/>
        <v>3</v>
      </c>
      <c r="AE44" s="132" t="str">
        <f t="shared" si="47"/>
        <v>24</v>
      </c>
      <c r="AF44" s="132" t="str">
        <f t="shared" si="48"/>
        <v>3/24</v>
      </c>
      <c r="AG44" s="133" t="str">
        <f>AD44&amp;"/"&amp;AE44</f>
        <v>3/24</v>
      </c>
      <c r="AH44" s="73">
        <f ca="1">H8</f>
        <v>1.99</v>
      </c>
      <c r="AI44" s="73">
        <f ca="1">LeastSq!AD42</f>
        <v>134.42730364643612</v>
      </c>
      <c r="AJ44" s="73">
        <f ca="1">LeastSq!$AZ42</f>
        <v>41.450545772794555</v>
      </c>
      <c r="AK44" s="73">
        <f ca="1">LeastSq!$BJ42</f>
        <v>40.537431856600698</v>
      </c>
      <c r="AL44" s="73">
        <f ca="1">Transport!$G55</f>
        <v>34.833327835451641</v>
      </c>
      <c r="AM44" s="73">
        <f t="shared" ca="1" si="50"/>
        <v>1.99</v>
      </c>
      <c r="AP44" s="121">
        <f t="shared" si="18"/>
        <v>45352</v>
      </c>
      <c r="AQ44" s="73">
        <f t="shared" ca="1" si="19"/>
        <v>1.99</v>
      </c>
      <c r="AR44" s="73">
        <f>Transport!$N55</f>
        <v>0</v>
      </c>
      <c r="AS44" s="73">
        <f ca="1">Transport!$J55</f>
        <v>41.849998787231975</v>
      </c>
      <c r="AT44" s="73">
        <f>Transport!$O55</f>
        <v>0</v>
      </c>
      <c r="AU44" s="2">
        <v>36</v>
      </c>
      <c r="AW44" s="121">
        <f>Transport!$A55</f>
        <v>45352</v>
      </c>
      <c r="AX44" s="73">
        <f t="shared" ca="1" si="9"/>
        <v>1.99</v>
      </c>
      <c r="AY44" s="15">
        <f t="shared" ca="1" si="20"/>
        <v>0.68813463873640102</v>
      </c>
      <c r="AZ44" s="98">
        <f t="shared" ca="1" si="21"/>
        <v>1</v>
      </c>
      <c r="BA44" s="128">
        <f ca="1">IF(AZ44&gt;0,36,0)</f>
        <v>36</v>
      </c>
      <c r="BB44" s="128">
        <f t="shared" ca="1" si="22"/>
        <v>1296</v>
      </c>
      <c r="BC44" s="15">
        <f t="shared" ca="1" si="23"/>
        <v>24.772846994510438</v>
      </c>
      <c r="BD44" s="127">
        <f t="shared" ca="1" si="10"/>
        <v>0.64441853176509734</v>
      </c>
      <c r="BE44" s="127">
        <f t="shared" ca="1" si="24"/>
        <v>1.9048790805079876</v>
      </c>
      <c r="BG44" s="121">
        <f>Transport!$A55</f>
        <v>45352</v>
      </c>
      <c r="BH44" s="73">
        <f t="shared" si="25"/>
        <v>0</v>
      </c>
      <c r="BI44" s="15">
        <f t="shared" si="26"/>
        <v>0</v>
      </c>
      <c r="BJ44" s="98">
        <f t="shared" si="27"/>
        <v>0</v>
      </c>
      <c r="BK44" s="128">
        <f>IF(BJ44&gt;0,36,0)</f>
        <v>0</v>
      </c>
      <c r="BL44" s="128">
        <f t="shared" si="28"/>
        <v>0</v>
      </c>
      <c r="BM44" s="15">
        <f t="shared" si="29"/>
        <v>0</v>
      </c>
      <c r="BN44" s="127" t="e">
        <f t="shared" si="11"/>
        <v>#DIV/0!</v>
      </c>
      <c r="BO44" s="127" t="e">
        <f t="shared" si="41"/>
        <v>#DIV/0!</v>
      </c>
      <c r="BQ44" s="121">
        <f>Transport!$A55</f>
        <v>45352</v>
      </c>
      <c r="BR44" s="73">
        <f t="shared" si="43"/>
        <v>0</v>
      </c>
      <c r="BS44" s="15">
        <f t="shared" si="30"/>
        <v>0</v>
      </c>
      <c r="BT44" s="98">
        <f t="shared" si="31"/>
        <v>0</v>
      </c>
      <c r="BU44" s="128">
        <f>IF(BT44&gt;0,36,0)</f>
        <v>0</v>
      </c>
      <c r="BV44" s="128">
        <f t="shared" si="32"/>
        <v>0</v>
      </c>
      <c r="BW44" s="15">
        <f t="shared" si="33"/>
        <v>0</v>
      </c>
      <c r="BX44" s="127" t="e">
        <f t="shared" si="12"/>
        <v>#DIV/0!</v>
      </c>
      <c r="BY44" s="127" t="e">
        <f t="shared" si="13"/>
        <v>#DIV/0!</v>
      </c>
      <c r="CA44" s="121">
        <f>Transport!$A55</f>
        <v>45352</v>
      </c>
      <c r="CB44" s="73">
        <f t="shared" si="44"/>
        <v>0</v>
      </c>
      <c r="CC44" s="15">
        <f t="shared" si="34"/>
        <v>0</v>
      </c>
      <c r="CD44" s="98">
        <f t="shared" si="35"/>
        <v>0</v>
      </c>
      <c r="CE44" s="128">
        <f>IF(CD44&gt;0,36,0)</f>
        <v>0</v>
      </c>
      <c r="CF44" s="128">
        <f t="shared" si="36"/>
        <v>0</v>
      </c>
      <c r="CG44" s="15">
        <f t="shared" si="37"/>
        <v>0</v>
      </c>
      <c r="CH44" s="127" t="e">
        <f t="shared" si="14"/>
        <v>#DIV/0!</v>
      </c>
      <c r="CI44" s="127" t="e">
        <f t="shared" si="45"/>
        <v>#DIV/0!</v>
      </c>
    </row>
    <row r="45" spans="2:87" x14ac:dyDescent="0.2">
      <c r="B45" s="4"/>
      <c r="C45" s="43"/>
      <c r="D45" s="51"/>
      <c r="F45" s="66"/>
      <c r="G45" s="43"/>
      <c r="H45" s="66"/>
      <c r="AW45" s="121" t="s">
        <v>86</v>
      </c>
      <c r="AX45" s="73">
        <f t="shared" ref="AX45:BC45" ca="1" si="51">SUM(AX9:AX44)</f>
        <v>68.55</v>
      </c>
      <c r="AY45" s="15">
        <f t="shared" ca="1" si="51"/>
        <v>23.018523702605542</v>
      </c>
      <c r="AZ45" s="98">
        <f t="shared" ca="1" si="51"/>
        <v>36</v>
      </c>
      <c r="BA45" s="128">
        <f t="shared" ca="1" si="51"/>
        <v>666</v>
      </c>
      <c r="BB45" s="7">
        <f t="shared" ca="1" si="51"/>
        <v>16206</v>
      </c>
      <c r="BC45" s="15">
        <f t="shared" ca="1" si="51"/>
        <v>424.78951842606438</v>
      </c>
      <c r="BD45" s="66"/>
      <c r="BE45" s="120"/>
      <c r="BG45" s="121" t="s">
        <v>86</v>
      </c>
      <c r="BH45" s="73">
        <f t="shared" ref="BH45:BM45" si="52">SUM(BH9:BH44)</f>
        <v>0</v>
      </c>
      <c r="BI45" s="15">
        <f t="shared" si="52"/>
        <v>0</v>
      </c>
      <c r="BJ45" s="98">
        <f t="shared" si="52"/>
        <v>0</v>
      </c>
      <c r="BK45" s="128">
        <f t="shared" si="52"/>
        <v>0</v>
      </c>
      <c r="BL45" s="7">
        <f t="shared" si="52"/>
        <v>0</v>
      </c>
      <c r="BM45" s="15">
        <f t="shared" si="52"/>
        <v>0</v>
      </c>
      <c r="BN45" s="66"/>
      <c r="BO45" s="120"/>
      <c r="BQ45" s="121" t="s">
        <v>86</v>
      </c>
      <c r="BR45" s="73">
        <f t="shared" ref="BR45:BW45" si="53">SUM(BR9:BR44)</f>
        <v>0</v>
      </c>
      <c r="BS45" s="15">
        <f t="shared" si="53"/>
        <v>0</v>
      </c>
      <c r="BT45" s="98">
        <f t="shared" si="53"/>
        <v>0</v>
      </c>
      <c r="BU45" s="128">
        <f t="shared" si="53"/>
        <v>0</v>
      </c>
      <c r="BV45" s="7">
        <f t="shared" si="53"/>
        <v>0</v>
      </c>
      <c r="BW45" s="15">
        <f t="shared" si="53"/>
        <v>0</v>
      </c>
      <c r="BX45" s="66"/>
      <c r="BY45" s="120"/>
      <c r="CA45" s="121" t="s">
        <v>86</v>
      </c>
      <c r="CB45" s="73">
        <f t="shared" ref="CB45:CG45" si="54">SUM(CB9:CB44)</f>
        <v>0</v>
      </c>
      <c r="CC45" s="15">
        <f t="shared" si="54"/>
        <v>0</v>
      </c>
      <c r="CD45" s="98">
        <f t="shared" si="54"/>
        <v>0</v>
      </c>
      <c r="CE45" s="128">
        <f t="shared" si="54"/>
        <v>0</v>
      </c>
      <c r="CF45" s="7">
        <f t="shared" si="54"/>
        <v>0</v>
      </c>
      <c r="CG45" s="15">
        <f t="shared" si="54"/>
        <v>0</v>
      </c>
      <c r="CH45" s="66"/>
      <c r="CI45" s="120"/>
    </row>
    <row r="46" spans="2:87" x14ac:dyDescent="0.2">
      <c r="B46" s="4"/>
      <c r="C46" s="43"/>
      <c r="D46" s="51"/>
      <c r="F46" s="66"/>
      <c r="G46" s="43"/>
      <c r="H46" s="66"/>
      <c r="AW46" s="7" t="s">
        <v>176</v>
      </c>
      <c r="AX46" s="7"/>
      <c r="AY46" s="15">
        <f ca="1">+AY45/AZ45</f>
        <v>0.63940343618348727</v>
      </c>
      <c r="AZ46" s="7"/>
      <c r="BA46" s="7">
        <f ca="1">+BA45/AZ45</f>
        <v>18.5</v>
      </c>
      <c r="BB46" s="7">
        <f ca="1">+BB45/AZ45</f>
        <v>450.16666666666669</v>
      </c>
      <c r="BC46" s="15">
        <f ca="1">+BC45/AZ45</f>
        <v>11.799708845168455</v>
      </c>
      <c r="BG46" s="7" t="s">
        <v>176</v>
      </c>
      <c r="BH46" s="7"/>
      <c r="BI46" s="15" t="e">
        <f>+BI45/BJ45</f>
        <v>#DIV/0!</v>
      </c>
      <c r="BJ46" s="7"/>
      <c r="BK46" s="7" t="e">
        <f>+BK45/BJ45</f>
        <v>#DIV/0!</v>
      </c>
      <c r="BL46" s="7" t="e">
        <f>+BL45/BJ45</f>
        <v>#DIV/0!</v>
      </c>
      <c r="BM46" s="15" t="e">
        <f>+BM45/BJ45</f>
        <v>#DIV/0!</v>
      </c>
      <c r="BQ46" s="7" t="s">
        <v>176</v>
      </c>
      <c r="BR46" s="7"/>
      <c r="BS46" s="15" t="e">
        <f>+BS45/BT45</f>
        <v>#DIV/0!</v>
      </c>
      <c r="BT46" s="7"/>
      <c r="BU46" s="7" t="e">
        <f>+BU45/BT45</f>
        <v>#DIV/0!</v>
      </c>
      <c r="BV46" s="7" t="e">
        <f>+BV45/BT45</f>
        <v>#DIV/0!</v>
      </c>
      <c r="BW46" s="15" t="e">
        <f>+BW45/BT45</f>
        <v>#DIV/0!</v>
      </c>
      <c r="CA46" s="7" t="s">
        <v>176</v>
      </c>
      <c r="CB46" s="7"/>
      <c r="CC46" s="15" t="e">
        <f>+CC45/CD45</f>
        <v>#DIV/0!</v>
      </c>
      <c r="CD46" s="7"/>
      <c r="CE46" s="7" t="e">
        <f>+CE45/CD45</f>
        <v>#DIV/0!</v>
      </c>
      <c r="CF46" s="7" t="e">
        <f>+CF45/CD45</f>
        <v>#DIV/0!</v>
      </c>
      <c r="CG46" s="15" t="e">
        <f>+CG45/CD45</f>
        <v>#DIV/0!</v>
      </c>
    </row>
    <row r="47" spans="2:87" x14ac:dyDescent="0.2">
      <c r="B47" s="4"/>
      <c r="C47" s="43"/>
      <c r="D47" s="51"/>
      <c r="F47" s="66"/>
      <c r="G47" s="43"/>
      <c r="H47" s="66"/>
    </row>
    <row r="48" spans="2:87" x14ac:dyDescent="0.2">
      <c r="B48" s="4"/>
      <c r="C48" s="43"/>
      <c r="D48" s="51"/>
      <c r="F48" s="66"/>
      <c r="G48" s="43"/>
      <c r="H48" s="66"/>
      <c r="AW48" t="s">
        <v>205</v>
      </c>
      <c r="AX48">
        <f ca="1">AZ45</f>
        <v>36</v>
      </c>
      <c r="BG48" t="s">
        <v>205</v>
      </c>
      <c r="BH48">
        <f>BJ45</f>
        <v>0</v>
      </c>
      <c r="BQ48" t="s">
        <v>205</v>
      </c>
      <c r="BR48">
        <f>BT45</f>
        <v>0</v>
      </c>
      <c r="CA48" t="s">
        <v>205</v>
      </c>
      <c r="CB48">
        <f>CD45</f>
        <v>0</v>
      </c>
    </row>
    <row r="49" spans="2:82" x14ac:dyDescent="0.2">
      <c r="B49" s="4"/>
      <c r="C49" s="43"/>
      <c r="D49" s="51"/>
      <c r="F49" s="66"/>
      <c r="G49" s="43"/>
      <c r="H49" s="66"/>
      <c r="AW49" t="s">
        <v>254</v>
      </c>
      <c r="AX49" s="66">
        <f ca="1">AY45</f>
        <v>23.018523702605542</v>
      </c>
      <c r="BG49" t="s">
        <v>254</v>
      </c>
      <c r="BH49" s="66">
        <f>BI45</f>
        <v>0</v>
      </c>
      <c r="BQ49" t="s">
        <v>254</v>
      </c>
      <c r="BR49" s="66">
        <f>BS45</f>
        <v>0</v>
      </c>
      <c r="CA49" t="s">
        <v>254</v>
      </c>
      <c r="CB49" s="66">
        <f>CC45</f>
        <v>0</v>
      </c>
    </row>
    <row r="50" spans="2:82" x14ac:dyDescent="0.2">
      <c r="B50" s="4"/>
      <c r="C50" s="43"/>
      <c r="D50" s="51"/>
      <c r="F50" s="66"/>
      <c r="G50" s="43"/>
      <c r="H50" s="66"/>
      <c r="AW50" t="s">
        <v>242</v>
      </c>
      <c r="AZ50" t="s">
        <v>243</v>
      </c>
      <c r="BG50" t="s">
        <v>242</v>
      </c>
      <c r="BJ50" t="s">
        <v>243</v>
      </c>
      <c r="BQ50" t="s">
        <v>242</v>
      </c>
      <c r="BT50" t="s">
        <v>243</v>
      </c>
      <c r="CA50" t="s">
        <v>242</v>
      </c>
      <c r="CD50" t="s">
        <v>243</v>
      </c>
    </row>
    <row r="51" spans="2:82" x14ac:dyDescent="0.2">
      <c r="AW51" s="1" t="s">
        <v>255</v>
      </c>
      <c r="AX51" s="59">
        <f ca="1">+BC46</f>
        <v>11.799708845168455</v>
      </c>
      <c r="AZ51" t="s">
        <v>244</v>
      </c>
      <c r="BG51" s="1" t="s">
        <v>255</v>
      </c>
      <c r="BH51" s="59" t="e">
        <f>+BM46</f>
        <v>#DIV/0!</v>
      </c>
      <c r="BJ51" t="s">
        <v>244</v>
      </c>
      <c r="BQ51" s="1" t="s">
        <v>255</v>
      </c>
      <c r="BR51" s="59" t="e">
        <f>+BW46</f>
        <v>#DIV/0!</v>
      </c>
      <c r="BT51" t="s">
        <v>244</v>
      </c>
      <c r="CA51" s="1" t="s">
        <v>255</v>
      </c>
      <c r="CB51" s="59" t="e">
        <f>+CG46</f>
        <v>#DIV/0!</v>
      </c>
      <c r="CD51" t="s">
        <v>244</v>
      </c>
    </row>
    <row r="52" spans="2:82" x14ac:dyDescent="0.2">
      <c r="AW52" s="28" t="s">
        <v>245</v>
      </c>
      <c r="AX52" s="59">
        <f ca="1">+BA46</f>
        <v>18.5</v>
      </c>
      <c r="BG52" s="28" t="s">
        <v>245</v>
      </c>
      <c r="BH52" s="59" t="e">
        <f>+BK46</f>
        <v>#DIV/0!</v>
      </c>
      <c r="BQ52" s="28" t="s">
        <v>245</v>
      </c>
      <c r="BR52" s="59" t="e">
        <f>+BU46</f>
        <v>#DIV/0!</v>
      </c>
      <c r="CA52" s="28" t="s">
        <v>245</v>
      </c>
      <c r="CB52" s="59" t="e">
        <f>+CE46</f>
        <v>#DIV/0!</v>
      </c>
    </row>
    <row r="53" spans="2:82" x14ac:dyDescent="0.2">
      <c r="AW53" s="1" t="s">
        <v>256</v>
      </c>
      <c r="AX53" s="59">
        <f ca="1">AX49/AX48</f>
        <v>0.63940343618348727</v>
      </c>
      <c r="BG53" s="1" t="s">
        <v>256</v>
      </c>
      <c r="BH53" s="59" t="e">
        <f>BH49/BH48</f>
        <v>#DIV/0!</v>
      </c>
      <c r="BQ53" s="1" t="s">
        <v>256</v>
      </c>
      <c r="BR53" s="59" t="e">
        <f>BR49/BR48</f>
        <v>#DIV/0!</v>
      </c>
      <c r="CA53" s="1" t="s">
        <v>256</v>
      </c>
      <c r="CB53" s="59" t="e">
        <f>CB49/CB48</f>
        <v>#DIV/0!</v>
      </c>
    </row>
    <row r="54" spans="2:82" x14ac:dyDescent="0.2">
      <c r="AW54" s="1" t="s">
        <v>257</v>
      </c>
      <c r="AX54" s="59">
        <f ca="1">+BB46</f>
        <v>450.16666666666669</v>
      </c>
      <c r="BG54" s="1" t="s">
        <v>257</v>
      </c>
      <c r="BH54" s="59" t="e">
        <f>+BL46</f>
        <v>#DIV/0!</v>
      </c>
      <c r="BQ54" s="1" t="s">
        <v>257</v>
      </c>
      <c r="BR54" s="59" t="e">
        <f>+BV46</f>
        <v>#DIV/0!</v>
      </c>
      <c r="CA54" s="1" t="s">
        <v>257</v>
      </c>
      <c r="CB54" s="59" t="e">
        <f>+CF46</f>
        <v>#DIV/0!</v>
      </c>
    </row>
    <row r="55" spans="2:82" x14ac:dyDescent="0.2">
      <c r="AW55" s="28" t="s">
        <v>246</v>
      </c>
      <c r="AX55" s="59">
        <f ca="1">AX52^2</f>
        <v>342.25</v>
      </c>
      <c r="BG55" s="28" t="s">
        <v>246</v>
      </c>
      <c r="BH55" s="59" t="e">
        <f>BH52^2</f>
        <v>#DIV/0!</v>
      </c>
      <c r="BQ55" s="28" t="s">
        <v>246</v>
      </c>
      <c r="BR55" s="59" t="e">
        <f>BR52^2</f>
        <v>#DIV/0!</v>
      </c>
      <c r="CA55" s="28" t="s">
        <v>246</v>
      </c>
      <c r="CB55" s="59" t="e">
        <f>CB52^2</f>
        <v>#DIV/0!</v>
      </c>
    </row>
    <row r="56" spans="2:82" x14ac:dyDescent="0.2">
      <c r="AW56" s="28" t="s">
        <v>247</v>
      </c>
      <c r="AX56" s="66">
        <f ca="1">(AX51-AX53*AX52)/(AX54-AX55)</f>
        <v>-2.7108624765459673E-4</v>
      </c>
      <c r="BG56" s="28" t="s">
        <v>247</v>
      </c>
      <c r="BH56" s="66" t="e">
        <f>(BH51-BH53*BH52)/(BH54-BH55)</f>
        <v>#DIV/0!</v>
      </c>
      <c r="BQ56" s="28" t="s">
        <v>247</v>
      </c>
      <c r="BR56" s="66" t="e">
        <f>(BR51-BR53*BR52)/(BR54-BR55)</f>
        <v>#DIV/0!</v>
      </c>
      <c r="CA56" s="28" t="s">
        <v>247</v>
      </c>
      <c r="CB56" s="66" t="e">
        <f>(CB51-CB53*CB52)/(CB54-CB55)</f>
        <v>#DIV/0!</v>
      </c>
    </row>
    <row r="57" spans="2:82" x14ac:dyDescent="0.2">
      <c r="AW57" s="28" t="s">
        <v>248</v>
      </c>
      <c r="AX57" s="66">
        <f ca="1">AX53-AX56*AX52</f>
        <v>0.64441853176509734</v>
      </c>
      <c r="BG57" s="28" t="s">
        <v>248</v>
      </c>
      <c r="BH57" s="66" t="e">
        <f>BH53-BH56*BH52</f>
        <v>#DIV/0!</v>
      </c>
      <c r="BQ57" s="28" t="s">
        <v>248</v>
      </c>
      <c r="BR57" s="66" t="e">
        <f>BR53-BR56*BR52</f>
        <v>#DIV/0!</v>
      </c>
      <c r="CA57" s="28" t="s">
        <v>248</v>
      </c>
      <c r="CB57" s="66" t="e">
        <f>CB53-CB56*CB52</f>
        <v>#DIV/0!</v>
      </c>
    </row>
    <row r="58" spans="2:82" x14ac:dyDescent="0.2">
      <c r="AW58" t="s">
        <v>249</v>
      </c>
      <c r="AX58" s="126">
        <f ca="1">EXP(12*AX56+AX57)/EXP(AX57)-1</f>
        <v>-3.2477495863257877E-3</v>
      </c>
      <c r="BG58" t="s">
        <v>249</v>
      </c>
      <c r="BH58" s="126" t="e">
        <f>EXP(12*BH56+BH57)/EXP(BH57)-1</f>
        <v>#DIV/0!</v>
      </c>
      <c r="BQ58" t="s">
        <v>249</v>
      </c>
      <c r="BR58" s="126" t="e">
        <f>EXP(12*BR56+BR57)/EXP(BR57)-1</f>
        <v>#DIV/0!</v>
      </c>
      <c r="CA58" t="s">
        <v>249</v>
      </c>
      <c r="CB58" s="126" t="e">
        <f>EXP(12*CB56+CB57)/EXP(CB57)-1</f>
        <v>#DIV/0!</v>
      </c>
    </row>
    <row r="59" spans="2:82" x14ac:dyDescent="0.2">
      <c r="AW59" t="s">
        <v>250</v>
      </c>
      <c r="AX59" t="str">
        <f ca="1">FIXED(AX58*100,1,TRUE)</f>
        <v>-0.3</v>
      </c>
      <c r="BG59" t="s">
        <v>250</v>
      </c>
      <c r="BH59" t="e">
        <f>FIXED(BH58*100,1,TRUE)</f>
        <v>#DIV/0!</v>
      </c>
      <c r="BQ59" t="s">
        <v>250</v>
      </c>
      <c r="BR59" t="e">
        <f>FIXED(BR58*100,1,TRUE)</f>
        <v>#DIV/0!</v>
      </c>
      <c r="CA59" t="s">
        <v>250</v>
      </c>
      <c r="CB59" t="e">
        <f>FIXED(CB58*100,1,TRUE)</f>
        <v>#DIV/0!</v>
      </c>
    </row>
    <row r="61" spans="2:82" x14ac:dyDescent="0.2">
      <c r="BC61" s="66"/>
    </row>
    <row r="62" spans="2:82" x14ac:dyDescent="0.2">
      <c r="BC62" s="66"/>
    </row>
    <row r="63" spans="2:82" x14ac:dyDescent="0.2">
      <c r="BC63" s="66"/>
    </row>
    <row r="65" spans="47:87" x14ac:dyDescent="0.2">
      <c r="AW65" s="130" t="s">
        <v>321</v>
      </c>
      <c r="BG65" s="130" t="s">
        <v>258</v>
      </c>
      <c r="BQ65" s="130" t="s">
        <v>264</v>
      </c>
      <c r="CA65" s="130" t="s">
        <v>265</v>
      </c>
    </row>
    <row r="66" spans="47:87" x14ac:dyDescent="0.2">
      <c r="AW66" s="129" t="s">
        <v>153</v>
      </c>
      <c r="BG66" s="129" t="s">
        <v>153</v>
      </c>
      <c r="BQ66" s="129" t="s">
        <v>153</v>
      </c>
      <c r="CA66" s="129" t="s">
        <v>153</v>
      </c>
    </row>
    <row r="67" spans="47:87" x14ac:dyDescent="0.2">
      <c r="BB67" s="2"/>
      <c r="BC67" s="2"/>
      <c r="BD67" s="2" t="s">
        <v>253</v>
      </c>
      <c r="BE67" s="2" t="s">
        <v>251</v>
      </c>
      <c r="BL67" s="2"/>
      <c r="BM67" s="2"/>
      <c r="BN67" s="2" t="s">
        <v>253</v>
      </c>
      <c r="BO67" s="2" t="s">
        <v>251</v>
      </c>
      <c r="BV67" s="2"/>
      <c r="BW67" s="2"/>
      <c r="BX67" s="2" t="s">
        <v>253</v>
      </c>
      <c r="BY67" s="2" t="s">
        <v>251</v>
      </c>
      <c r="CF67" s="2"/>
      <c r="CG67" s="2"/>
      <c r="CH67" s="2" t="s">
        <v>253</v>
      </c>
      <c r="CI67" s="2" t="s">
        <v>251</v>
      </c>
    </row>
    <row r="68" spans="47:87" x14ac:dyDescent="0.2">
      <c r="AW68" s="2"/>
      <c r="AX68" s="18" t="s">
        <v>230</v>
      </c>
      <c r="AY68" s="2" t="s">
        <v>238</v>
      </c>
      <c r="BB68" s="2"/>
      <c r="BC68" s="2"/>
      <c r="BD68" s="2" t="s">
        <v>251</v>
      </c>
      <c r="BE68" s="2" t="s">
        <v>252</v>
      </c>
      <c r="BG68" s="2"/>
      <c r="BH68" s="18" t="s">
        <v>230</v>
      </c>
      <c r="BI68" s="2" t="s">
        <v>238</v>
      </c>
      <c r="BL68" s="2"/>
      <c r="BM68" s="2"/>
      <c r="BN68" s="2" t="s">
        <v>251</v>
      </c>
      <c r="BO68" s="2" t="s">
        <v>252</v>
      </c>
      <c r="BQ68" s="2"/>
      <c r="BR68" s="18" t="s">
        <v>230</v>
      </c>
      <c r="BS68" s="2" t="s">
        <v>238</v>
      </c>
      <c r="BV68" s="2"/>
      <c r="BW68" s="2"/>
      <c r="BX68" s="2" t="s">
        <v>251</v>
      </c>
      <c r="BY68" s="2" t="s">
        <v>252</v>
      </c>
      <c r="CA68" s="2"/>
      <c r="CB68" s="18" t="s">
        <v>230</v>
      </c>
      <c r="CC68" s="2" t="s">
        <v>238</v>
      </c>
      <c r="CF68" s="2"/>
      <c r="CG68" s="2"/>
      <c r="CH68" s="2" t="s">
        <v>251</v>
      </c>
      <c r="CI68" s="2" t="s">
        <v>252</v>
      </c>
    </row>
    <row r="69" spans="47:87" x14ac:dyDescent="0.2">
      <c r="AU69" s="8" t="s">
        <v>259</v>
      </c>
      <c r="AW69" s="38" t="s">
        <v>41</v>
      </c>
      <c r="AX69" s="8" t="s">
        <v>101</v>
      </c>
      <c r="AY69" s="8" t="s">
        <v>222</v>
      </c>
      <c r="AZ69" s="8" t="s">
        <v>205</v>
      </c>
      <c r="BA69" s="8" t="s">
        <v>239</v>
      </c>
      <c r="BB69" s="8" t="s">
        <v>240</v>
      </c>
      <c r="BC69" s="8" t="s">
        <v>241</v>
      </c>
      <c r="BD69" s="8" t="s">
        <v>252</v>
      </c>
      <c r="BE69" s="8" t="s">
        <v>101</v>
      </c>
      <c r="BG69" s="38" t="s">
        <v>41</v>
      </c>
      <c r="BH69" s="8" t="s">
        <v>101</v>
      </c>
      <c r="BI69" s="8" t="s">
        <v>222</v>
      </c>
      <c r="BJ69" s="8" t="s">
        <v>205</v>
      </c>
      <c r="BK69" s="8" t="s">
        <v>239</v>
      </c>
      <c r="BL69" s="8" t="s">
        <v>240</v>
      </c>
      <c r="BM69" s="8" t="s">
        <v>241</v>
      </c>
      <c r="BN69" s="8" t="s">
        <v>252</v>
      </c>
      <c r="BO69" s="8" t="s">
        <v>101</v>
      </c>
      <c r="BQ69" s="38" t="s">
        <v>41</v>
      </c>
      <c r="BR69" s="8" t="s">
        <v>101</v>
      </c>
      <c r="BS69" s="8" t="s">
        <v>222</v>
      </c>
      <c r="BT69" s="8" t="s">
        <v>205</v>
      </c>
      <c r="BU69" s="8" t="s">
        <v>239</v>
      </c>
      <c r="BV69" s="8" t="s">
        <v>240</v>
      </c>
      <c r="BW69" s="8" t="s">
        <v>241</v>
      </c>
      <c r="BX69" s="8" t="s">
        <v>252</v>
      </c>
      <c r="BY69" s="8" t="s">
        <v>101</v>
      </c>
      <c r="CA69" s="38" t="s">
        <v>41</v>
      </c>
      <c r="CB69" s="8" t="s">
        <v>101</v>
      </c>
      <c r="CC69" s="8" t="s">
        <v>222</v>
      </c>
      <c r="CD69" s="8" t="s">
        <v>205</v>
      </c>
      <c r="CE69" s="8" t="s">
        <v>239</v>
      </c>
      <c r="CF69" s="8" t="s">
        <v>240</v>
      </c>
      <c r="CG69" s="8" t="s">
        <v>241</v>
      </c>
      <c r="CH69" s="8" t="s">
        <v>252</v>
      </c>
      <c r="CI69" s="8" t="s">
        <v>101</v>
      </c>
    </row>
    <row r="71" spans="47:87" x14ac:dyDescent="0.2">
      <c r="AU71" s="2">
        <v>1</v>
      </c>
      <c r="AW71" s="121">
        <f>+AW9</f>
        <v>44287</v>
      </c>
      <c r="AX71" s="73">
        <f>+AS9</f>
        <v>35.869891317541402</v>
      </c>
      <c r="AY71" s="15">
        <f>IF(AX71=0,0,LN(AX71))</f>
        <v>3.5798982616411177</v>
      </c>
      <c r="AZ71" s="98">
        <f>IF(AY71&gt;0,1,0)</f>
        <v>1</v>
      </c>
      <c r="BA71" s="128">
        <f>IF(AZ71&gt;0,1,0)</f>
        <v>1</v>
      </c>
      <c r="BB71" s="128">
        <f>BA71^2</f>
        <v>1</v>
      </c>
      <c r="BC71" s="15">
        <f>BA71*AY71</f>
        <v>3.5798982616411177</v>
      </c>
      <c r="BD71" s="127">
        <f t="shared" ref="BD71:BD106" ca="1" si="55">AX$118*$M69+AX$119</f>
        <v>3.6983901224695162</v>
      </c>
      <c r="BE71" s="127">
        <f ca="1">EXP(BD71)</f>
        <v>40.382241539248106</v>
      </c>
      <c r="BG71" s="121">
        <f>+AW71</f>
        <v>44287</v>
      </c>
      <c r="BH71" s="73">
        <f>+AT9</f>
        <v>0</v>
      </c>
      <c r="BI71" s="15">
        <f>IF(BH71=0,0,LN(BH71))</f>
        <v>0</v>
      </c>
      <c r="BJ71" s="98">
        <f>IF(BI71&gt;0,1,0)</f>
        <v>0</v>
      </c>
      <c r="BK71" s="128">
        <f>IF(BJ71&gt;0,1,0)</f>
        <v>0</v>
      </c>
      <c r="BL71" s="128">
        <f>BK71^2</f>
        <v>0</v>
      </c>
      <c r="BM71" s="15">
        <f>BK71*BI71</f>
        <v>0</v>
      </c>
      <c r="BN71" s="127">
        <f t="shared" ref="BN71:BN106" ca="1" si="56">BH$118*$M69+BH$119</f>
        <v>3.7184763673387886</v>
      </c>
      <c r="BO71" s="127">
        <f ca="1">EXP(BN71)</f>
        <v>41.201570202433075</v>
      </c>
      <c r="BQ71" s="121">
        <f>+AW71</f>
        <v>44287</v>
      </c>
      <c r="BR71" s="131">
        <v>0</v>
      </c>
      <c r="BS71" s="15">
        <f>IF(BR71=0,0,LN(BR71))</f>
        <v>0</v>
      </c>
      <c r="BT71" s="98">
        <f>IF(BS71&gt;0,1,0)</f>
        <v>0</v>
      </c>
      <c r="BU71" s="128">
        <f>IF(BT71&gt;0,1,0)</f>
        <v>0</v>
      </c>
      <c r="BV71" s="128">
        <f>BU71^2</f>
        <v>0</v>
      </c>
      <c r="BW71" s="15">
        <f>BU71*BS71</f>
        <v>0</v>
      </c>
      <c r="BX71" s="127">
        <f t="shared" ref="BX71:BX106" ca="1" si="57">BR$118*$M69+BR$119</f>
        <v>3.6571754156960279</v>
      </c>
      <c r="BY71" s="127">
        <f ca="1">EXP(BX71)</f>
        <v>38.75173060964017</v>
      </c>
      <c r="CA71" s="121">
        <f>+AW71</f>
        <v>44287</v>
      </c>
      <c r="CB71" s="131">
        <v>0</v>
      </c>
      <c r="CC71" s="15">
        <f>IF(CB71=0,0,LN(CB71))</f>
        <v>0</v>
      </c>
      <c r="CD71" s="98">
        <f>IF(CC71&gt;0,1,0)</f>
        <v>0</v>
      </c>
      <c r="CE71" s="128">
        <f>IF(CD71&gt;0,1,0)</f>
        <v>0</v>
      </c>
      <c r="CF71" s="128">
        <f>CE71^2</f>
        <v>0</v>
      </c>
      <c r="CG71" s="15">
        <f>CE71*CC71</f>
        <v>0</v>
      </c>
      <c r="CH71" s="127">
        <f t="shared" ref="CH71:CH106" ca="1" si="58">CB$118*$M69+CB$119</f>
        <v>3.6052526096059059</v>
      </c>
      <c r="CI71" s="127">
        <f ca="1">EXP(CH71)</f>
        <v>36.790976437556019</v>
      </c>
    </row>
    <row r="72" spans="47:87" x14ac:dyDescent="0.2">
      <c r="AU72" s="2">
        <v>2</v>
      </c>
      <c r="AW72" s="121">
        <f t="shared" ref="AW72:AW106" si="59">+AW10</f>
        <v>44317</v>
      </c>
      <c r="AX72" s="73">
        <f t="shared" ref="AX72:AX106" si="60">+AS10</f>
        <v>36.591966235234068</v>
      </c>
      <c r="AY72" s="15">
        <f t="shared" ref="AY72:AY106" si="61">IF(AX72=0,0,LN(AX72))</f>
        <v>3.5998287145437202</v>
      </c>
      <c r="AZ72" s="98">
        <f t="shared" ref="AZ72:AZ106" si="62">IF(AY72&gt;0,1,0)</f>
        <v>1</v>
      </c>
      <c r="BA72" s="128">
        <f>IF(AZ72&gt;0,2,0)</f>
        <v>2</v>
      </c>
      <c r="BB72" s="128">
        <f t="shared" ref="BB72:BB106" si="63">BA72^2</f>
        <v>4</v>
      </c>
      <c r="BC72" s="15">
        <f t="shared" ref="BC72:BC106" si="64">BA72*AY72</f>
        <v>7.1996574290874404</v>
      </c>
      <c r="BD72" s="127">
        <f t="shared" ca="1" si="55"/>
        <v>3.6983901224695162</v>
      </c>
      <c r="BE72" s="127">
        <f ca="1">EXP(BD72)</f>
        <v>40.382241539248106</v>
      </c>
      <c r="BG72" s="121">
        <f t="shared" ref="BG72:BG106" si="65">+AW72</f>
        <v>44317</v>
      </c>
      <c r="BH72" s="73">
        <f t="shared" ref="BH72:BH106" si="66">+AT10</f>
        <v>37.084129648463552</v>
      </c>
      <c r="BI72" s="15">
        <f t="shared" ref="BI72:BI106" si="67">IF(BH72=0,0,LN(BH72))</f>
        <v>3.6131891058141168</v>
      </c>
      <c r="BJ72" s="98">
        <f t="shared" ref="BJ72:BJ106" si="68">IF(BI72&gt;0,1,0)</f>
        <v>1</v>
      </c>
      <c r="BK72" s="128">
        <f>IF(BJ72&gt;0,2,0)</f>
        <v>2</v>
      </c>
      <c r="BL72" s="128">
        <f t="shared" ref="BL72:BL106" si="69">BK72^2</f>
        <v>4</v>
      </c>
      <c r="BM72" s="15">
        <f t="shared" ref="BM72:BM106" si="70">BK72*BI72</f>
        <v>7.2263782116282336</v>
      </c>
      <c r="BN72" s="127">
        <f t="shared" ca="1" si="56"/>
        <v>3.7184763673387886</v>
      </c>
      <c r="BO72" s="127">
        <f ca="1">EXP(BN72)</f>
        <v>41.201570202433075</v>
      </c>
      <c r="BQ72" s="121">
        <f t="shared" ref="BQ72:BQ106" si="71">+AW72</f>
        <v>44317</v>
      </c>
      <c r="BR72" s="131">
        <v>0</v>
      </c>
      <c r="BS72" s="15">
        <f t="shared" ref="BS72:BS106" si="72">IF(BR72=0,0,LN(BR72))</f>
        <v>0</v>
      </c>
      <c r="BT72" s="98">
        <f t="shared" ref="BT72:BT106" si="73">IF(BS72&gt;0,1,0)</f>
        <v>0</v>
      </c>
      <c r="BU72" s="128">
        <f>IF(BT72&gt;0,2,0)</f>
        <v>0</v>
      </c>
      <c r="BV72" s="128">
        <f t="shared" ref="BV72:BV106" si="74">BU72^2</f>
        <v>0</v>
      </c>
      <c r="BW72" s="15">
        <f t="shared" ref="BW72:BW106" si="75">BU72*BS72</f>
        <v>0</v>
      </c>
      <c r="BX72" s="127">
        <f t="shared" ca="1" si="57"/>
        <v>3.6571754156960279</v>
      </c>
      <c r="BY72" s="127">
        <f ca="1">EXP(BX72)</f>
        <v>38.75173060964017</v>
      </c>
      <c r="CA72" s="121">
        <f t="shared" ref="CA72:CA106" si="76">+AW72</f>
        <v>44317</v>
      </c>
      <c r="CB72" s="131">
        <v>0</v>
      </c>
      <c r="CC72" s="15">
        <f t="shared" ref="CC72:CC106" si="77">IF(CB72=0,0,LN(CB72))</f>
        <v>0</v>
      </c>
      <c r="CD72" s="98">
        <f t="shared" ref="CD72:CD106" si="78">IF(CC72&gt;0,1,0)</f>
        <v>0</v>
      </c>
      <c r="CE72" s="128">
        <f>IF(CD72&gt;0,2,0)</f>
        <v>0</v>
      </c>
      <c r="CF72" s="128">
        <f t="shared" ref="CF72:CF106" si="79">CE72^2</f>
        <v>0</v>
      </c>
      <c r="CG72" s="15">
        <f t="shared" ref="CG72:CG106" si="80">CE72*CC72</f>
        <v>0</v>
      </c>
      <c r="CH72" s="127">
        <f t="shared" ca="1" si="58"/>
        <v>3.6052526096059059</v>
      </c>
      <c r="CI72" s="127">
        <f ca="1">EXP(CH72)</f>
        <v>36.790976437556019</v>
      </c>
    </row>
    <row r="73" spans="47:87" x14ac:dyDescent="0.2">
      <c r="AU73" s="2">
        <v>3</v>
      </c>
      <c r="AW73" s="121">
        <f t="shared" si="59"/>
        <v>44348</v>
      </c>
      <c r="AX73" s="73">
        <f t="shared" si="60"/>
        <v>38.790531392615186</v>
      </c>
      <c r="AY73" s="15">
        <f t="shared" si="61"/>
        <v>3.6581761805747268</v>
      </c>
      <c r="AZ73" s="98">
        <f t="shared" si="62"/>
        <v>1</v>
      </c>
      <c r="BA73" s="128">
        <f>IF(AZ73&gt;0,3,0)</f>
        <v>3</v>
      </c>
      <c r="BB73" s="128">
        <f t="shared" si="63"/>
        <v>9</v>
      </c>
      <c r="BC73" s="15">
        <f t="shared" si="64"/>
        <v>10.97452854172418</v>
      </c>
      <c r="BD73" s="127">
        <f t="shared" ca="1" si="55"/>
        <v>3.6983901224695162</v>
      </c>
      <c r="BE73" s="127">
        <f ca="1">EXP(BD73)</f>
        <v>40.382241539248106</v>
      </c>
      <c r="BG73" s="121">
        <f t="shared" si="65"/>
        <v>44348</v>
      </c>
      <c r="BH73" s="73">
        <f t="shared" si="66"/>
        <v>38.577628749314165</v>
      </c>
      <c r="BI73" s="15">
        <f t="shared" si="67"/>
        <v>3.6526725423775011</v>
      </c>
      <c r="BJ73" s="98">
        <f t="shared" si="68"/>
        <v>1</v>
      </c>
      <c r="BK73" s="128">
        <f>IF(BJ73&gt;0,3,0)</f>
        <v>3</v>
      </c>
      <c r="BL73" s="128">
        <f t="shared" si="69"/>
        <v>9</v>
      </c>
      <c r="BM73" s="15">
        <f t="shared" si="70"/>
        <v>10.958017627132502</v>
      </c>
      <c r="BN73" s="127">
        <f t="shared" ca="1" si="56"/>
        <v>3.7184763673387886</v>
      </c>
      <c r="BO73" s="127">
        <f ca="1">EXP(BN73)</f>
        <v>41.201570202433075</v>
      </c>
      <c r="BQ73" s="121">
        <f t="shared" si="71"/>
        <v>44348</v>
      </c>
      <c r="BR73" s="131">
        <v>0</v>
      </c>
      <c r="BS73" s="15">
        <f t="shared" si="72"/>
        <v>0</v>
      </c>
      <c r="BT73" s="98">
        <f t="shared" si="73"/>
        <v>0</v>
      </c>
      <c r="BU73" s="128">
        <f>IF(BT73&gt;0,3,0)</f>
        <v>0</v>
      </c>
      <c r="BV73" s="128">
        <f t="shared" si="74"/>
        <v>0</v>
      </c>
      <c r="BW73" s="15">
        <f t="shared" si="75"/>
        <v>0</v>
      </c>
      <c r="BX73" s="127">
        <f t="shared" ca="1" si="57"/>
        <v>3.6571754156960279</v>
      </c>
      <c r="BY73" s="127">
        <f ca="1">EXP(BX73)</f>
        <v>38.75173060964017</v>
      </c>
      <c r="CA73" s="121">
        <f t="shared" si="76"/>
        <v>44348</v>
      </c>
      <c r="CB73" s="131">
        <v>0</v>
      </c>
      <c r="CC73" s="15">
        <f t="shared" si="77"/>
        <v>0</v>
      </c>
      <c r="CD73" s="98">
        <f t="shared" si="78"/>
        <v>0</v>
      </c>
      <c r="CE73" s="128">
        <f>IF(CD73&gt;0,3,0)</f>
        <v>0</v>
      </c>
      <c r="CF73" s="128">
        <f t="shared" si="79"/>
        <v>0</v>
      </c>
      <c r="CG73" s="15">
        <f t="shared" si="80"/>
        <v>0</v>
      </c>
      <c r="CH73" s="127">
        <f t="shared" ca="1" si="58"/>
        <v>3.6052526096059059</v>
      </c>
      <c r="CI73" s="127">
        <f ca="1">EXP(CH73)</f>
        <v>36.790976437556019</v>
      </c>
    </row>
    <row r="74" spans="47:87" x14ac:dyDescent="0.2">
      <c r="AU74" s="2">
        <v>4</v>
      </c>
      <c r="AW74" s="121">
        <f t="shared" si="59"/>
        <v>44378</v>
      </c>
      <c r="AX74" s="73">
        <f t="shared" si="60"/>
        <v>40.350388620093234</v>
      </c>
      <c r="AY74" s="15">
        <f t="shared" si="61"/>
        <v>3.6976010258986545</v>
      </c>
      <c r="AZ74" s="98">
        <f t="shared" si="62"/>
        <v>1</v>
      </c>
      <c r="BA74" s="128">
        <f>IF(AZ74&gt;0,4,0)</f>
        <v>4</v>
      </c>
      <c r="BB74" s="128">
        <f t="shared" si="63"/>
        <v>16</v>
      </c>
      <c r="BC74" s="15">
        <f t="shared" si="64"/>
        <v>14.790404103594618</v>
      </c>
      <c r="BD74" s="127">
        <f t="shared" ca="1" si="55"/>
        <v>3.6983901224695162</v>
      </c>
      <c r="BE74" s="127">
        <f ca="1">EXP(BD74)</f>
        <v>40.382241539248106</v>
      </c>
      <c r="BG74" s="121">
        <f t="shared" si="65"/>
        <v>44378</v>
      </c>
      <c r="BH74" s="73">
        <f t="shared" si="66"/>
        <v>42.313181658837323</v>
      </c>
      <c r="BI74" s="15">
        <f t="shared" si="67"/>
        <v>3.7450986606481886</v>
      </c>
      <c r="BJ74" s="98">
        <f t="shared" si="68"/>
        <v>1</v>
      </c>
      <c r="BK74" s="128">
        <f>IF(BJ74&gt;0,4,0)</f>
        <v>4</v>
      </c>
      <c r="BL74" s="128">
        <f t="shared" si="69"/>
        <v>16</v>
      </c>
      <c r="BM74" s="15">
        <f t="shared" si="70"/>
        <v>14.980394642592755</v>
      </c>
      <c r="BN74" s="127">
        <f t="shared" ca="1" si="56"/>
        <v>3.7184763673387886</v>
      </c>
      <c r="BO74" s="127">
        <f ca="1">EXP(BN74)</f>
        <v>41.201570202433075</v>
      </c>
      <c r="BQ74" s="121">
        <f t="shared" si="71"/>
        <v>44378</v>
      </c>
      <c r="BR74" s="131">
        <v>0</v>
      </c>
      <c r="BS74" s="15">
        <f t="shared" si="72"/>
        <v>0</v>
      </c>
      <c r="BT74" s="98">
        <f t="shared" si="73"/>
        <v>0</v>
      </c>
      <c r="BU74" s="128">
        <f>IF(BT74&gt;0,4,0)</f>
        <v>0</v>
      </c>
      <c r="BV74" s="128">
        <f t="shared" si="74"/>
        <v>0</v>
      </c>
      <c r="BW74" s="15">
        <f t="shared" si="75"/>
        <v>0</v>
      </c>
      <c r="BX74" s="127">
        <f t="shared" ca="1" si="57"/>
        <v>3.6571754156960279</v>
      </c>
      <c r="BY74" s="127">
        <f ca="1">EXP(BX74)</f>
        <v>38.75173060964017</v>
      </c>
      <c r="CA74" s="121">
        <f t="shared" si="76"/>
        <v>44378</v>
      </c>
      <c r="CB74" s="131">
        <v>0</v>
      </c>
      <c r="CC74" s="15">
        <f t="shared" si="77"/>
        <v>0</v>
      </c>
      <c r="CD74" s="98">
        <f t="shared" si="78"/>
        <v>0</v>
      </c>
      <c r="CE74" s="128">
        <f>IF(CD74&gt;0,4,0)</f>
        <v>0</v>
      </c>
      <c r="CF74" s="128">
        <f t="shared" si="79"/>
        <v>0</v>
      </c>
      <c r="CG74" s="15">
        <f t="shared" si="80"/>
        <v>0</v>
      </c>
      <c r="CH74" s="127">
        <f t="shared" ca="1" si="58"/>
        <v>3.6052526096059059</v>
      </c>
      <c r="CI74" s="127">
        <f ca="1">EXP(CH74)</f>
        <v>36.790976437556019</v>
      </c>
    </row>
    <row r="75" spans="47:87" x14ac:dyDescent="0.2">
      <c r="AU75" s="2">
        <v>5</v>
      </c>
      <c r="AW75" s="121">
        <f t="shared" si="59"/>
        <v>44409</v>
      </c>
      <c r="AX75" s="73">
        <f t="shared" si="60"/>
        <v>47.798624963803547</v>
      </c>
      <c r="AY75" s="15">
        <f t="shared" si="61"/>
        <v>3.8669968726360238</v>
      </c>
      <c r="AZ75" s="98">
        <f t="shared" si="62"/>
        <v>1</v>
      </c>
      <c r="BA75" s="128">
        <f>IF(AZ75&gt;0,5,0)</f>
        <v>5</v>
      </c>
      <c r="BB75" s="128">
        <f t="shared" si="63"/>
        <v>25</v>
      </c>
      <c r="BC75" s="15">
        <f t="shared" si="64"/>
        <v>19.334984363180119</v>
      </c>
      <c r="BD75" s="127">
        <f t="shared" ca="1" si="55"/>
        <v>3.6983901224695162</v>
      </c>
      <c r="BE75" s="127">
        <f t="shared" ref="BE75:BE106" ca="1" si="81">EXP(BD75)</f>
        <v>40.382241539248106</v>
      </c>
      <c r="BG75" s="121">
        <f t="shared" si="65"/>
        <v>44409</v>
      </c>
      <c r="BH75" s="73">
        <f t="shared" si="66"/>
        <v>44.795601437525484</v>
      </c>
      <c r="BI75" s="15">
        <f t="shared" si="67"/>
        <v>3.80210995240266</v>
      </c>
      <c r="BJ75" s="98">
        <f t="shared" si="68"/>
        <v>1</v>
      </c>
      <c r="BK75" s="128">
        <f>IF(BJ75&gt;0,5,0)</f>
        <v>5</v>
      </c>
      <c r="BL75" s="128">
        <f t="shared" si="69"/>
        <v>25</v>
      </c>
      <c r="BM75" s="15">
        <f t="shared" si="70"/>
        <v>19.010549762013301</v>
      </c>
      <c r="BN75" s="127">
        <f t="shared" ca="1" si="56"/>
        <v>3.7184763673387886</v>
      </c>
      <c r="BO75" s="127">
        <f t="shared" ref="BO75:BO106" ca="1" si="82">EXP(BN75)</f>
        <v>41.201570202433075</v>
      </c>
      <c r="BQ75" s="121">
        <f t="shared" si="71"/>
        <v>44409</v>
      </c>
      <c r="BR75" s="131">
        <v>0</v>
      </c>
      <c r="BS75" s="15">
        <f t="shared" si="72"/>
        <v>0</v>
      </c>
      <c r="BT75" s="98">
        <f t="shared" si="73"/>
        <v>0</v>
      </c>
      <c r="BU75" s="128">
        <f>IF(BT75&gt;0,5,0)</f>
        <v>0</v>
      </c>
      <c r="BV75" s="128">
        <f t="shared" si="74"/>
        <v>0</v>
      </c>
      <c r="BW75" s="15">
        <f t="shared" si="75"/>
        <v>0</v>
      </c>
      <c r="BX75" s="127">
        <f t="shared" ca="1" si="57"/>
        <v>3.6571754156960279</v>
      </c>
      <c r="BY75" s="127">
        <f t="shared" ref="BY75:BY106" ca="1" si="83">EXP(BX75)</f>
        <v>38.75173060964017</v>
      </c>
      <c r="CA75" s="121">
        <f t="shared" si="76"/>
        <v>44409</v>
      </c>
      <c r="CB75" s="131">
        <v>0</v>
      </c>
      <c r="CC75" s="15">
        <f t="shared" si="77"/>
        <v>0</v>
      </c>
      <c r="CD75" s="98">
        <f t="shared" si="78"/>
        <v>0</v>
      </c>
      <c r="CE75" s="128">
        <f>IF(CD75&gt;0,5,0)</f>
        <v>0</v>
      </c>
      <c r="CF75" s="128">
        <f t="shared" si="79"/>
        <v>0</v>
      </c>
      <c r="CG75" s="15">
        <f t="shared" si="80"/>
        <v>0</v>
      </c>
      <c r="CH75" s="127">
        <f t="shared" ca="1" si="58"/>
        <v>3.6052526096059059</v>
      </c>
      <c r="CI75" s="127">
        <f t="shared" ref="CI75:CI106" ca="1" si="84">EXP(CH75)</f>
        <v>36.790976437556019</v>
      </c>
    </row>
    <row r="76" spans="47:87" x14ac:dyDescent="0.2">
      <c r="AU76" s="2">
        <v>6</v>
      </c>
      <c r="AW76" s="121">
        <f t="shared" si="59"/>
        <v>44440</v>
      </c>
      <c r="AX76" s="73">
        <f t="shared" si="60"/>
        <v>46.237790728679677</v>
      </c>
      <c r="AY76" s="15">
        <f t="shared" si="61"/>
        <v>3.8337974448636962</v>
      </c>
      <c r="AZ76" s="98">
        <f t="shared" si="62"/>
        <v>1</v>
      </c>
      <c r="BA76" s="128">
        <f>IF(AZ76&gt;0,6,0)</f>
        <v>6</v>
      </c>
      <c r="BB76" s="128">
        <f t="shared" si="63"/>
        <v>36</v>
      </c>
      <c r="BC76" s="15">
        <f t="shared" si="64"/>
        <v>23.002784669182176</v>
      </c>
      <c r="BD76" s="127">
        <f t="shared" ca="1" si="55"/>
        <v>3.6983901224695162</v>
      </c>
      <c r="BE76" s="127">
        <f t="shared" ca="1" si="81"/>
        <v>40.382241539248106</v>
      </c>
      <c r="BG76" s="121">
        <f t="shared" si="65"/>
        <v>44440</v>
      </c>
      <c r="BH76" s="73">
        <f t="shared" si="66"/>
        <v>47.219513754038104</v>
      </c>
      <c r="BI76" s="15">
        <f t="shared" si="67"/>
        <v>3.8548072341464508</v>
      </c>
      <c r="BJ76" s="98">
        <f t="shared" si="68"/>
        <v>1</v>
      </c>
      <c r="BK76" s="128">
        <f>IF(BJ76&gt;0,6,0)</f>
        <v>6</v>
      </c>
      <c r="BL76" s="128">
        <f t="shared" si="69"/>
        <v>36</v>
      </c>
      <c r="BM76" s="15">
        <f t="shared" si="70"/>
        <v>23.128843404878705</v>
      </c>
      <c r="BN76" s="127">
        <f t="shared" ca="1" si="56"/>
        <v>3.7184763673387886</v>
      </c>
      <c r="BO76" s="127">
        <f t="shared" ca="1" si="82"/>
        <v>41.201570202433075</v>
      </c>
      <c r="BQ76" s="121">
        <f t="shared" si="71"/>
        <v>44440</v>
      </c>
      <c r="BR76" s="131">
        <v>0</v>
      </c>
      <c r="BS76" s="15">
        <f t="shared" si="72"/>
        <v>0</v>
      </c>
      <c r="BT76" s="98">
        <f t="shared" si="73"/>
        <v>0</v>
      </c>
      <c r="BU76" s="128">
        <f>IF(BT76&gt;0,6,0)</f>
        <v>0</v>
      </c>
      <c r="BV76" s="128">
        <f t="shared" si="74"/>
        <v>0</v>
      </c>
      <c r="BW76" s="15">
        <f t="shared" si="75"/>
        <v>0</v>
      </c>
      <c r="BX76" s="127">
        <f t="shared" ca="1" si="57"/>
        <v>3.6571754156960279</v>
      </c>
      <c r="BY76" s="127">
        <f t="shared" ca="1" si="83"/>
        <v>38.75173060964017</v>
      </c>
      <c r="CA76" s="121">
        <f t="shared" si="76"/>
        <v>44440</v>
      </c>
      <c r="CB76" s="131">
        <v>0</v>
      </c>
      <c r="CC76" s="15">
        <f t="shared" si="77"/>
        <v>0</v>
      </c>
      <c r="CD76" s="98">
        <f t="shared" si="78"/>
        <v>0</v>
      </c>
      <c r="CE76" s="128">
        <f>IF(CD76&gt;0,6,0)</f>
        <v>0</v>
      </c>
      <c r="CF76" s="128">
        <f t="shared" si="79"/>
        <v>0</v>
      </c>
      <c r="CG76" s="15">
        <f t="shared" si="80"/>
        <v>0</v>
      </c>
      <c r="CH76" s="127">
        <f t="shared" ca="1" si="58"/>
        <v>3.6052526096059059</v>
      </c>
      <c r="CI76" s="127">
        <f t="shared" ca="1" si="84"/>
        <v>36.790976437556019</v>
      </c>
    </row>
    <row r="77" spans="47:87" x14ac:dyDescent="0.2">
      <c r="AU77" s="2">
        <v>7</v>
      </c>
      <c r="AW77" s="121">
        <f t="shared" si="59"/>
        <v>44470</v>
      </c>
      <c r="AX77" s="73">
        <f t="shared" si="60"/>
        <v>47.622125569631088</v>
      </c>
      <c r="AY77" s="15">
        <f t="shared" si="61"/>
        <v>3.8632974761320886</v>
      </c>
      <c r="AZ77" s="98">
        <f t="shared" si="62"/>
        <v>1</v>
      </c>
      <c r="BA77" s="128">
        <f>IF(AZ77&gt;0,7,0)</f>
        <v>7</v>
      </c>
      <c r="BB77" s="128">
        <f t="shared" si="63"/>
        <v>49</v>
      </c>
      <c r="BC77" s="15">
        <f t="shared" si="64"/>
        <v>27.043082332924619</v>
      </c>
      <c r="BD77" s="127">
        <f t="shared" ca="1" si="55"/>
        <v>3.6983901224695162</v>
      </c>
      <c r="BE77" s="127">
        <f t="shared" ca="1" si="81"/>
        <v>40.382241539248106</v>
      </c>
      <c r="BG77" s="121">
        <f t="shared" si="65"/>
        <v>44470</v>
      </c>
      <c r="BH77" s="73">
        <f t="shared" si="66"/>
        <v>47.029073647339999</v>
      </c>
      <c r="BI77" s="15">
        <f t="shared" si="67"/>
        <v>3.8507659987044938</v>
      </c>
      <c r="BJ77" s="98">
        <f t="shared" si="68"/>
        <v>1</v>
      </c>
      <c r="BK77" s="128">
        <f>IF(BJ77&gt;0,7,0)</f>
        <v>7</v>
      </c>
      <c r="BL77" s="128">
        <f t="shared" si="69"/>
        <v>49</v>
      </c>
      <c r="BM77" s="15">
        <f t="shared" si="70"/>
        <v>26.955361990931458</v>
      </c>
      <c r="BN77" s="127">
        <f t="shared" ca="1" si="56"/>
        <v>3.7184763673387886</v>
      </c>
      <c r="BO77" s="127">
        <f t="shared" ca="1" si="82"/>
        <v>41.201570202433075</v>
      </c>
      <c r="BQ77" s="121">
        <f t="shared" si="71"/>
        <v>44470</v>
      </c>
      <c r="BR77" s="131">
        <v>0</v>
      </c>
      <c r="BS77" s="15">
        <f t="shared" si="72"/>
        <v>0</v>
      </c>
      <c r="BT77" s="98">
        <f t="shared" si="73"/>
        <v>0</v>
      </c>
      <c r="BU77" s="128">
        <f>IF(BT77&gt;0,7,0)</f>
        <v>0</v>
      </c>
      <c r="BV77" s="128">
        <f t="shared" si="74"/>
        <v>0</v>
      </c>
      <c r="BW77" s="15">
        <f t="shared" si="75"/>
        <v>0</v>
      </c>
      <c r="BX77" s="127">
        <f t="shared" ca="1" si="57"/>
        <v>3.6571754156960279</v>
      </c>
      <c r="BY77" s="127">
        <f t="shared" ca="1" si="83"/>
        <v>38.75173060964017</v>
      </c>
      <c r="CA77" s="121">
        <f t="shared" si="76"/>
        <v>44470</v>
      </c>
      <c r="CB77" s="131">
        <v>0</v>
      </c>
      <c r="CC77" s="15">
        <f t="shared" si="77"/>
        <v>0</v>
      </c>
      <c r="CD77" s="98">
        <f t="shared" si="78"/>
        <v>0</v>
      </c>
      <c r="CE77" s="128">
        <f>IF(CD77&gt;0,7,0)</f>
        <v>0</v>
      </c>
      <c r="CF77" s="128">
        <f t="shared" si="79"/>
        <v>0</v>
      </c>
      <c r="CG77" s="15">
        <f t="shared" si="80"/>
        <v>0</v>
      </c>
      <c r="CH77" s="127">
        <f t="shared" ca="1" si="58"/>
        <v>3.6052526096059059</v>
      </c>
      <c r="CI77" s="127">
        <f t="shared" ca="1" si="84"/>
        <v>36.790976437556019</v>
      </c>
    </row>
    <row r="78" spans="47:87" x14ac:dyDescent="0.2">
      <c r="AU78" s="2">
        <v>8</v>
      </c>
      <c r="AW78" s="121">
        <f t="shared" si="59"/>
        <v>44501</v>
      </c>
      <c r="AX78" s="73">
        <f t="shared" si="60"/>
        <v>47.227304643709218</v>
      </c>
      <c r="AY78" s="15">
        <f t="shared" si="61"/>
        <v>3.8549722135458833</v>
      </c>
      <c r="AZ78" s="98">
        <f t="shared" si="62"/>
        <v>1</v>
      </c>
      <c r="BA78" s="128">
        <f>IF(AZ78&gt;0,8,0)</f>
        <v>8</v>
      </c>
      <c r="BB78" s="128">
        <f t="shared" si="63"/>
        <v>64</v>
      </c>
      <c r="BC78" s="15">
        <f t="shared" si="64"/>
        <v>30.839777708367066</v>
      </c>
      <c r="BD78" s="127">
        <f t="shared" ca="1" si="55"/>
        <v>3.6983901224695162</v>
      </c>
      <c r="BE78" s="127">
        <f t="shared" ca="1" si="81"/>
        <v>40.382241539248106</v>
      </c>
      <c r="BG78" s="121">
        <f t="shared" si="65"/>
        <v>44501</v>
      </c>
      <c r="BH78" s="73">
        <f t="shared" si="66"/>
        <v>47.93917932115729</v>
      </c>
      <c r="BI78" s="15">
        <f t="shared" si="67"/>
        <v>3.8699331099852259</v>
      </c>
      <c r="BJ78" s="98">
        <f t="shared" si="68"/>
        <v>1</v>
      </c>
      <c r="BK78" s="128">
        <f>IF(BJ78&gt;0,8,0)</f>
        <v>8</v>
      </c>
      <c r="BL78" s="128">
        <f t="shared" si="69"/>
        <v>64</v>
      </c>
      <c r="BM78" s="15">
        <f t="shared" si="70"/>
        <v>30.959464879881807</v>
      </c>
      <c r="BN78" s="127">
        <f t="shared" ca="1" si="56"/>
        <v>3.7184763673387886</v>
      </c>
      <c r="BO78" s="127">
        <f t="shared" ca="1" si="82"/>
        <v>41.201570202433075</v>
      </c>
      <c r="BQ78" s="121">
        <f t="shared" si="71"/>
        <v>44501</v>
      </c>
      <c r="BR78" s="131">
        <v>0</v>
      </c>
      <c r="BS78" s="15">
        <f t="shared" si="72"/>
        <v>0</v>
      </c>
      <c r="BT78" s="98">
        <f t="shared" si="73"/>
        <v>0</v>
      </c>
      <c r="BU78" s="128">
        <f>IF(BT78&gt;0,8,0)</f>
        <v>0</v>
      </c>
      <c r="BV78" s="128">
        <f t="shared" si="74"/>
        <v>0</v>
      </c>
      <c r="BW78" s="15">
        <f t="shared" si="75"/>
        <v>0</v>
      </c>
      <c r="BX78" s="127">
        <f t="shared" ca="1" si="57"/>
        <v>3.6571754156960279</v>
      </c>
      <c r="BY78" s="127">
        <f t="shared" ca="1" si="83"/>
        <v>38.75173060964017</v>
      </c>
      <c r="CA78" s="121">
        <f t="shared" si="76"/>
        <v>44501</v>
      </c>
      <c r="CB78" s="131">
        <v>0</v>
      </c>
      <c r="CC78" s="15">
        <f t="shared" si="77"/>
        <v>0</v>
      </c>
      <c r="CD78" s="98">
        <f t="shared" si="78"/>
        <v>0</v>
      </c>
      <c r="CE78" s="128">
        <f>IF(CD78&gt;0,8,0)</f>
        <v>0</v>
      </c>
      <c r="CF78" s="128">
        <f t="shared" si="79"/>
        <v>0</v>
      </c>
      <c r="CG78" s="15">
        <f t="shared" si="80"/>
        <v>0</v>
      </c>
      <c r="CH78" s="127">
        <f t="shared" ca="1" si="58"/>
        <v>3.6052526096059059</v>
      </c>
      <c r="CI78" s="127">
        <f t="shared" ca="1" si="84"/>
        <v>36.790976437556019</v>
      </c>
    </row>
    <row r="79" spans="47:87" x14ac:dyDescent="0.2">
      <c r="AU79" s="2">
        <v>9</v>
      </c>
      <c r="AW79" s="121">
        <f t="shared" si="59"/>
        <v>44531</v>
      </c>
      <c r="AX79" s="73">
        <f t="shared" si="60"/>
        <v>48.96810775013158</v>
      </c>
      <c r="AY79" s="15">
        <f t="shared" si="61"/>
        <v>3.8911692239656333</v>
      </c>
      <c r="AZ79" s="98">
        <f t="shared" si="62"/>
        <v>1</v>
      </c>
      <c r="BA79" s="128">
        <f>IF(AZ79&gt;0,9,0)</f>
        <v>9</v>
      </c>
      <c r="BB79" s="128">
        <f t="shared" si="63"/>
        <v>81</v>
      </c>
      <c r="BC79" s="15">
        <f t="shared" si="64"/>
        <v>35.020523015690699</v>
      </c>
      <c r="BD79" s="127">
        <f t="shared" ca="1" si="55"/>
        <v>3.6983901224695162</v>
      </c>
      <c r="BE79" s="127">
        <f t="shared" ca="1" si="81"/>
        <v>40.382241539248106</v>
      </c>
      <c r="BG79" s="121">
        <f t="shared" si="65"/>
        <v>44531</v>
      </c>
      <c r="BH79" s="73">
        <f t="shared" si="66"/>
        <v>42.995812189979681</v>
      </c>
      <c r="BI79" s="15">
        <f t="shared" si="67"/>
        <v>3.7611027200200526</v>
      </c>
      <c r="BJ79" s="98">
        <f t="shared" si="68"/>
        <v>1</v>
      </c>
      <c r="BK79" s="128">
        <f>IF(BJ79&gt;0,9,0)</f>
        <v>9</v>
      </c>
      <c r="BL79" s="128">
        <f t="shared" si="69"/>
        <v>81</v>
      </c>
      <c r="BM79" s="15">
        <f t="shared" si="70"/>
        <v>33.849924480180476</v>
      </c>
      <c r="BN79" s="127">
        <f t="shared" ca="1" si="56"/>
        <v>3.7184763673387886</v>
      </c>
      <c r="BO79" s="127">
        <f t="shared" ca="1" si="82"/>
        <v>41.201570202433075</v>
      </c>
      <c r="BQ79" s="121">
        <f t="shared" si="71"/>
        <v>44531</v>
      </c>
      <c r="BR79" s="131">
        <v>0</v>
      </c>
      <c r="BS79" s="15">
        <f t="shared" si="72"/>
        <v>0</v>
      </c>
      <c r="BT79" s="98">
        <f t="shared" si="73"/>
        <v>0</v>
      </c>
      <c r="BU79" s="128">
        <f>IF(BT79&gt;0,9,0)</f>
        <v>0</v>
      </c>
      <c r="BV79" s="128">
        <f t="shared" si="74"/>
        <v>0</v>
      </c>
      <c r="BW79" s="15">
        <f t="shared" si="75"/>
        <v>0</v>
      </c>
      <c r="BX79" s="127">
        <f t="shared" ca="1" si="57"/>
        <v>3.6571754156960279</v>
      </c>
      <c r="BY79" s="127">
        <f t="shared" ca="1" si="83"/>
        <v>38.75173060964017</v>
      </c>
      <c r="CA79" s="121">
        <f t="shared" si="76"/>
        <v>44531</v>
      </c>
      <c r="CB79" s="131">
        <v>0</v>
      </c>
      <c r="CC79" s="15">
        <f t="shared" si="77"/>
        <v>0</v>
      </c>
      <c r="CD79" s="98">
        <f t="shared" si="78"/>
        <v>0</v>
      </c>
      <c r="CE79" s="128">
        <f>IF(CD79&gt;0,9,0)</f>
        <v>0</v>
      </c>
      <c r="CF79" s="128">
        <f t="shared" si="79"/>
        <v>0</v>
      </c>
      <c r="CG79" s="15">
        <f t="shared" si="80"/>
        <v>0</v>
      </c>
      <c r="CH79" s="127">
        <f t="shared" ca="1" si="58"/>
        <v>3.6052526096059059</v>
      </c>
      <c r="CI79" s="127">
        <f t="shared" ca="1" si="84"/>
        <v>36.790976437556019</v>
      </c>
    </row>
    <row r="80" spans="47:87" x14ac:dyDescent="0.2">
      <c r="AU80" s="2">
        <v>10</v>
      </c>
      <c r="AW80" s="121">
        <f t="shared" si="59"/>
        <v>44562</v>
      </c>
      <c r="AX80" s="73">
        <f t="shared" si="60"/>
        <v>32.792024176098245</v>
      </c>
      <c r="AY80" s="15">
        <f t="shared" si="61"/>
        <v>3.4901853204577491</v>
      </c>
      <c r="AZ80" s="98">
        <f t="shared" si="62"/>
        <v>1</v>
      </c>
      <c r="BA80" s="128">
        <f>IF(AZ80&gt;0,10,0)</f>
        <v>10</v>
      </c>
      <c r="BB80" s="128">
        <f t="shared" si="63"/>
        <v>100</v>
      </c>
      <c r="BC80" s="15">
        <f t="shared" si="64"/>
        <v>34.901853204577492</v>
      </c>
      <c r="BD80" s="127">
        <f t="shared" ca="1" si="55"/>
        <v>3.6983901224695162</v>
      </c>
      <c r="BE80" s="127">
        <f t="shared" ca="1" si="81"/>
        <v>40.382241539248106</v>
      </c>
      <c r="BG80" s="121">
        <f t="shared" si="65"/>
        <v>44562</v>
      </c>
      <c r="BH80" s="73">
        <f t="shared" si="66"/>
        <v>37.643409092562997</v>
      </c>
      <c r="BI80" s="15">
        <f t="shared" si="67"/>
        <v>3.6281578816191411</v>
      </c>
      <c r="BJ80" s="98">
        <f t="shared" si="68"/>
        <v>1</v>
      </c>
      <c r="BK80" s="128">
        <f>IF(BJ80&gt;0,10,0)</f>
        <v>10</v>
      </c>
      <c r="BL80" s="128">
        <f t="shared" si="69"/>
        <v>100</v>
      </c>
      <c r="BM80" s="15">
        <f t="shared" si="70"/>
        <v>36.281578816191413</v>
      </c>
      <c r="BN80" s="127">
        <f t="shared" ca="1" si="56"/>
        <v>3.7184763673387886</v>
      </c>
      <c r="BO80" s="127">
        <f t="shared" ca="1" si="82"/>
        <v>41.201570202433075</v>
      </c>
      <c r="BQ80" s="121">
        <f t="shared" si="71"/>
        <v>44562</v>
      </c>
      <c r="BR80" s="131">
        <v>0</v>
      </c>
      <c r="BS80" s="15">
        <f t="shared" si="72"/>
        <v>0</v>
      </c>
      <c r="BT80" s="98">
        <f t="shared" si="73"/>
        <v>0</v>
      </c>
      <c r="BU80" s="128">
        <f>IF(BT80&gt;0,10,0)</f>
        <v>0</v>
      </c>
      <c r="BV80" s="128">
        <f t="shared" si="74"/>
        <v>0</v>
      </c>
      <c r="BW80" s="15">
        <f t="shared" si="75"/>
        <v>0</v>
      </c>
      <c r="BX80" s="127">
        <f t="shared" ca="1" si="57"/>
        <v>3.6571754156960279</v>
      </c>
      <c r="BY80" s="127">
        <f t="shared" ca="1" si="83"/>
        <v>38.75173060964017</v>
      </c>
      <c r="CA80" s="121">
        <f t="shared" si="76"/>
        <v>44562</v>
      </c>
      <c r="CB80" s="131">
        <v>0</v>
      </c>
      <c r="CC80" s="15">
        <f t="shared" si="77"/>
        <v>0</v>
      </c>
      <c r="CD80" s="98">
        <f t="shared" si="78"/>
        <v>0</v>
      </c>
      <c r="CE80" s="128">
        <f>IF(CD80&gt;0,10,0)</f>
        <v>0</v>
      </c>
      <c r="CF80" s="128">
        <f t="shared" si="79"/>
        <v>0</v>
      </c>
      <c r="CG80" s="15">
        <f t="shared" si="80"/>
        <v>0</v>
      </c>
      <c r="CH80" s="127">
        <f t="shared" ca="1" si="58"/>
        <v>3.6052526096059059</v>
      </c>
      <c r="CI80" s="127">
        <f t="shared" ca="1" si="84"/>
        <v>36.790976437556019</v>
      </c>
    </row>
    <row r="81" spans="47:87" x14ac:dyDescent="0.2">
      <c r="AU81" s="2">
        <v>11</v>
      </c>
      <c r="AW81" s="121">
        <f t="shared" si="59"/>
        <v>44593</v>
      </c>
      <c r="AX81" s="73">
        <f t="shared" si="60"/>
        <v>31.17009535145916</v>
      </c>
      <c r="AY81" s="15">
        <f t="shared" si="61"/>
        <v>3.4394591528524994</v>
      </c>
      <c r="AZ81" s="98">
        <f t="shared" si="62"/>
        <v>1</v>
      </c>
      <c r="BA81" s="128">
        <f>IF(AZ81&gt;0,11,0)</f>
        <v>11</v>
      </c>
      <c r="BB81" s="128">
        <f t="shared" si="63"/>
        <v>121</v>
      </c>
      <c r="BC81" s="15">
        <f t="shared" si="64"/>
        <v>37.834050681377491</v>
      </c>
      <c r="BD81" s="127">
        <f t="shared" ca="1" si="55"/>
        <v>3.6983901224695162</v>
      </c>
      <c r="BE81" s="127">
        <f t="shared" ca="1" si="81"/>
        <v>40.382241539248106</v>
      </c>
      <c r="BG81" s="121">
        <f t="shared" si="65"/>
        <v>44593</v>
      </c>
      <c r="BH81" s="73">
        <f t="shared" si="66"/>
        <v>34.336082921368636</v>
      </c>
      <c r="BI81" s="15">
        <f t="shared" si="67"/>
        <v>3.5361967814432935</v>
      </c>
      <c r="BJ81" s="98">
        <f t="shared" si="68"/>
        <v>1</v>
      </c>
      <c r="BK81" s="128">
        <f>IF(BJ81&gt;0,11,0)</f>
        <v>11</v>
      </c>
      <c r="BL81" s="128">
        <f t="shared" si="69"/>
        <v>121</v>
      </c>
      <c r="BM81" s="15">
        <f t="shared" si="70"/>
        <v>38.898164595876231</v>
      </c>
      <c r="BN81" s="127">
        <f t="shared" ca="1" si="56"/>
        <v>3.7184763673387886</v>
      </c>
      <c r="BO81" s="127">
        <f t="shared" ca="1" si="82"/>
        <v>41.201570202433075</v>
      </c>
      <c r="BQ81" s="121">
        <f t="shared" si="71"/>
        <v>44593</v>
      </c>
      <c r="BR81" s="131">
        <v>0</v>
      </c>
      <c r="BS81" s="15">
        <f t="shared" si="72"/>
        <v>0</v>
      </c>
      <c r="BT81" s="98">
        <f t="shared" si="73"/>
        <v>0</v>
      </c>
      <c r="BU81" s="128">
        <f>IF(BT81&gt;0,11,0)</f>
        <v>0</v>
      </c>
      <c r="BV81" s="128">
        <f t="shared" si="74"/>
        <v>0</v>
      </c>
      <c r="BW81" s="15">
        <f t="shared" si="75"/>
        <v>0</v>
      </c>
      <c r="BX81" s="127">
        <f t="shared" ca="1" si="57"/>
        <v>3.6571754156960279</v>
      </c>
      <c r="BY81" s="127">
        <f t="shared" ca="1" si="83"/>
        <v>38.75173060964017</v>
      </c>
      <c r="CA81" s="121">
        <f t="shared" si="76"/>
        <v>44593</v>
      </c>
      <c r="CB81" s="131">
        <v>0</v>
      </c>
      <c r="CC81" s="15">
        <f t="shared" si="77"/>
        <v>0</v>
      </c>
      <c r="CD81" s="98">
        <f t="shared" si="78"/>
        <v>0</v>
      </c>
      <c r="CE81" s="128">
        <f>IF(CD81&gt;0,11,0)</f>
        <v>0</v>
      </c>
      <c r="CF81" s="128">
        <f t="shared" si="79"/>
        <v>0</v>
      </c>
      <c r="CG81" s="15">
        <f t="shared" si="80"/>
        <v>0</v>
      </c>
      <c r="CH81" s="127">
        <f t="shared" ca="1" si="58"/>
        <v>3.6052526096059059</v>
      </c>
      <c r="CI81" s="127">
        <f t="shared" ca="1" si="84"/>
        <v>36.790976437556019</v>
      </c>
    </row>
    <row r="82" spans="47:87" x14ac:dyDescent="0.2">
      <c r="AU82" s="2">
        <v>12</v>
      </c>
      <c r="AW82" s="121">
        <f t="shared" si="59"/>
        <v>44621</v>
      </c>
      <c r="AX82" s="73">
        <f t="shared" si="60"/>
        <v>39.046129236548509</v>
      </c>
      <c r="AY82" s="15">
        <f t="shared" si="61"/>
        <v>3.6647437481088572</v>
      </c>
      <c r="AZ82" s="98">
        <f t="shared" si="62"/>
        <v>1</v>
      </c>
      <c r="BA82" s="128">
        <f>IF(AZ82&gt;0,12,0)</f>
        <v>12</v>
      </c>
      <c r="BB82" s="128">
        <f t="shared" si="63"/>
        <v>144</v>
      </c>
      <c r="BC82" s="15">
        <f t="shared" si="64"/>
        <v>43.976924977306282</v>
      </c>
      <c r="BD82" s="127">
        <f t="shared" ca="1" si="55"/>
        <v>3.6983901224695162</v>
      </c>
      <c r="BE82" s="127">
        <f t="shared" ca="1" si="81"/>
        <v>40.382241539248106</v>
      </c>
      <c r="BG82" s="121">
        <f t="shared" si="65"/>
        <v>44621</v>
      </c>
      <c r="BH82" s="73">
        <f t="shared" si="66"/>
        <v>35.891674164698969</v>
      </c>
      <c r="BI82" s="15">
        <f t="shared" si="67"/>
        <v>3.5805053511793741</v>
      </c>
      <c r="BJ82" s="98">
        <f t="shared" si="68"/>
        <v>1</v>
      </c>
      <c r="BK82" s="128">
        <f>IF(BJ82&gt;0,12,0)</f>
        <v>12</v>
      </c>
      <c r="BL82" s="128">
        <f t="shared" si="69"/>
        <v>144</v>
      </c>
      <c r="BM82" s="15">
        <f t="shared" si="70"/>
        <v>42.966064214152489</v>
      </c>
      <c r="BN82" s="127">
        <f t="shared" ca="1" si="56"/>
        <v>3.7184763673387886</v>
      </c>
      <c r="BO82" s="127">
        <f t="shared" ca="1" si="82"/>
        <v>41.201570202433075</v>
      </c>
      <c r="BQ82" s="121">
        <f t="shared" si="71"/>
        <v>44621</v>
      </c>
      <c r="BR82" s="131">
        <v>0</v>
      </c>
      <c r="BS82" s="15">
        <f t="shared" si="72"/>
        <v>0</v>
      </c>
      <c r="BT82" s="98">
        <f t="shared" si="73"/>
        <v>0</v>
      </c>
      <c r="BU82" s="128">
        <f>IF(BT82&gt;0,12,0)</f>
        <v>0</v>
      </c>
      <c r="BV82" s="128">
        <f t="shared" si="74"/>
        <v>0</v>
      </c>
      <c r="BW82" s="15">
        <f t="shared" si="75"/>
        <v>0</v>
      </c>
      <c r="BX82" s="127">
        <f t="shared" ca="1" si="57"/>
        <v>3.6571754156960279</v>
      </c>
      <c r="BY82" s="127">
        <f t="shared" ca="1" si="83"/>
        <v>38.75173060964017</v>
      </c>
      <c r="CA82" s="121">
        <f t="shared" si="76"/>
        <v>44621</v>
      </c>
      <c r="CB82" s="131">
        <v>0</v>
      </c>
      <c r="CC82" s="15">
        <f t="shared" si="77"/>
        <v>0</v>
      </c>
      <c r="CD82" s="98">
        <f t="shared" si="78"/>
        <v>0</v>
      </c>
      <c r="CE82" s="128">
        <f>IF(CD82&gt;0,12,0)</f>
        <v>0</v>
      </c>
      <c r="CF82" s="128">
        <f t="shared" si="79"/>
        <v>0</v>
      </c>
      <c r="CG82" s="15">
        <f t="shared" si="80"/>
        <v>0</v>
      </c>
      <c r="CH82" s="127">
        <f t="shared" ca="1" si="58"/>
        <v>3.6052526096059059</v>
      </c>
      <c r="CI82" s="127">
        <f t="shared" ca="1" si="84"/>
        <v>36.790976437556019</v>
      </c>
    </row>
    <row r="83" spans="47:87" x14ac:dyDescent="0.2">
      <c r="AU83" s="2">
        <v>13</v>
      </c>
      <c r="AW83" s="121">
        <f t="shared" si="59"/>
        <v>44652</v>
      </c>
      <c r="AX83" s="73">
        <f t="shared" si="60"/>
        <v>37.458797906089245</v>
      </c>
      <c r="AY83" s="15">
        <f t="shared" si="61"/>
        <v>3.6232416064340205</v>
      </c>
      <c r="AZ83" s="98">
        <f t="shared" si="62"/>
        <v>1</v>
      </c>
      <c r="BA83" s="128">
        <f>IF(AZ83&gt;0,13,0)</f>
        <v>13</v>
      </c>
      <c r="BB83" s="128">
        <f t="shared" si="63"/>
        <v>169</v>
      </c>
      <c r="BC83" s="15">
        <f t="shared" si="64"/>
        <v>47.102140883642264</v>
      </c>
      <c r="BD83" s="127">
        <f t="shared" ca="1" si="55"/>
        <v>3.6983901224695162</v>
      </c>
      <c r="BE83" s="127">
        <f t="shared" ca="1" si="81"/>
        <v>40.382241539248106</v>
      </c>
      <c r="BG83" s="121">
        <f t="shared" si="65"/>
        <v>44652</v>
      </c>
      <c r="BH83" s="73">
        <f t="shared" si="66"/>
        <v>38.575308126785323</v>
      </c>
      <c r="BI83" s="15">
        <f t="shared" si="67"/>
        <v>3.6526123859499298</v>
      </c>
      <c r="BJ83" s="98">
        <f t="shared" si="68"/>
        <v>1</v>
      </c>
      <c r="BK83" s="128">
        <f>IF(BJ83&gt;0,13,0)</f>
        <v>13</v>
      </c>
      <c r="BL83" s="128">
        <f t="shared" si="69"/>
        <v>169</v>
      </c>
      <c r="BM83" s="15">
        <f t="shared" si="70"/>
        <v>47.483961017349088</v>
      </c>
      <c r="BN83" s="127">
        <f t="shared" ca="1" si="56"/>
        <v>3.7184763673387886</v>
      </c>
      <c r="BO83" s="127">
        <f t="shared" ca="1" si="82"/>
        <v>41.201570202433075</v>
      </c>
      <c r="BQ83" s="121">
        <f t="shared" si="71"/>
        <v>44652</v>
      </c>
      <c r="BR83" s="73">
        <f>+BH83</f>
        <v>38.575308126785323</v>
      </c>
      <c r="BS83" s="15">
        <f t="shared" si="72"/>
        <v>3.6526123859499298</v>
      </c>
      <c r="BT83" s="98">
        <f t="shared" si="73"/>
        <v>1</v>
      </c>
      <c r="BU83" s="128">
        <f>IF(BT83&gt;0,13,0)</f>
        <v>13</v>
      </c>
      <c r="BV83" s="128">
        <f t="shared" si="74"/>
        <v>169</v>
      </c>
      <c r="BW83" s="15">
        <f t="shared" si="75"/>
        <v>47.483961017349088</v>
      </c>
      <c r="BX83" s="127">
        <f t="shared" ca="1" si="57"/>
        <v>3.6571754156960279</v>
      </c>
      <c r="BY83" s="127">
        <f t="shared" ca="1" si="83"/>
        <v>38.75173060964017</v>
      </c>
      <c r="CA83" s="121">
        <f t="shared" si="76"/>
        <v>44652</v>
      </c>
      <c r="CB83" s="131">
        <v>0</v>
      </c>
      <c r="CC83" s="15">
        <f t="shared" si="77"/>
        <v>0</v>
      </c>
      <c r="CD83" s="98">
        <f t="shared" si="78"/>
        <v>0</v>
      </c>
      <c r="CE83" s="128">
        <f>IF(CD83&gt;0,13,0)</f>
        <v>0</v>
      </c>
      <c r="CF83" s="128">
        <f t="shared" si="79"/>
        <v>0</v>
      </c>
      <c r="CG83" s="15">
        <f t="shared" si="80"/>
        <v>0</v>
      </c>
      <c r="CH83" s="127">
        <f t="shared" ca="1" si="58"/>
        <v>3.6052526096059059</v>
      </c>
      <c r="CI83" s="127">
        <f t="shared" ca="1" si="84"/>
        <v>36.790976437556019</v>
      </c>
    </row>
    <row r="84" spans="47:87" x14ac:dyDescent="0.2">
      <c r="AU84" s="2">
        <v>14</v>
      </c>
      <c r="AW84" s="121">
        <f t="shared" si="59"/>
        <v>44682</v>
      </c>
      <c r="AX84" s="73">
        <f t="shared" si="60"/>
        <v>39.220997237718201</v>
      </c>
      <c r="AY84" s="15">
        <f t="shared" si="61"/>
        <v>3.6692122472098156</v>
      </c>
      <c r="AZ84" s="98">
        <f t="shared" si="62"/>
        <v>1</v>
      </c>
      <c r="BA84" s="128">
        <f>IF(AZ84&gt;0,14,0)</f>
        <v>14</v>
      </c>
      <c r="BB84" s="128">
        <f t="shared" si="63"/>
        <v>196</v>
      </c>
      <c r="BC84" s="15">
        <f t="shared" si="64"/>
        <v>51.368971460937416</v>
      </c>
      <c r="BD84" s="127">
        <f t="shared" ca="1" si="55"/>
        <v>3.6983901224695162</v>
      </c>
      <c r="BE84" s="127">
        <f t="shared" ca="1" si="81"/>
        <v>40.382241539248106</v>
      </c>
      <c r="BG84" s="121">
        <f t="shared" si="65"/>
        <v>44682</v>
      </c>
      <c r="BH84" s="73">
        <f t="shared" si="66"/>
        <v>38.68900887949323</v>
      </c>
      <c r="BI84" s="15">
        <f t="shared" si="67"/>
        <v>3.6555555514159175</v>
      </c>
      <c r="BJ84" s="98">
        <f t="shared" si="68"/>
        <v>1</v>
      </c>
      <c r="BK84" s="128">
        <f>IF(BJ84&gt;0,14,0)</f>
        <v>14</v>
      </c>
      <c r="BL84" s="128">
        <f t="shared" si="69"/>
        <v>196</v>
      </c>
      <c r="BM84" s="15">
        <f t="shared" si="70"/>
        <v>51.177777719822842</v>
      </c>
      <c r="BN84" s="127">
        <f t="shared" ca="1" si="56"/>
        <v>3.7184763673387886</v>
      </c>
      <c r="BO84" s="127">
        <f t="shared" ca="1" si="82"/>
        <v>41.201570202433075</v>
      </c>
      <c r="BQ84" s="121">
        <f t="shared" si="71"/>
        <v>44682</v>
      </c>
      <c r="BR84" s="73">
        <f t="shared" ref="BR84:BR106" si="85">+BH84</f>
        <v>38.68900887949323</v>
      </c>
      <c r="BS84" s="15">
        <f t="shared" si="72"/>
        <v>3.6555555514159175</v>
      </c>
      <c r="BT84" s="98">
        <f t="shared" si="73"/>
        <v>1</v>
      </c>
      <c r="BU84" s="128">
        <f>IF(BT84&gt;0,14,0)</f>
        <v>14</v>
      </c>
      <c r="BV84" s="128">
        <f t="shared" si="74"/>
        <v>196</v>
      </c>
      <c r="BW84" s="15">
        <f t="shared" si="75"/>
        <v>51.177777719822842</v>
      </c>
      <c r="BX84" s="127">
        <f t="shared" ca="1" si="57"/>
        <v>3.6571754156960279</v>
      </c>
      <c r="BY84" s="127">
        <f t="shared" ca="1" si="83"/>
        <v>38.75173060964017</v>
      </c>
      <c r="CA84" s="121">
        <f t="shared" si="76"/>
        <v>44682</v>
      </c>
      <c r="CB84" s="131">
        <v>0</v>
      </c>
      <c r="CC84" s="15">
        <f t="shared" si="77"/>
        <v>0</v>
      </c>
      <c r="CD84" s="98">
        <f t="shared" si="78"/>
        <v>0</v>
      </c>
      <c r="CE84" s="128">
        <f>IF(CD84&gt;0,14,0)</f>
        <v>0</v>
      </c>
      <c r="CF84" s="128">
        <f t="shared" si="79"/>
        <v>0</v>
      </c>
      <c r="CG84" s="15">
        <f t="shared" si="80"/>
        <v>0</v>
      </c>
      <c r="CH84" s="127">
        <f t="shared" ca="1" si="58"/>
        <v>3.6052526096059059</v>
      </c>
      <c r="CI84" s="127">
        <f t="shared" ca="1" si="84"/>
        <v>36.790976437556019</v>
      </c>
    </row>
    <row r="85" spans="47:87" x14ac:dyDescent="0.2">
      <c r="AU85" s="2">
        <v>15</v>
      </c>
      <c r="AW85" s="121">
        <f t="shared" si="59"/>
        <v>44713</v>
      </c>
      <c r="AX85" s="73">
        <f t="shared" si="60"/>
        <v>39.387231494672243</v>
      </c>
      <c r="AY85" s="15">
        <f t="shared" si="61"/>
        <v>3.6734416900413627</v>
      </c>
      <c r="AZ85" s="98">
        <f t="shared" si="62"/>
        <v>1</v>
      </c>
      <c r="BA85" s="128">
        <f>IF(AZ85&gt;0,15,0)</f>
        <v>15</v>
      </c>
      <c r="BB85" s="128">
        <f t="shared" si="63"/>
        <v>225</v>
      </c>
      <c r="BC85" s="15">
        <f t="shared" si="64"/>
        <v>55.101625350620438</v>
      </c>
      <c r="BD85" s="127">
        <f t="shared" ca="1" si="55"/>
        <v>3.6983901224695162</v>
      </c>
      <c r="BE85" s="127">
        <f t="shared" ca="1" si="81"/>
        <v>40.382241539248106</v>
      </c>
      <c r="BG85" s="121">
        <f t="shared" si="65"/>
        <v>44713</v>
      </c>
      <c r="BH85" s="73">
        <f t="shared" si="66"/>
        <v>38.864810745549583</v>
      </c>
      <c r="BI85" s="15">
        <f t="shared" si="67"/>
        <v>3.6600892331360306</v>
      </c>
      <c r="BJ85" s="98">
        <f t="shared" si="68"/>
        <v>1</v>
      </c>
      <c r="BK85" s="128">
        <f>IF(BJ85&gt;0,15,0)</f>
        <v>15</v>
      </c>
      <c r="BL85" s="128">
        <f t="shared" si="69"/>
        <v>225</v>
      </c>
      <c r="BM85" s="15">
        <f t="shared" si="70"/>
        <v>54.901338497040456</v>
      </c>
      <c r="BN85" s="127">
        <f t="shared" ca="1" si="56"/>
        <v>3.7184763673387886</v>
      </c>
      <c r="BO85" s="127">
        <f t="shared" ca="1" si="82"/>
        <v>41.201570202433075</v>
      </c>
      <c r="BQ85" s="121">
        <f t="shared" si="71"/>
        <v>44713</v>
      </c>
      <c r="BR85" s="73">
        <f t="shared" si="85"/>
        <v>38.864810745549583</v>
      </c>
      <c r="BS85" s="15">
        <f t="shared" si="72"/>
        <v>3.6600892331360306</v>
      </c>
      <c r="BT85" s="98">
        <f t="shared" si="73"/>
        <v>1</v>
      </c>
      <c r="BU85" s="128">
        <f>IF(BT85&gt;0,15,0)</f>
        <v>15</v>
      </c>
      <c r="BV85" s="128">
        <f t="shared" si="74"/>
        <v>225</v>
      </c>
      <c r="BW85" s="15">
        <f t="shared" si="75"/>
        <v>54.901338497040456</v>
      </c>
      <c r="BX85" s="127">
        <f t="shared" ca="1" si="57"/>
        <v>3.6571754156960279</v>
      </c>
      <c r="BY85" s="127">
        <f t="shared" ca="1" si="83"/>
        <v>38.75173060964017</v>
      </c>
      <c r="CA85" s="121">
        <f t="shared" si="76"/>
        <v>44713</v>
      </c>
      <c r="CB85" s="131">
        <v>0</v>
      </c>
      <c r="CC85" s="15">
        <f t="shared" si="77"/>
        <v>0</v>
      </c>
      <c r="CD85" s="98">
        <f t="shared" si="78"/>
        <v>0</v>
      </c>
      <c r="CE85" s="128">
        <f>IF(CD85&gt;0,15,0)</f>
        <v>0</v>
      </c>
      <c r="CF85" s="128">
        <f t="shared" si="79"/>
        <v>0</v>
      </c>
      <c r="CG85" s="15">
        <f t="shared" si="80"/>
        <v>0</v>
      </c>
      <c r="CH85" s="127">
        <f t="shared" ca="1" si="58"/>
        <v>3.6052526096059059</v>
      </c>
      <c r="CI85" s="127">
        <f t="shared" ca="1" si="84"/>
        <v>36.790976437556019</v>
      </c>
    </row>
    <row r="86" spans="47:87" x14ac:dyDescent="0.2">
      <c r="AU86" s="2">
        <v>16</v>
      </c>
      <c r="AW86" s="121">
        <f t="shared" si="59"/>
        <v>44743</v>
      </c>
      <c r="AX86" s="73">
        <f t="shared" si="60"/>
        <v>37.986203504258292</v>
      </c>
      <c r="AY86" s="15">
        <f t="shared" si="61"/>
        <v>3.6372230281246725</v>
      </c>
      <c r="AZ86" s="98">
        <f t="shared" si="62"/>
        <v>1</v>
      </c>
      <c r="BA86" s="128">
        <f>IF(AZ86&gt;0,16,0)</f>
        <v>16</v>
      </c>
      <c r="BB86" s="128">
        <f t="shared" si="63"/>
        <v>256</v>
      </c>
      <c r="BC86" s="15">
        <f t="shared" si="64"/>
        <v>58.195568449994759</v>
      </c>
      <c r="BD86" s="127">
        <f t="shared" ca="1" si="55"/>
        <v>3.6983901224695162</v>
      </c>
      <c r="BE86" s="127">
        <f t="shared" ca="1" si="81"/>
        <v>40.382241539248106</v>
      </c>
      <c r="BG86" s="121">
        <f t="shared" si="65"/>
        <v>44743</v>
      </c>
      <c r="BH86" s="73">
        <f t="shared" si="66"/>
        <v>40.695594523008687</v>
      </c>
      <c r="BI86" s="15">
        <f t="shared" si="67"/>
        <v>3.7061198439119685</v>
      </c>
      <c r="BJ86" s="98">
        <f t="shared" si="68"/>
        <v>1</v>
      </c>
      <c r="BK86" s="128">
        <f>IF(BJ86&gt;0,16,0)</f>
        <v>16</v>
      </c>
      <c r="BL86" s="128">
        <f t="shared" si="69"/>
        <v>256</v>
      </c>
      <c r="BM86" s="15">
        <f t="shared" si="70"/>
        <v>59.297917502591496</v>
      </c>
      <c r="BN86" s="127">
        <f t="shared" ca="1" si="56"/>
        <v>3.7184763673387886</v>
      </c>
      <c r="BO86" s="127">
        <f t="shared" ca="1" si="82"/>
        <v>41.201570202433075</v>
      </c>
      <c r="BQ86" s="121">
        <f t="shared" si="71"/>
        <v>44743</v>
      </c>
      <c r="BR86" s="73">
        <f t="shared" si="85"/>
        <v>40.695594523008687</v>
      </c>
      <c r="BS86" s="15">
        <f t="shared" si="72"/>
        <v>3.7061198439119685</v>
      </c>
      <c r="BT86" s="98">
        <f t="shared" si="73"/>
        <v>1</v>
      </c>
      <c r="BU86" s="128">
        <f>IF(BT86&gt;0,16,0)</f>
        <v>16</v>
      </c>
      <c r="BV86" s="128">
        <f t="shared" si="74"/>
        <v>256</v>
      </c>
      <c r="BW86" s="15">
        <f t="shared" si="75"/>
        <v>59.297917502591496</v>
      </c>
      <c r="BX86" s="127">
        <f t="shared" ca="1" si="57"/>
        <v>3.6571754156960279</v>
      </c>
      <c r="BY86" s="127">
        <f t="shared" ca="1" si="83"/>
        <v>38.75173060964017</v>
      </c>
      <c r="CA86" s="121">
        <f t="shared" si="76"/>
        <v>44743</v>
      </c>
      <c r="CB86" s="131">
        <v>0</v>
      </c>
      <c r="CC86" s="15">
        <f t="shared" si="77"/>
        <v>0</v>
      </c>
      <c r="CD86" s="98">
        <f t="shared" si="78"/>
        <v>0</v>
      </c>
      <c r="CE86" s="128">
        <f>IF(CD86&gt;0,16,0)</f>
        <v>0</v>
      </c>
      <c r="CF86" s="128">
        <f t="shared" si="79"/>
        <v>0</v>
      </c>
      <c r="CG86" s="15">
        <f t="shared" si="80"/>
        <v>0</v>
      </c>
      <c r="CH86" s="127">
        <f t="shared" ca="1" si="58"/>
        <v>3.6052526096059059</v>
      </c>
      <c r="CI86" s="127">
        <f t="shared" ca="1" si="84"/>
        <v>36.790976437556019</v>
      </c>
    </row>
    <row r="87" spans="47:87" x14ac:dyDescent="0.2">
      <c r="AU87" s="2">
        <v>17</v>
      </c>
      <c r="AW87" s="121">
        <f t="shared" si="59"/>
        <v>44774</v>
      </c>
      <c r="AX87" s="73">
        <f t="shared" si="60"/>
        <v>44.71334857009554</v>
      </c>
      <c r="AY87" s="15">
        <f t="shared" si="61"/>
        <v>3.8002720827689416</v>
      </c>
      <c r="AZ87" s="98">
        <f t="shared" si="62"/>
        <v>1</v>
      </c>
      <c r="BA87" s="128">
        <f>IF(AZ87&gt;0,17,0)</f>
        <v>17</v>
      </c>
      <c r="BB87" s="128">
        <f t="shared" si="63"/>
        <v>289</v>
      </c>
      <c r="BC87" s="15">
        <f t="shared" si="64"/>
        <v>64.604625407072007</v>
      </c>
      <c r="BD87" s="127">
        <f t="shared" ca="1" si="55"/>
        <v>3.6983901224695162</v>
      </c>
      <c r="BE87" s="127">
        <f t="shared" ca="1" si="81"/>
        <v>40.382241539248106</v>
      </c>
      <c r="BG87" s="121">
        <f t="shared" si="65"/>
        <v>44774</v>
      </c>
      <c r="BH87" s="73">
        <f t="shared" si="66"/>
        <v>41.162244674750916</v>
      </c>
      <c r="BI87" s="15">
        <f t="shared" si="67"/>
        <v>3.7175214448226539</v>
      </c>
      <c r="BJ87" s="98">
        <f t="shared" si="68"/>
        <v>1</v>
      </c>
      <c r="BK87" s="128">
        <f>IF(BJ87&gt;0,17,0)</f>
        <v>17</v>
      </c>
      <c r="BL87" s="128">
        <f t="shared" si="69"/>
        <v>289</v>
      </c>
      <c r="BM87" s="15">
        <f t="shared" si="70"/>
        <v>63.197864561985114</v>
      </c>
      <c r="BN87" s="127">
        <f t="shared" ca="1" si="56"/>
        <v>3.7184763673387886</v>
      </c>
      <c r="BO87" s="127">
        <f t="shared" ca="1" si="82"/>
        <v>41.201570202433075</v>
      </c>
      <c r="BQ87" s="121">
        <f t="shared" si="71"/>
        <v>44774</v>
      </c>
      <c r="BR87" s="73">
        <f t="shared" si="85"/>
        <v>41.162244674750916</v>
      </c>
      <c r="BS87" s="15">
        <f t="shared" si="72"/>
        <v>3.7175214448226539</v>
      </c>
      <c r="BT87" s="98">
        <f t="shared" si="73"/>
        <v>1</v>
      </c>
      <c r="BU87" s="128">
        <f>IF(BT87&gt;0,17,0)</f>
        <v>17</v>
      </c>
      <c r="BV87" s="128">
        <f t="shared" si="74"/>
        <v>289</v>
      </c>
      <c r="BW87" s="15">
        <f t="shared" si="75"/>
        <v>63.197864561985114</v>
      </c>
      <c r="BX87" s="127">
        <f t="shared" ca="1" si="57"/>
        <v>3.6571754156960279</v>
      </c>
      <c r="BY87" s="127">
        <f t="shared" ca="1" si="83"/>
        <v>38.75173060964017</v>
      </c>
      <c r="CA87" s="121">
        <f t="shared" si="76"/>
        <v>44774</v>
      </c>
      <c r="CB87" s="131">
        <v>0</v>
      </c>
      <c r="CC87" s="15">
        <f t="shared" si="77"/>
        <v>0</v>
      </c>
      <c r="CD87" s="98">
        <f t="shared" si="78"/>
        <v>0</v>
      </c>
      <c r="CE87" s="128">
        <f>IF(CD87&gt;0,17,0)</f>
        <v>0</v>
      </c>
      <c r="CF87" s="128">
        <f t="shared" si="79"/>
        <v>0</v>
      </c>
      <c r="CG87" s="15">
        <f t="shared" si="80"/>
        <v>0</v>
      </c>
      <c r="CH87" s="127">
        <f t="shared" ca="1" si="58"/>
        <v>3.6052526096059059</v>
      </c>
      <c r="CI87" s="127">
        <f t="shared" ca="1" si="84"/>
        <v>36.790976437556019</v>
      </c>
    </row>
    <row r="88" spans="47:87" x14ac:dyDescent="0.2">
      <c r="AU88" s="2">
        <v>18</v>
      </c>
      <c r="AW88" s="121">
        <f t="shared" si="59"/>
        <v>44805</v>
      </c>
      <c r="AX88" s="73">
        <f t="shared" si="60"/>
        <v>40.787181949898923</v>
      </c>
      <c r="AY88" s="15">
        <f t="shared" si="61"/>
        <v>3.7083678641544102</v>
      </c>
      <c r="AZ88" s="98">
        <f t="shared" si="62"/>
        <v>1</v>
      </c>
      <c r="BA88" s="128">
        <f>IF(AZ88&gt;0,18,0)</f>
        <v>18</v>
      </c>
      <c r="BB88" s="128">
        <f t="shared" si="63"/>
        <v>324</v>
      </c>
      <c r="BC88" s="15">
        <f t="shared" si="64"/>
        <v>66.750621554779386</v>
      </c>
      <c r="BD88" s="127">
        <f t="shared" ca="1" si="55"/>
        <v>3.6983901224695162</v>
      </c>
      <c r="BE88" s="127">
        <f t="shared" ca="1" si="81"/>
        <v>40.382241539248106</v>
      </c>
      <c r="BG88" s="121">
        <f t="shared" si="65"/>
        <v>44805</v>
      </c>
      <c r="BH88" s="73">
        <f t="shared" si="66"/>
        <v>42.32757718889949</v>
      </c>
      <c r="BI88" s="15">
        <f t="shared" si="67"/>
        <v>3.7454388166297026</v>
      </c>
      <c r="BJ88" s="98">
        <f t="shared" si="68"/>
        <v>1</v>
      </c>
      <c r="BK88" s="128">
        <f>IF(BJ88&gt;0,18,0)</f>
        <v>18</v>
      </c>
      <c r="BL88" s="128">
        <f t="shared" si="69"/>
        <v>324</v>
      </c>
      <c r="BM88" s="15">
        <f t="shared" si="70"/>
        <v>67.417898699334643</v>
      </c>
      <c r="BN88" s="127">
        <f t="shared" ca="1" si="56"/>
        <v>3.7184763673387886</v>
      </c>
      <c r="BO88" s="127">
        <f t="shared" ca="1" si="82"/>
        <v>41.201570202433075</v>
      </c>
      <c r="BQ88" s="121">
        <f t="shared" si="71"/>
        <v>44805</v>
      </c>
      <c r="BR88" s="73">
        <f t="shared" si="85"/>
        <v>42.32757718889949</v>
      </c>
      <c r="BS88" s="15">
        <f t="shared" si="72"/>
        <v>3.7454388166297026</v>
      </c>
      <c r="BT88" s="98">
        <f t="shared" si="73"/>
        <v>1</v>
      </c>
      <c r="BU88" s="128">
        <f>IF(BT88&gt;0,18,0)</f>
        <v>18</v>
      </c>
      <c r="BV88" s="128">
        <f t="shared" si="74"/>
        <v>324</v>
      </c>
      <c r="BW88" s="15">
        <f t="shared" si="75"/>
        <v>67.417898699334643</v>
      </c>
      <c r="BX88" s="127">
        <f t="shared" ca="1" si="57"/>
        <v>3.6571754156960279</v>
      </c>
      <c r="BY88" s="127">
        <f t="shared" ca="1" si="83"/>
        <v>38.75173060964017</v>
      </c>
      <c r="CA88" s="121">
        <f t="shared" si="76"/>
        <v>44805</v>
      </c>
      <c r="CB88" s="131">
        <v>0</v>
      </c>
      <c r="CC88" s="15">
        <f t="shared" si="77"/>
        <v>0</v>
      </c>
      <c r="CD88" s="98">
        <f t="shared" si="78"/>
        <v>0</v>
      </c>
      <c r="CE88" s="128">
        <f>IF(CD88&gt;0,18,0)</f>
        <v>0</v>
      </c>
      <c r="CF88" s="128">
        <f t="shared" si="79"/>
        <v>0</v>
      </c>
      <c r="CG88" s="15">
        <f t="shared" si="80"/>
        <v>0</v>
      </c>
      <c r="CH88" s="127">
        <f t="shared" ca="1" si="58"/>
        <v>3.6052526096059059</v>
      </c>
      <c r="CI88" s="127">
        <f t="shared" ca="1" si="84"/>
        <v>36.790976437556019</v>
      </c>
    </row>
    <row r="89" spans="47:87" x14ac:dyDescent="0.2">
      <c r="AU89" s="2">
        <v>19</v>
      </c>
      <c r="AW89" s="121">
        <f t="shared" si="59"/>
        <v>44835</v>
      </c>
      <c r="AX89" s="73">
        <f t="shared" si="60"/>
        <v>41.482201046704006</v>
      </c>
      <c r="AY89" s="15">
        <f t="shared" si="61"/>
        <v>3.725264444795974</v>
      </c>
      <c r="AZ89" s="98">
        <f t="shared" si="62"/>
        <v>1</v>
      </c>
      <c r="BA89" s="128">
        <f>IF(AZ89&gt;0,19,0)</f>
        <v>19</v>
      </c>
      <c r="BB89" s="128">
        <f t="shared" si="63"/>
        <v>361</v>
      </c>
      <c r="BC89" s="15">
        <f t="shared" si="64"/>
        <v>70.780024451123509</v>
      </c>
      <c r="BD89" s="127">
        <f t="shared" ca="1" si="55"/>
        <v>3.6983901224695162</v>
      </c>
      <c r="BE89" s="127">
        <f t="shared" ca="1" si="81"/>
        <v>40.382241539248106</v>
      </c>
      <c r="BG89" s="121">
        <f t="shared" si="65"/>
        <v>44835</v>
      </c>
      <c r="BH89" s="73">
        <f t="shared" si="66"/>
        <v>40.520750427043382</v>
      </c>
      <c r="BI89" s="15">
        <f t="shared" si="67"/>
        <v>3.7018141991261526</v>
      </c>
      <c r="BJ89" s="98">
        <f t="shared" si="68"/>
        <v>1</v>
      </c>
      <c r="BK89" s="128">
        <f>IF(BJ89&gt;0,19,0)</f>
        <v>19</v>
      </c>
      <c r="BL89" s="128">
        <f t="shared" si="69"/>
        <v>361</v>
      </c>
      <c r="BM89" s="15">
        <f t="shared" si="70"/>
        <v>70.334469783396898</v>
      </c>
      <c r="BN89" s="127">
        <f t="shared" ca="1" si="56"/>
        <v>3.7184763673387886</v>
      </c>
      <c r="BO89" s="127">
        <f t="shared" ca="1" si="82"/>
        <v>41.201570202433075</v>
      </c>
      <c r="BQ89" s="121">
        <f t="shared" si="71"/>
        <v>44835</v>
      </c>
      <c r="BR89" s="73">
        <f t="shared" si="85"/>
        <v>40.520750427043382</v>
      </c>
      <c r="BS89" s="15">
        <f t="shared" si="72"/>
        <v>3.7018141991261526</v>
      </c>
      <c r="BT89" s="98">
        <f t="shared" si="73"/>
        <v>1</v>
      </c>
      <c r="BU89" s="128">
        <f>IF(BT89&gt;0,19,0)</f>
        <v>19</v>
      </c>
      <c r="BV89" s="128">
        <f t="shared" si="74"/>
        <v>361</v>
      </c>
      <c r="BW89" s="15">
        <f t="shared" si="75"/>
        <v>70.334469783396898</v>
      </c>
      <c r="BX89" s="127">
        <f t="shared" ca="1" si="57"/>
        <v>3.6571754156960279</v>
      </c>
      <c r="BY89" s="127">
        <f t="shared" ca="1" si="83"/>
        <v>38.75173060964017</v>
      </c>
      <c r="CA89" s="121">
        <f t="shared" si="76"/>
        <v>44835</v>
      </c>
      <c r="CB89" s="73">
        <f t="shared" ref="CB89:CB106" si="86">+BR89</f>
        <v>40.520750427043382</v>
      </c>
      <c r="CC89" s="15">
        <f t="shared" si="77"/>
        <v>3.7018141991261526</v>
      </c>
      <c r="CD89" s="98">
        <f t="shared" si="78"/>
        <v>1</v>
      </c>
      <c r="CE89" s="128">
        <f>IF(CD89&gt;0,19,0)</f>
        <v>19</v>
      </c>
      <c r="CF89" s="128">
        <f t="shared" si="79"/>
        <v>361</v>
      </c>
      <c r="CG89" s="15">
        <f t="shared" si="80"/>
        <v>70.334469783396898</v>
      </c>
      <c r="CH89" s="127">
        <f t="shared" ca="1" si="58"/>
        <v>3.6052526096059059</v>
      </c>
      <c r="CI89" s="127">
        <f t="shared" ca="1" si="84"/>
        <v>36.790976437556019</v>
      </c>
    </row>
    <row r="90" spans="47:87" x14ac:dyDescent="0.2">
      <c r="AU90" s="2">
        <v>20</v>
      </c>
      <c r="AW90" s="121">
        <f t="shared" si="59"/>
        <v>44866</v>
      </c>
      <c r="AX90" s="73">
        <f t="shared" si="60"/>
        <v>39.292868284527216</v>
      </c>
      <c r="AY90" s="15">
        <f t="shared" si="61"/>
        <v>3.6710430338207054</v>
      </c>
      <c r="AZ90" s="98">
        <f t="shared" si="62"/>
        <v>1</v>
      </c>
      <c r="BA90" s="128">
        <f>IF(AZ90&gt;0,20,0)</f>
        <v>20</v>
      </c>
      <c r="BB90" s="128">
        <f t="shared" si="63"/>
        <v>400</v>
      </c>
      <c r="BC90" s="15">
        <f t="shared" si="64"/>
        <v>73.420860676414108</v>
      </c>
      <c r="BD90" s="127">
        <f t="shared" ca="1" si="55"/>
        <v>3.6983901224695162</v>
      </c>
      <c r="BE90" s="127">
        <f t="shared" ca="1" si="81"/>
        <v>40.382241539248106</v>
      </c>
      <c r="BG90" s="121">
        <f t="shared" si="65"/>
        <v>44866</v>
      </c>
      <c r="BH90" s="73">
        <f t="shared" si="66"/>
        <v>40.243414104596695</v>
      </c>
      <c r="BI90" s="15">
        <f t="shared" si="67"/>
        <v>3.6949463657460688</v>
      </c>
      <c r="BJ90" s="98">
        <f t="shared" si="68"/>
        <v>1</v>
      </c>
      <c r="BK90" s="128">
        <f>IF(BJ90&gt;0,20,0)</f>
        <v>20</v>
      </c>
      <c r="BL90" s="128">
        <f t="shared" si="69"/>
        <v>400</v>
      </c>
      <c r="BM90" s="15">
        <f t="shared" si="70"/>
        <v>73.89892731492138</v>
      </c>
      <c r="BN90" s="127">
        <f t="shared" ca="1" si="56"/>
        <v>3.7184763673387886</v>
      </c>
      <c r="BO90" s="127">
        <f t="shared" ca="1" si="82"/>
        <v>41.201570202433075</v>
      </c>
      <c r="BQ90" s="121">
        <f t="shared" si="71"/>
        <v>44866</v>
      </c>
      <c r="BR90" s="73">
        <f t="shared" si="85"/>
        <v>40.243414104596695</v>
      </c>
      <c r="BS90" s="15">
        <f t="shared" si="72"/>
        <v>3.6949463657460688</v>
      </c>
      <c r="BT90" s="98">
        <f t="shared" si="73"/>
        <v>1</v>
      </c>
      <c r="BU90" s="128">
        <f>IF(BT90&gt;0,20,0)</f>
        <v>20</v>
      </c>
      <c r="BV90" s="128">
        <f t="shared" si="74"/>
        <v>400</v>
      </c>
      <c r="BW90" s="15">
        <f t="shared" si="75"/>
        <v>73.89892731492138</v>
      </c>
      <c r="BX90" s="127">
        <f t="shared" ca="1" si="57"/>
        <v>3.6571754156960279</v>
      </c>
      <c r="BY90" s="127">
        <f t="shared" ca="1" si="83"/>
        <v>38.75173060964017</v>
      </c>
      <c r="CA90" s="121">
        <f t="shared" si="76"/>
        <v>44866</v>
      </c>
      <c r="CB90" s="73">
        <f t="shared" si="86"/>
        <v>40.243414104596695</v>
      </c>
      <c r="CC90" s="15">
        <f t="shared" si="77"/>
        <v>3.6949463657460688</v>
      </c>
      <c r="CD90" s="98">
        <f t="shared" si="78"/>
        <v>1</v>
      </c>
      <c r="CE90" s="128">
        <f>IF(CD90&gt;0,20,0)</f>
        <v>20</v>
      </c>
      <c r="CF90" s="128">
        <f t="shared" si="79"/>
        <v>400</v>
      </c>
      <c r="CG90" s="15">
        <f t="shared" si="80"/>
        <v>73.89892731492138</v>
      </c>
      <c r="CH90" s="127">
        <f t="shared" ca="1" si="58"/>
        <v>3.6052526096059059</v>
      </c>
      <c r="CI90" s="127">
        <f t="shared" ca="1" si="84"/>
        <v>36.790976437556019</v>
      </c>
    </row>
    <row r="91" spans="47:87" x14ac:dyDescent="0.2">
      <c r="AU91" s="2">
        <v>21</v>
      </c>
      <c r="AW91" s="121">
        <f t="shared" si="59"/>
        <v>44896</v>
      </c>
      <c r="AX91" s="73">
        <f t="shared" si="60"/>
        <v>39.955172982558864</v>
      </c>
      <c r="AY91" s="15">
        <f t="shared" si="61"/>
        <v>3.6877581502516397</v>
      </c>
      <c r="AZ91" s="98">
        <f t="shared" si="62"/>
        <v>1</v>
      </c>
      <c r="BA91" s="128">
        <f>IF(AZ91&gt;0,21,0)</f>
        <v>21</v>
      </c>
      <c r="BB91" s="128">
        <f t="shared" si="63"/>
        <v>441</v>
      </c>
      <c r="BC91" s="15">
        <f t="shared" si="64"/>
        <v>77.442921155284438</v>
      </c>
      <c r="BD91" s="127">
        <f t="shared" ca="1" si="55"/>
        <v>3.6983901224695162</v>
      </c>
      <c r="BE91" s="127">
        <f t="shared" ca="1" si="81"/>
        <v>40.382241539248106</v>
      </c>
      <c r="BG91" s="121">
        <f t="shared" si="65"/>
        <v>44896</v>
      </c>
      <c r="BH91" s="73">
        <f t="shared" si="66"/>
        <v>37.901873382070029</v>
      </c>
      <c r="BI91" s="15">
        <f t="shared" si="67"/>
        <v>3.6350005404728472</v>
      </c>
      <c r="BJ91" s="98">
        <f t="shared" si="68"/>
        <v>1</v>
      </c>
      <c r="BK91" s="128">
        <f>IF(BJ91&gt;0,21,0)</f>
        <v>21</v>
      </c>
      <c r="BL91" s="128">
        <f t="shared" si="69"/>
        <v>441</v>
      </c>
      <c r="BM91" s="15">
        <f t="shared" si="70"/>
        <v>76.335011349929786</v>
      </c>
      <c r="BN91" s="127">
        <f t="shared" ca="1" si="56"/>
        <v>3.7184763673387886</v>
      </c>
      <c r="BO91" s="127">
        <f t="shared" ca="1" si="82"/>
        <v>41.201570202433075</v>
      </c>
      <c r="BQ91" s="121">
        <f t="shared" si="71"/>
        <v>44896</v>
      </c>
      <c r="BR91" s="73">
        <f t="shared" si="85"/>
        <v>37.901873382070029</v>
      </c>
      <c r="BS91" s="15">
        <f t="shared" si="72"/>
        <v>3.6350005404728472</v>
      </c>
      <c r="BT91" s="98">
        <f t="shared" si="73"/>
        <v>1</v>
      </c>
      <c r="BU91" s="128">
        <f>IF(BT91&gt;0,21,0)</f>
        <v>21</v>
      </c>
      <c r="BV91" s="128">
        <f t="shared" si="74"/>
        <v>441</v>
      </c>
      <c r="BW91" s="15">
        <f t="shared" si="75"/>
        <v>76.335011349929786</v>
      </c>
      <c r="BX91" s="127">
        <f t="shared" ca="1" si="57"/>
        <v>3.6571754156960279</v>
      </c>
      <c r="BY91" s="127">
        <f t="shared" ca="1" si="83"/>
        <v>38.75173060964017</v>
      </c>
      <c r="CA91" s="121">
        <f t="shared" si="76"/>
        <v>44896</v>
      </c>
      <c r="CB91" s="73">
        <f t="shared" si="86"/>
        <v>37.901873382070029</v>
      </c>
      <c r="CC91" s="15">
        <f t="shared" si="77"/>
        <v>3.6350005404728472</v>
      </c>
      <c r="CD91" s="98">
        <f t="shared" si="78"/>
        <v>1</v>
      </c>
      <c r="CE91" s="128">
        <f>IF(CD91&gt;0,21,0)</f>
        <v>21</v>
      </c>
      <c r="CF91" s="128">
        <f t="shared" si="79"/>
        <v>441</v>
      </c>
      <c r="CG91" s="15">
        <f t="shared" si="80"/>
        <v>76.335011349929786</v>
      </c>
      <c r="CH91" s="127">
        <f t="shared" ca="1" si="58"/>
        <v>3.6052526096059059</v>
      </c>
      <c r="CI91" s="127">
        <f t="shared" ca="1" si="84"/>
        <v>36.790976437556019</v>
      </c>
    </row>
    <row r="92" spans="47:87" x14ac:dyDescent="0.2">
      <c r="AU92" s="2">
        <v>22</v>
      </c>
      <c r="AW92" s="121">
        <f t="shared" si="59"/>
        <v>44927</v>
      </c>
      <c r="AX92" s="73">
        <f t="shared" si="60"/>
        <v>34.457578879124007</v>
      </c>
      <c r="AY92" s="15">
        <f t="shared" si="61"/>
        <v>3.539728969755251</v>
      </c>
      <c r="AZ92" s="98">
        <f t="shared" si="62"/>
        <v>1</v>
      </c>
      <c r="BA92" s="128">
        <f>IF(AZ92&gt;0,22,0)</f>
        <v>22</v>
      </c>
      <c r="BB92" s="128">
        <f t="shared" si="63"/>
        <v>484</v>
      </c>
      <c r="BC92" s="15">
        <f t="shared" si="64"/>
        <v>77.874037334615522</v>
      </c>
      <c r="BD92" s="127">
        <f t="shared" ca="1" si="55"/>
        <v>3.6983901224695162</v>
      </c>
      <c r="BE92" s="127">
        <f t="shared" ca="1" si="81"/>
        <v>40.382241539248106</v>
      </c>
      <c r="BG92" s="121">
        <f t="shared" si="65"/>
        <v>44927</v>
      </c>
      <c r="BH92" s="73">
        <f t="shared" si="66"/>
        <v>36.667763950870807</v>
      </c>
      <c r="BI92" s="15">
        <f t="shared" si="67"/>
        <v>3.6018980026093748</v>
      </c>
      <c r="BJ92" s="98">
        <f t="shared" si="68"/>
        <v>1</v>
      </c>
      <c r="BK92" s="128">
        <f>IF(BJ92&gt;0,22,0)</f>
        <v>22</v>
      </c>
      <c r="BL92" s="128">
        <f t="shared" si="69"/>
        <v>484</v>
      </c>
      <c r="BM92" s="15">
        <f t="shared" si="70"/>
        <v>79.241756057406249</v>
      </c>
      <c r="BN92" s="127">
        <f t="shared" ca="1" si="56"/>
        <v>3.7184763673387886</v>
      </c>
      <c r="BO92" s="127">
        <f t="shared" ca="1" si="82"/>
        <v>41.201570202433075</v>
      </c>
      <c r="BQ92" s="121">
        <f t="shared" si="71"/>
        <v>44927</v>
      </c>
      <c r="BR92" s="73">
        <f t="shared" si="85"/>
        <v>36.667763950870807</v>
      </c>
      <c r="BS92" s="15">
        <f t="shared" si="72"/>
        <v>3.6018980026093748</v>
      </c>
      <c r="BT92" s="98">
        <f t="shared" si="73"/>
        <v>1</v>
      </c>
      <c r="BU92" s="128">
        <f>IF(BT92&gt;0,22,0)</f>
        <v>22</v>
      </c>
      <c r="BV92" s="128">
        <f t="shared" si="74"/>
        <v>484</v>
      </c>
      <c r="BW92" s="15">
        <f t="shared" si="75"/>
        <v>79.241756057406249</v>
      </c>
      <c r="BX92" s="127">
        <f t="shared" ca="1" si="57"/>
        <v>3.6571754156960279</v>
      </c>
      <c r="BY92" s="127">
        <f t="shared" ca="1" si="83"/>
        <v>38.75173060964017</v>
      </c>
      <c r="CA92" s="121">
        <f t="shared" si="76"/>
        <v>44927</v>
      </c>
      <c r="CB92" s="73">
        <f t="shared" si="86"/>
        <v>36.667763950870807</v>
      </c>
      <c r="CC92" s="15">
        <f t="shared" si="77"/>
        <v>3.6018980026093748</v>
      </c>
      <c r="CD92" s="98">
        <f t="shared" si="78"/>
        <v>1</v>
      </c>
      <c r="CE92" s="128">
        <f>IF(CD92&gt;0,22,0)</f>
        <v>22</v>
      </c>
      <c r="CF92" s="128">
        <f t="shared" si="79"/>
        <v>484</v>
      </c>
      <c r="CG92" s="15">
        <f t="shared" si="80"/>
        <v>79.241756057406249</v>
      </c>
      <c r="CH92" s="127">
        <f t="shared" ca="1" si="58"/>
        <v>3.6052526096059059</v>
      </c>
      <c r="CI92" s="127">
        <f t="shared" ca="1" si="84"/>
        <v>36.790976437556019</v>
      </c>
    </row>
    <row r="93" spans="47:87" x14ac:dyDescent="0.2">
      <c r="AU93" s="2">
        <v>23</v>
      </c>
      <c r="AW93" s="121">
        <f t="shared" si="59"/>
        <v>44958</v>
      </c>
      <c r="AX93" s="73">
        <f t="shared" si="60"/>
        <v>35.59053999092955</v>
      </c>
      <c r="AY93" s="15">
        <f t="shared" si="61"/>
        <v>3.5720798719534885</v>
      </c>
      <c r="AZ93" s="98">
        <f t="shared" si="62"/>
        <v>1</v>
      </c>
      <c r="BA93" s="128">
        <f>IF(AZ93&gt;0,23,0)</f>
        <v>23</v>
      </c>
      <c r="BB93" s="128">
        <f t="shared" si="63"/>
        <v>529</v>
      </c>
      <c r="BC93" s="15">
        <f t="shared" si="64"/>
        <v>82.157837054930241</v>
      </c>
      <c r="BD93" s="127">
        <f t="shared" ca="1" si="55"/>
        <v>3.6983901224695162</v>
      </c>
      <c r="BE93" s="127">
        <f t="shared" ca="1" si="81"/>
        <v>40.382241539248106</v>
      </c>
      <c r="BG93" s="121">
        <f t="shared" si="65"/>
        <v>44958</v>
      </c>
      <c r="BH93" s="73">
        <f t="shared" si="66"/>
        <v>37.77340263559055</v>
      </c>
      <c r="BI93" s="15">
        <f t="shared" si="67"/>
        <v>3.6316052209798833</v>
      </c>
      <c r="BJ93" s="98">
        <f t="shared" si="68"/>
        <v>1</v>
      </c>
      <c r="BK93" s="128">
        <f>IF(BJ93&gt;0,23,0)</f>
        <v>23</v>
      </c>
      <c r="BL93" s="128">
        <f t="shared" si="69"/>
        <v>529</v>
      </c>
      <c r="BM93" s="15">
        <f t="shared" si="70"/>
        <v>83.526920082537316</v>
      </c>
      <c r="BN93" s="127">
        <f t="shared" ca="1" si="56"/>
        <v>3.7184763673387886</v>
      </c>
      <c r="BO93" s="127">
        <f t="shared" ca="1" si="82"/>
        <v>41.201570202433075</v>
      </c>
      <c r="BQ93" s="121">
        <f t="shared" si="71"/>
        <v>44958</v>
      </c>
      <c r="BR93" s="73">
        <f t="shared" si="85"/>
        <v>37.77340263559055</v>
      </c>
      <c r="BS93" s="15">
        <f t="shared" si="72"/>
        <v>3.6316052209798833</v>
      </c>
      <c r="BT93" s="98">
        <f t="shared" si="73"/>
        <v>1</v>
      </c>
      <c r="BU93" s="128">
        <f>IF(BT93&gt;0,23,0)</f>
        <v>23</v>
      </c>
      <c r="BV93" s="128">
        <f t="shared" si="74"/>
        <v>529</v>
      </c>
      <c r="BW93" s="15">
        <f t="shared" si="75"/>
        <v>83.526920082537316</v>
      </c>
      <c r="BX93" s="127">
        <f t="shared" ca="1" si="57"/>
        <v>3.6571754156960279</v>
      </c>
      <c r="BY93" s="127">
        <f t="shared" ca="1" si="83"/>
        <v>38.75173060964017</v>
      </c>
      <c r="CA93" s="121">
        <f t="shared" si="76"/>
        <v>44958</v>
      </c>
      <c r="CB93" s="73">
        <f t="shared" si="86"/>
        <v>37.77340263559055</v>
      </c>
      <c r="CC93" s="15">
        <f t="shared" si="77"/>
        <v>3.6316052209798833</v>
      </c>
      <c r="CD93" s="98">
        <f t="shared" si="78"/>
        <v>1</v>
      </c>
      <c r="CE93" s="128">
        <f>IF(CD93&gt;0,23,0)</f>
        <v>23</v>
      </c>
      <c r="CF93" s="128">
        <f t="shared" si="79"/>
        <v>529</v>
      </c>
      <c r="CG93" s="15">
        <f t="shared" si="80"/>
        <v>83.526920082537316</v>
      </c>
      <c r="CH93" s="127">
        <f t="shared" ca="1" si="58"/>
        <v>3.6052526096059059</v>
      </c>
      <c r="CI93" s="127">
        <f t="shared" ca="1" si="84"/>
        <v>36.790976437556019</v>
      </c>
    </row>
    <row r="94" spans="47:87" x14ac:dyDescent="0.2">
      <c r="AU94" s="2">
        <v>24</v>
      </c>
      <c r="AW94" s="121">
        <f t="shared" si="59"/>
        <v>44986</v>
      </c>
      <c r="AX94" s="73">
        <f t="shared" si="60"/>
        <v>43.272089036718107</v>
      </c>
      <c r="AY94" s="15">
        <f t="shared" si="61"/>
        <v>3.7675078321728073</v>
      </c>
      <c r="AZ94" s="98">
        <f t="shared" si="62"/>
        <v>1</v>
      </c>
      <c r="BA94" s="128">
        <f>IF(AZ94&gt;0,24,0)</f>
        <v>24</v>
      </c>
      <c r="BB94" s="128">
        <f t="shared" si="63"/>
        <v>576</v>
      </c>
      <c r="BC94" s="15">
        <f t="shared" si="64"/>
        <v>90.420187972147374</v>
      </c>
      <c r="BD94" s="127">
        <f t="shared" ca="1" si="55"/>
        <v>3.6983901224695162</v>
      </c>
      <c r="BE94" s="127">
        <f t="shared" ca="1" si="81"/>
        <v>40.382241539248106</v>
      </c>
      <c r="BG94" s="121">
        <f t="shared" si="65"/>
        <v>44986</v>
      </c>
      <c r="BH94" s="73">
        <f t="shared" ca="1" si="66"/>
        <v>38.281980430201976</v>
      </c>
      <c r="BI94" s="15">
        <f t="shared" ca="1" si="67"/>
        <v>3.6449793006227522</v>
      </c>
      <c r="BJ94" s="98">
        <f t="shared" ca="1" si="68"/>
        <v>1</v>
      </c>
      <c r="BK94" s="128">
        <f ca="1">IF(BJ94&gt;0,24,0)</f>
        <v>24</v>
      </c>
      <c r="BL94" s="128">
        <f t="shared" ca="1" si="69"/>
        <v>576</v>
      </c>
      <c r="BM94" s="15">
        <f t="shared" ca="1" si="70"/>
        <v>87.47950321494605</v>
      </c>
      <c r="BN94" s="127">
        <f t="shared" ca="1" si="56"/>
        <v>3.7184763673387886</v>
      </c>
      <c r="BO94" s="127">
        <f t="shared" ca="1" si="82"/>
        <v>41.201570202433075</v>
      </c>
      <c r="BQ94" s="121">
        <f t="shared" si="71"/>
        <v>44986</v>
      </c>
      <c r="BR94" s="73">
        <f t="shared" ca="1" si="85"/>
        <v>38.281980430201976</v>
      </c>
      <c r="BS94" s="15">
        <f t="shared" ca="1" si="72"/>
        <v>3.6449793006227522</v>
      </c>
      <c r="BT94" s="98">
        <f t="shared" ca="1" si="73"/>
        <v>1</v>
      </c>
      <c r="BU94" s="128">
        <f ca="1">IF(BT94&gt;0,24,0)</f>
        <v>24</v>
      </c>
      <c r="BV94" s="128">
        <f t="shared" ca="1" si="74"/>
        <v>576</v>
      </c>
      <c r="BW94" s="15">
        <f t="shared" ca="1" si="75"/>
        <v>87.47950321494605</v>
      </c>
      <c r="BX94" s="127">
        <f t="shared" ca="1" si="57"/>
        <v>3.6571754156960279</v>
      </c>
      <c r="BY94" s="127">
        <f t="shared" ca="1" si="83"/>
        <v>38.75173060964017</v>
      </c>
      <c r="CA94" s="121">
        <f t="shared" si="76"/>
        <v>44986</v>
      </c>
      <c r="CB94" s="73">
        <f t="shared" ca="1" si="86"/>
        <v>38.281980430201976</v>
      </c>
      <c r="CC94" s="15">
        <f t="shared" ca="1" si="77"/>
        <v>3.6449793006227522</v>
      </c>
      <c r="CD94" s="98">
        <f t="shared" ca="1" si="78"/>
        <v>1</v>
      </c>
      <c r="CE94" s="128">
        <f ca="1">IF(CD94&gt;0,24,0)</f>
        <v>24</v>
      </c>
      <c r="CF94" s="128">
        <f t="shared" ca="1" si="79"/>
        <v>576</v>
      </c>
      <c r="CG94" s="15">
        <f t="shared" ca="1" si="80"/>
        <v>87.47950321494605</v>
      </c>
      <c r="CH94" s="127">
        <f t="shared" ca="1" si="58"/>
        <v>3.6052526096059059</v>
      </c>
      <c r="CI94" s="127">
        <f t="shared" ca="1" si="84"/>
        <v>36.790976437556019</v>
      </c>
    </row>
    <row r="95" spans="47:87" x14ac:dyDescent="0.2">
      <c r="AU95" s="2">
        <v>25</v>
      </c>
      <c r="AW95" s="121">
        <f t="shared" si="59"/>
        <v>45017</v>
      </c>
      <c r="AX95" s="73">
        <f t="shared" ca="1" si="60"/>
        <v>35.983312262958279</v>
      </c>
      <c r="AY95" s="15">
        <f t="shared" ca="1" si="61"/>
        <v>3.5830552827332469</v>
      </c>
      <c r="AZ95" s="98">
        <f t="shared" ca="1" si="62"/>
        <v>1</v>
      </c>
      <c r="BA95" s="128">
        <f ca="1">IF(AZ95&gt;0,25,0)</f>
        <v>25</v>
      </c>
      <c r="BB95" s="128">
        <f t="shared" ca="1" si="63"/>
        <v>625</v>
      </c>
      <c r="BC95" s="15">
        <f t="shared" ca="1" si="64"/>
        <v>89.576382068331171</v>
      </c>
      <c r="BD95" s="127">
        <f t="shared" ca="1" si="55"/>
        <v>3.6983901224695162</v>
      </c>
      <c r="BE95" s="127">
        <f t="shared" ca="1" si="81"/>
        <v>40.382241539248106</v>
      </c>
      <c r="BG95" s="121">
        <f t="shared" si="65"/>
        <v>45017</v>
      </c>
      <c r="BH95" s="73">
        <f t="shared" ca="1" si="66"/>
        <v>39.835795029093035</v>
      </c>
      <c r="BI95" s="15">
        <f t="shared" ca="1" si="67"/>
        <v>3.6847658806874697</v>
      </c>
      <c r="BJ95" s="98">
        <f t="shared" ca="1" si="68"/>
        <v>1</v>
      </c>
      <c r="BK95" s="128">
        <f ca="1">IF(BJ95&gt;0,25,0)</f>
        <v>25</v>
      </c>
      <c r="BL95" s="128">
        <f t="shared" ca="1" si="69"/>
        <v>625</v>
      </c>
      <c r="BM95" s="15">
        <f t="shared" ca="1" si="70"/>
        <v>92.119147017186748</v>
      </c>
      <c r="BN95" s="127">
        <f t="shared" ca="1" si="56"/>
        <v>3.7184763673387886</v>
      </c>
      <c r="BO95" s="127">
        <f t="shared" ca="1" si="82"/>
        <v>41.201570202433075</v>
      </c>
      <c r="BQ95" s="121">
        <f t="shared" si="71"/>
        <v>45017</v>
      </c>
      <c r="BR95" s="73">
        <f t="shared" ca="1" si="85"/>
        <v>39.835795029093035</v>
      </c>
      <c r="BS95" s="15">
        <f t="shared" ca="1" si="72"/>
        <v>3.6847658806874697</v>
      </c>
      <c r="BT95" s="98">
        <f t="shared" ca="1" si="73"/>
        <v>1</v>
      </c>
      <c r="BU95" s="128">
        <f ca="1">IF(BT95&gt;0,25,0)</f>
        <v>25</v>
      </c>
      <c r="BV95" s="128">
        <f t="shared" ca="1" si="74"/>
        <v>625</v>
      </c>
      <c r="BW95" s="15">
        <f t="shared" ca="1" si="75"/>
        <v>92.119147017186748</v>
      </c>
      <c r="BX95" s="127">
        <f t="shared" ca="1" si="57"/>
        <v>3.6571754156960279</v>
      </c>
      <c r="BY95" s="127">
        <f t="shared" ca="1" si="83"/>
        <v>38.75173060964017</v>
      </c>
      <c r="CA95" s="121">
        <f t="shared" si="76"/>
        <v>45017</v>
      </c>
      <c r="CB95" s="73">
        <f t="shared" ca="1" si="86"/>
        <v>39.835795029093035</v>
      </c>
      <c r="CC95" s="15">
        <f t="shared" ca="1" si="77"/>
        <v>3.6847658806874697</v>
      </c>
      <c r="CD95" s="98">
        <f t="shared" ca="1" si="78"/>
        <v>1</v>
      </c>
      <c r="CE95" s="128">
        <f ca="1">IF(CD95&gt;0,25,0)</f>
        <v>25</v>
      </c>
      <c r="CF95" s="128">
        <f t="shared" ca="1" si="79"/>
        <v>625</v>
      </c>
      <c r="CG95" s="15">
        <f t="shared" ca="1" si="80"/>
        <v>92.119147017186748</v>
      </c>
      <c r="CH95" s="127">
        <f t="shared" ca="1" si="58"/>
        <v>3.6052526096059059</v>
      </c>
      <c r="CI95" s="127">
        <f t="shared" ca="1" si="84"/>
        <v>36.790976437556019</v>
      </c>
    </row>
    <row r="96" spans="47:87" x14ac:dyDescent="0.2">
      <c r="AU96" s="2">
        <v>26</v>
      </c>
      <c r="AW96" s="121">
        <f t="shared" si="59"/>
        <v>45047</v>
      </c>
      <c r="AX96" s="73">
        <f t="shared" ca="1" si="60"/>
        <v>40.251983787602725</v>
      </c>
      <c r="AY96" s="15">
        <f t="shared" ca="1" si="61"/>
        <v>3.6951592892985405</v>
      </c>
      <c r="AZ96" s="98">
        <f t="shared" ca="1" si="62"/>
        <v>1</v>
      </c>
      <c r="BA96" s="128">
        <f ca="1">IF(AZ96&gt;0,26,0)</f>
        <v>26</v>
      </c>
      <c r="BB96" s="128">
        <f t="shared" ca="1" si="63"/>
        <v>676</v>
      </c>
      <c r="BC96" s="15">
        <f t="shared" ca="1" si="64"/>
        <v>96.074141521762058</v>
      </c>
      <c r="BD96" s="127">
        <f t="shared" ca="1" si="55"/>
        <v>3.6983901224695162</v>
      </c>
      <c r="BE96" s="127">
        <f t="shared" ca="1" si="81"/>
        <v>40.382241539248106</v>
      </c>
      <c r="BG96" s="121">
        <f t="shared" si="65"/>
        <v>45047</v>
      </c>
      <c r="BH96" s="73">
        <f t="shared" ca="1" si="66"/>
        <v>39.06728357194973</v>
      </c>
      <c r="BI96" s="15">
        <f t="shared" ca="1" si="67"/>
        <v>3.6652853794409879</v>
      </c>
      <c r="BJ96" s="98">
        <f t="shared" ca="1" si="68"/>
        <v>1</v>
      </c>
      <c r="BK96" s="128">
        <f ca="1">IF(BJ96&gt;0,26,0)</f>
        <v>26</v>
      </c>
      <c r="BL96" s="128">
        <f t="shared" ca="1" si="69"/>
        <v>676</v>
      </c>
      <c r="BM96" s="15">
        <f t="shared" ca="1" si="70"/>
        <v>95.297419865465685</v>
      </c>
      <c r="BN96" s="127">
        <f t="shared" ca="1" si="56"/>
        <v>3.7184763673387886</v>
      </c>
      <c r="BO96" s="127">
        <f t="shared" ca="1" si="82"/>
        <v>41.201570202433075</v>
      </c>
      <c r="BQ96" s="121">
        <f t="shared" si="71"/>
        <v>45047</v>
      </c>
      <c r="BR96" s="73">
        <f t="shared" ca="1" si="85"/>
        <v>39.06728357194973</v>
      </c>
      <c r="BS96" s="15">
        <f t="shared" ca="1" si="72"/>
        <v>3.6652853794409879</v>
      </c>
      <c r="BT96" s="98">
        <f t="shared" ca="1" si="73"/>
        <v>1</v>
      </c>
      <c r="BU96" s="128">
        <f ca="1">IF(BT96&gt;0,26,0)</f>
        <v>26</v>
      </c>
      <c r="BV96" s="128">
        <f t="shared" ca="1" si="74"/>
        <v>676</v>
      </c>
      <c r="BW96" s="15">
        <f t="shared" ca="1" si="75"/>
        <v>95.297419865465685</v>
      </c>
      <c r="BX96" s="127">
        <f t="shared" ca="1" si="57"/>
        <v>3.6571754156960279</v>
      </c>
      <c r="BY96" s="127">
        <f t="shared" ca="1" si="83"/>
        <v>38.75173060964017</v>
      </c>
      <c r="CA96" s="121">
        <f t="shared" si="76"/>
        <v>45047</v>
      </c>
      <c r="CB96" s="73">
        <f t="shared" ca="1" si="86"/>
        <v>39.06728357194973</v>
      </c>
      <c r="CC96" s="15">
        <f t="shared" ca="1" si="77"/>
        <v>3.6652853794409879</v>
      </c>
      <c r="CD96" s="98">
        <f t="shared" ca="1" si="78"/>
        <v>1</v>
      </c>
      <c r="CE96" s="128">
        <f ca="1">IF(CD96&gt;0,26,0)</f>
        <v>26</v>
      </c>
      <c r="CF96" s="128">
        <f t="shared" ca="1" si="79"/>
        <v>676</v>
      </c>
      <c r="CG96" s="15">
        <f t="shared" ca="1" si="80"/>
        <v>95.297419865465685</v>
      </c>
      <c r="CH96" s="127">
        <f t="shared" ca="1" si="58"/>
        <v>3.6052526096059059</v>
      </c>
      <c r="CI96" s="127">
        <f t="shared" ca="1" si="84"/>
        <v>36.790976437556019</v>
      </c>
    </row>
    <row r="97" spans="45:87" x14ac:dyDescent="0.2">
      <c r="AU97" s="2">
        <v>27</v>
      </c>
      <c r="AW97" s="121">
        <f t="shared" si="59"/>
        <v>45078</v>
      </c>
      <c r="AX97" s="73">
        <f t="shared" ca="1" si="60"/>
        <v>40.966554665288186</v>
      </c>
      <c r="AY97" s="15">
        <f t="shared" ca="1" si="61"/>
        <v>3.7127559939364687</v>
      </c>
      <c r="AZ97" s="98">
        <f t="shared" ca="1" si="62"/>
        <v>1</v>
      </c>
      <c r="BA97" s="128">
        <f ca="1">IF(AZ97&gt;0,27,0)</f>
        <v>27</v>
      </c>
      <c r="BB97" s="128">
        <f t="shared" ca="1" si="63"/>
        <v>729</v>
      </c>
      <c r="BC97" s="15">
        <f t="shared" ca="1" si="64"/>
        <v>100.24441183628466</v>
      </c>
      <c r="BD97" s="127">
        <f t="shared" ca="1" si="55"/>
        <v>3.6983901224695162</v>
      </c>
      <c r="BE97" s="127">
        <f t="shared" ca="1" si="81"/>
        <v>40.382241539248106</v>
      </c>
      <c r="BG97" s="121">
        <f t="shared" si="65"/>
        <v>45078</v>
      </c>
      <c r="BH97" s="73">
        <f t="shared" ca="1" si="66"/>
        <v>39.846795576588477</v>
      </c>
      <c r="BI97" s="15">
        <f t="shared" ca="1" si="67"/>
        <v>3.6850419898722167</v>
      </c>
      <c r="BJ97" s="98">
        <f t="shared" ca="1" si="68"/>
        <v>1</v>
      </c>
      <c r="BK97" s="128">
        <f ca="1">IF(BJ97&gt;0,27,0)</f>
        <v>27</v>
      </c>
      <c r="BL97" s="128">
        <f t="shared" ca="1" si="69"/>
        <v>729</v>
      </c>
      <c r="BM97" s="15">
        <f t="shared" ca="1" si="70"/>
        <v>99.496133726549843</v>
      </c>
      <c r="BN97" s="127">
        <f t="shared" ca="1" si="56"/>
        <v>3.7184763673387886</v>
      </c>
      <c r="BO97" s="127">
        <f t="shared" ca="1" si="82"/>
        <v>41.201570202433075</v>
      </c>
      <c r="BQ97" s="121">
        <f t="shared" si="71"/>
        <v>45078</v>
      </c>
      <c r="BR97" s="73">
        <f t="shared" ca="1" si="85"/>
        <v>39.846795576588477</v>
      </c>
      <c r="BS97" s="15">
        <f t="shared" ca="1" si="72"/>
        <v>3.6850419898722167</v>
      </c>
      <c r="BT97" s="98">
        <f t="shared" ca="1" si="73"/>
        <v>1</v>
      </c>
      <c r="BU97" s="128">
        <f ca="1">IF(BT97&gt;0,27,0)</f>
        <v>27</v>
      </c>
      <c r="BV97" s="128">
        <f t="shared" ca="1" si="74"/>
        <v>729</v>
      </c>
      <c r="BW97" s="15">
        <f t="shared" ca="1" si="75"/>
        <v>99.496133726549843</v>
      </c>
      <c r="BX97" s="127">
        <f t="shared" ca="1" si="57"/>
        <v>3.6571754156960279</v>
      </c>
      <c r="BY97" s="127">
        <f t="shared" ca="1" si="83"/>
        <v>38.75173060964017</v>
      </c>
      <c r="CA97" s="121">
        <f t="shared" si="76"/>
        <v>45078</v>
      </c>
      <c r="CB97" s="73">
        <f t="shared" ca="1" si="86"/>
        <v>39.846795576588477</v>
      </c>
      <c r="CC97" s="15">
        <f t="shared" ca="1" si="77"/>
        <v>3.6850419898722167</v>
      </c>
      <c r="CD97" s="98">
        <f t="shared" ca="1" si="78"/>
        <v>1</v>
      </c>
      <c r="CE97" s="128">
        <f ca="1">IF(CD97&gt;0,27,0)</f>
        <v>27</v>
      </c>
      <c r="CF97" s="128">
        <f t="shared" ca="1" si="79"/>
        <v>729</v>
      </c>
      <c r="CG97" s="15">
        <f t="shared" ca="1" si="80"/>
        <v>99.496133726549843</v>
      </c>
      <c r="CH97" s="127">
        <f t="shared" ca="1" si="58"/>
        <v>3.6052526096059059</v>
      </c>
      <c r="CI97" s="127">
        <f t="shared" ca="1" si="84"/>
        <v>36.790976437556019</v>
      </c>
    </row>
    <row r="98" spans="45:87" x14ac:dyDescent="0.2">
      <c r="AU98" s="2">
        <v>28</v>
      </c>
      <c r="AW98" s="121">
        <f t="shared" si="59"/>
        <v>45108</v>
      </c>
      <c r="AX98" s="73">
        <f t="shared" ca="1" si="60"/>
        <v>38.321848276874519</v>
      </c>
      <c r="AY98" s="15">
        <f t="shared" ca="1" si="61"/>
        <v>3.6460201846345561</v>
      </c>
      <c r="AZ98" s="98">
        <f t="shared" ca="1" si="62"/>
        <v>1</v>
      </c>
      <c r="BA98" s="128">
        <f ca="1">IF(AZ98&gt;0,28,0)</f>
        <v>28</v>
      </c>
      <c r="BB98" s="128">
        <f t="shared" ca="1" si="63"/>
        <v>784</v>
      </c>
      <c r="BC98" s="15">
        <f t="shared" ca="1" si="64"/>
        <v>102.08856516976758</v>
      </c>
      <c r="BD98" s="127">
        <f t="shared" ca="1" si="55"/>
        <v>3.6983901224695162</v>
      </c>
      <c r="BE98" s="127">
        <f t="shared" ca="1" si="81"/>
        <v>40.382241539248106</v>
      </c>
      <c r="BG98" s="121">
        <f t="shared" si="65"/>
        <v>45108</v>
      </c>
      <c r="BH98" s="73">
        <f t="shared" ca="1" si="66"/>
        <v>41.065749128111214</v>
      </c>
      <c r="BI98" s="15">
        <f t="shared" ca="1" si="67"/>
        <v>3.7151744195220791</v>
      </c>
      <c r="BJ98" s="98">
        <f t="shared" ca="1" si="68"/>
        <v>1</v>
      </c>
      <c r="BK98" s="128">
        <f ca="1">IF(BJ98&gt;0,28,0)</f>
        <v>28</v>
      </c>
      <c r="BL98" s="128">
        <f t="shared" ca="1" si="69"/>
        <v>784</v>
      </c>
      <c r="BM98" s="15">
        <f t="shared" ca="1" si="70"/>
        <v>104.02488374661822</v>
      </c>
      <c r="BN98" s="127">
        <f t="shared" ca="1" si="56"/>
        <v>3.7184763673387886</v>
      </c>
      <c r="BO98" s="127">
        <f t="shared" ca="1" si="82"/>
        <v>41.201570202433075</v>
      </c>
      <c r="BQ98" s="121">
        <f t="shared" si="71"/>
        <v>45108</v>
      </c>
      <c r="BR98" s="73">
        <f t="shared" ca="1" si="85"/>
        <v>41.065749128111214</v>
      </c>
      <c r="BS98" s="15">
        <f t="shared" ca="1" si="72"/>
        <v>3.7151744195220791</v>
      </c>
      <c r="BT98" s="98">
        <f t="shared" ca="1" si="73"/>
        <v>1</v>
      </c>
      <c r="BU98" s="128">
        <f ca="1">IF(BT98&gt;0,28,0)</f>
        <v>28</v>
      </c>
      <c r="BV98" s="128">
        <f t="shared" ca="1" si="74"/>
        <v>784</v>
      </c>
      <c r="BW98" s="15">
        <f t="shared" ca="1" si="75"/>
        <v>104.02488374661822</v>
      </c>
      <c r="BX98" s="127">
        <f t="shared" ca="1" si="57"/>
        <v>3.6571754156960279</v>
      </c>
      <c r="BY98" s="127">
        <f t="shared" ca="1" si="83"/>
        <v>38.75173060964017</v>
      </c>
      <c r="CA98" s="121">
        <f t="shared" si="76"/>
        <v>45108</v>
      </c>
      <c r="CB98" s="73">
        <f t="shared" ca="1" si="86"/>
        <v>41.065749128111214</v>
      </c>
      <c r="CC98" s="15">
        <f t="shared" ca="1" si="77"/>
        <v>3.7151744195220791</v>
      </c>
      <c r="CD98" s="98">
        <f t="shared" ca="1" si="78"/>
        <v>1</v>
      </c>
      <c r="CE98" s="128">
        <f ca="1">IF(CD98&gt;0,28,0)</f>
        <v>28</v>
      </c>
      <c r="CF98" s="128">
        <f t="shared" ca="1" si="79"/>
        <v>784</v>
      </c>
      <c r="CG98" s="15">
        <f t="shared" ca="1" si="80"/>
        <v>104.02488374661822</v>
      </c>
      <c r="CH98" s="127">
        <f t="shared" ca="1" si="58"/>
        <v>3.6052526096059059</v>
      </c>
      <c r="CI98" s="127">
        <f t="shared" ca="1" si="84"/>
        <v>36.790976437556019</v>
      </c>
    </row>
    <row r="99" spans="45:87" x14ac:dyDescent="0.2">
      <c r="AU99" s="2">
        <v>29</v>
      </c>
      <c r="AW99" s="121">
        <f t="shared" si="59"/>
        <v>45139</v>
      </c>
      <c r="AX99" s="73">
        <f t="shared" ca="1" si="60"/>
        <v>43.908844442170953</v>
      </c>
      <c r="AY99" s="15">
        <f t="shared" ca="1" si="61"/>
        <v>3.7821157677201889</v>
      </c>
      <c r="AZ99" s="98">
        <f t="shared" ca="1" si="62"/>
        <v>1</v>
      </c>
      <c r="BA99" s="128">
        <f ca="1">IF(AZ99&gt;0,29,0)</f>
        <v>29</v>
      </c>
      <c r="BB99" s="128">
        <f t="shared" ca="1" si="63"/>
        <v>841</v>
      </c>
      <c r="BC99" s="15">
        <f t="shared" ca="1" si="64"/>
        <v>109.68135726388547</v>
      </c>
      <c r="BD99" s="127">
        <f t="shared" ca="1" si="55"/>
        <v>3.6983901224695162</v>
      </c>
      <c r="BE99" s="127">
        <f t="shared" ca="1" si="81"/>
        <v>40.382241539248106</v>
      </c>
      <c r="BG99" s="121">
        <f t="shared" si="65"/>
        <v>45139</v>
      </c>
      <c r="BH99" s="73">
        <f t="shared" ca="1" si="66"/>
        <v>40.62223741069598</v>
      </c>
      <c r="BI99" s="15">
        <f t="shared" ca="1" si="67"/>
        <v>3.7043156361393943</v>
      </c>
      <c r="BJ99" s="98">
        <f t="shared" ca="1" si="68"/>
        <v>1</v>
      </c>
      <c r="BK99" s="128">
        <f ca="1">IF(BJ99&gt;0,29,0)</f>
        <v>29</v>
      </c>
      <c r="BL99" s="128">
        <f t="shared" ca="1" si="69"/>
        <v>841</v>
      </c>
      <c r="BM99" s="15">
        <f t="shared" ca="1" si="70"/>
        <v>107.42515344804244</v>
      </c>
      <c r="BN99" s="127">
        <f t="shared" ca="1" si="56"/>
        <v>3.7184763673387886</v>
      </c>
      <c r="BO99" s="127">
        <f t="shared" ca="1" si="82"/>
        <v>41.201570202433075</v>
      </c>
      <c r="BQ99" s="121">
        <f t="shared" si="71"/>
        <v>45139</v>
      </c>
      <c r="BR99" s="73">
        <f t="shared" ca="1" si="85"/>
        <v>40.62223741069598</v>
      </c>
      <c r="BS99" s="15">
        <f t="shared" ca="1" si="72"/>
        <v>3.7043156361393943</v>
      </c>
      <c r="BT99" s="98">
        <f t="shared" ca="1" si="73"/>
        <v>1</v>
      </c>
      <c r="BU99" s="128">
        <f ca="1">IF(BT99&gt;0,29,0)</f>
        <v>29</v>
      </c>
      <c r="BV99" s="128">
        <f t="shared" ca="1" si="74"/>
        <v>841</v>
      </c>
      <c r="BW99" s="15">
        <f t="shared" ca="1" si="75"/>
        <v>107.42515344804244</v>
      </c>
      <c r="BX99" s="127">
        <f t="shared" ca="1" si="57"/>
        <v>3.6571754156960279</v>
      </c>
      <c r="BY99" s="127">
        <f t="shared" ca="1" si="83"/>
        <v>38.75173060964017</v>
      </c>
      <c r="CA99" s="121">
        <f t="shared" si="76"/>
        <v>45139</v>
      </c>
      <c r="CB99" s="73">
        <f t="shared" ca="1" si="86"/>
        <v>40.62223741069598</v>
      </c>
      <c r="CC99" s="15">
        <f t="shared" ca="1" si="77"/>
        <v>3.7043156361393943</v>
      </c>
      <c r="CD99" s="98">
        <f t="shared" ca="1" si="78"/>
        <v>1</v>
      </c>
      <c r="CE99" s="128">
        <f ca="1">IF(CD99&gt;0,29,0)</f>
        <v>29</v>
      </c>
      <c r="CF99" s="128">
        <f t="shared" ca="1" si="79"/>
        <v>841</v>
      </c>
      <c r="CG99" s="15">
        <f t="shared" ca="1" si="80"/>
        <v>107.42515344804244</v>
      </c>
      <c r="CH99" s="127">
        <f t="shared" ca="1" si="58"/>
        <v>3.6052526096059059</v>
      </c>
      <c r="CI99" s="127">
        <f t="shared" ca="1" si="84"/>
        <v>36.790976437556019</v>
      </c>
    </row>
    <row r="100" spans="45:87" x14ac:dyDescent="0.2">
      <c r="AU100" s="2">
        <v>30</v>
      </c>
      <c r="AW100" s="121">
        <f t="shared" si="59"/>
        <v>45170</v>
      </c>
      <c r="AX100" s="73">
        <f t="shared" ca="1" si="60"/>
        <v>39.63601951304247</v>
      </c>
      <c r="AY100" s="15">
        <f t="shared" ca="1" si="61"/>
        <v>3.6797382885025787</v>
      </c>
      <c r="AZ100" s="98">
        <f t="shared" ca="1" si="62"/>
        <v>1</v>
      </c>
      <c r="BA100" s="128">
        <f ca="1">IF(AZ100&gt;0,30,0)</f>
        <v>30</v>
      </c>
      <c r="BB100" s="128">
        <f t="shared" ca="1" si="63"/>
        <v>900</v>
      </c>
      <c r="BC100" s="15">
        <f t="shared" ca="1" si="64"/>
        <v>110.39214865507736</v>
      </c>
      <c r="BD100" s="127">
        <f t="shared" ca="1" si="55"/>
        <v>3.6983901224695162</v>
      </c>
      <c r="BE100" s="127">
        <f t="shared" ca="1" si="81"/>
        <v>40.382241539248106</v>
      </c>
      <c r="BG100" s="121">
        <f t="shared" si="65"/>
        <v>45170</v>
      </c>
      <c r="BH100" s="73">
        <f t="shared" ca="1" si="66"/>
        <v>42.966373388232512</v>
      </c>
      <c r="BI100" s="15">
        <f t="shared" ca="1" si="67"/>
        <v>3.7604177955337796</v>
      </c>
      <c r="BJ100" s="98">
        <f t="shared" ca="1" si="68"/>
        <v>1</v>
      </c>
      <c r="BK100" s="128">
        <f ca="1">IF(BJ100&gt;0,30,0)</f>
        <v>30</v>
      </c>
      <c r="BL100" s="128">
        <f t="shared" ca="1" si="69"/>
        <v>900</v>
      </c>
      <c r="BM100" s="15">
        <f t="shared" ca="1" si="70"/>
        <v>112.81253386601338</v>
      </c>
      <c r="BN100" s="127">
        <f t="shared" ca="1" si="56"/>
        <v>3.7184763673387886</v>
      </c>
      <c r="BO100" s="127">
        <f t="shared" ca="1" si="82"/>
        <v>41.201570202433075</v>
      </c>
      <c r="BQ100" s="121">
        <f t="shared" si="71"/>
        <v>45170</v>
      </c>
      <c r="BR100" s="73">
        <f t="shared" ca="1" si="85"/>
        <v>42.966373388232512</v>
      </c>
      <c r="BS100" s="15">
        <f t="shared" ca="1" si="72"/>
        <v>3.7604177955337796</v>
      </c>
      <c r="BT100" s="98">
        <f t="shared" ca="1" si="73"/>
        <v>1</v>
      </c>
      <c r="BU100" s="128">
        <f ca="1">IF(BT100&gt;0,30,0)</f>
        <v>30</v>
      </c>
      <c r="BV100" s="128">
        <f t="shared" ca="1" si="74"/>
        <v>900</v>
      </c>
      <c r="BW100" s="15">
        <f t="shared" ca="1" si="75"/>
        <v>112.81253386601338</v>
      </c>
      <c r="BX100" s="127">
        <f t="shared" ca="1" si="57"/>
        <v>3.6571754156960279</v>
      </c>
      <c r="BY100" s="127">
        <f t="shared" ca="1" si="83"/>
        <v>38.75173060964017</v>
      </c>
      <c r="CA100" s="121">
        <f t="shared" si="76"/>
        <v>45170</v>
      </c>
      <c r="CB100" s="73">
        <f t="shared" ca="1" si="86"/>
        <v>42.966373388232512</v>
      </c>
      <c r="CC100" s="15">
        <f t="shared" ca="1" si="77"/>
        <v>3.7604177955337796</v>
      </c>
      <c r="CD100" s="98">
        <f t="shared" ca="1" si="78"/>
        <v>1</v>
      </c>
      <c r="CE100" s="128">
        <f ca="1">IF(CD100&gt;0,30,0)</f>
        <v>30</v>
      </c>
      <c r="CF100" s="128">
        <f t="shared" ca="1" si="79"/>
        <v>900</v>
      </c>
      <c r="CG100" s="15">
        <f t="shared" ca="1" si="80"/>
        <v>112.81253386601338</v>
      </c>
      <c r="CH100" s="127">
        <f t="shared" ca="1" si="58"/>
        <v>3.6052526096059059</v>
      </c>
      <c r="CI100" s="127">
        <f t="shared" ca="1" si="84"/>
        <v>36.790976437556019</v>
      </c>
    </row>
    <row r="101" spans="45:87" x14ac:dyDescent="0.2">
      <c r="AU101" s="2">
        <v>31</v>
      </c>
      <c r="AW101" s="121">
        <f t="shared" si="59"/>
        <v>45200</v>
      </c>
      <c r="AX101" s="73">
        <f t="shared" ca="1" si="60"/>
        <v>45.354256209484092</v>
      </c>
      <c r="AY101" s="15">
        <f t="shared" ca="1" si="61"/>
        <v>3.8145040246266078</v>
      </c>
      <c r="AZ101" s="98">
        <f t="shared" ca="1" si="62"/>
        <v>1</v>
      </c>
      <c r="BA101" s="128">
        <f ca="1">IF(AZ101&gt;0,31,0)</f>
        <v>31</v>
      </c>
      <c r="BB101" s="128">
        <f t="shared" ca="1" si="63"/>
        <v>961</v>
      </c>
      <c r="BC101" s="15">
        <f t="shared" ca="1" si="64"/>
        <v>118.24962476342483</v>
      </c>
      <c r="BD101" s="127">
        <f t="shared" ca="1" si="55"/>
        <v>3.6983901224695162</v>
      </c>
      <c r="BE101" s="127">
        <f t="shared" ca="1" si="81"/>
        <v>40.382241539248106</v>
      </c>
      <c r="BG101" s="121">
        <f t="shared" si="65"/>
        <v>45200</v>
      </c>
      <c r="BH101" s="73">
        <f t="shared" ca="1" si="66"/>
        <v>42.365922389362225</v>
      </c>
      <c r="BI101" s="15">
        <f t="shared" ca="1" si="67"/>
        <v>3.7463443218520336</v>
      </c>
      <c r="BJ101" s="98">
        <f t="shared" ca="1" si="68"/>
        <v>1</v>
      </c>
      <c r="BK101" s="128">
        <f ca="1">IF(BJ101&gt;0,31,0)</f>
        <v>31</v>
      </c>
      <c r="BL101" s="128">
        <f t="shared" ca="1" si="69"/>
        <v>961</v>
      </c>
      <c r="BM101" s="15">
        <f t="shared" ca="1" si="70"/>
        <v>116.13667397741304</v>
      </c>
      <c r="BN101" s="127">
        <f t="shared" ca="1" si="56"/>
        <v>3.7184763673387886</v>
      </c>
      <c r="BO101" s="127">
        <f t="shared" ca="1" si="82"/>
        <v>41.201570202433075</v>
      </c>
      <c r="BQ101" s="121">
        <f t="shared" si="71"/>
        <v>45200</v>
      </c>
      <c r="BR101" s="73">
        <f t="shared" ca="1" si="85"/>
        <v>42.365922389362225</v>
      </c>
      <c r="BS101" s="15">
        <f t="shared" ca="1" si="72"/>
        <v>3.7463443218520336</v>
      </c>
      <c r="BT101" s="98">
        <f t="shared" ca="1" si="73"/>
        <v>1</v>
      </c>
      <c r="BU101" s="128">
        <f ca="1">IF(BT101&gt;0,31,0)</f>
        <v>31</v>
      </c>
      <c r="BV101" s="128">
        <f t="shared" ca="1" si="74"/>
        <v>961</v>
      </c>
      <c r="BW101" s="15">
        <f t="shared" ca="1" si="75"/>
        <v>116.13667397741304</v>
      </c>
      <c r="BX101" s="127">
        <f t="shared" ca="1" si="57"/>
        <v>3.6571754156960279</v>
      </c>
      <c r="BY101" s="127">
        <f t="shared" ca="1" si="83"/>
        <v>38.75173060964017</v>
      </c>
      <c r="CA101" s="121">
        <f t="shared" si="76"/>
        <v>45200</v>
      </c>
      <c r="CB101" s="73">
        <f t="shared" ca="1" si="86"/>
        <v>42.365922389362225</v>
      </c>
      <c r="CC101" s="15">
        <f t="shared" ca="1" si="77"/>
        <v>3.7463443218520336</v>
      </c>
      <c r="CD101" s="98">
        <f t="shared" ca="1" si="78"/>
        <v>1</v>
      </c>
      <c r="CE101" s="128">
        <f ca="1">IF(CD101&gt;0,31,0)</f>
        <v>31</v>
      </c>
      <c r="CF101" s="128">
        <f t="shared" ca="1" si="79"/>
        <v>961</v>
      </c>
      <c r="CG101" s="15">
        <f t="shared" ca="1" si="80"/>
        <v>116.13667397741304</v>
      </c>
      <c r="CH101" s="127">
        <f t="shared" ca="1" si="58"/>
        <v>3.6052526096059059</v>
      </c>
      <c r="CI101" s="127">
        <f t="shared" ca="1" si="84"/>
        <v>36.790976437556019</v>
      </c>
    </row>
    <row r="102" spans="45:87" x14ac:dyDescent="0.2">
      <c r="AU102" s="2">
        <v>32</v>
      </c>
      <c r="AW102" s="121">
        <f t="shared" si="59"/>
        <v>45231</v>
      </c>
      <c r="AX102" s="73">
        <f t="shared" ca="1" si="60"/>
        <v>42.107491445560107</v>
      </c>
      <c r="AY102" s="15">
        <f t="shared" ca="1" si="61"/>
        <v>3.7402256689332285</v>
      </c>
      <c r="AZ102" s="98">
        <f t="shared" ca="1" si="62"/>
        <v>1</v>
      </c>
      <c r="BA102" s="128">
        <f ca="1">IF(AZ102&gt;0,32,0)</f>
        <v>32</v>
      </c>
      <c r="BB102" s="128">
        <f t="shared" ca="1" si="63"/>
        <v>1024</v>
      </c>
      <c r="BC102" s="15">
        <f t="shared" ca="1" si="64"/>
        <v>119.68722140586331</v>
      </c>
      <c r="BD102" s="127">
        <f t="shared" ca="1" si="55"/>
        <v>3.6983901224695162</v>
      </c>
      <c r="BE102" s="127">
        <f t="shared" ca="1" si="81"/>
        <v>40.382241539248106</v>
      </c>
      <c r="BG102" s="121">
        <f t="shared" si="65"/>
        <v>45231</v>
      </c>
      <c r="BH102" s="73">
        <f t="shared" ca="1" si="66"/>
        <v>42.398128718961154</v>
      </c>
      <c r="BI102" s="15">
        <f t="shared" ca="1" si="67"/>
        <v>3.7471042272772137</v>
      </c>
      <c r="BJ102" s="98">
        <f t="shared" ca="1" si="68"/>
        <v>1</v>
      </c>
      <c r="BK102" s="128">
        <f ca="1">IF(BJ102&gt;0,32,0)</f>
        <v>32</v>
      </c>
      <c r="BL102" s="128">
        <f t="shared" ca="1" si="69"/>
        <v>1024</v>
      </c>
      <c r="BM102" s="15">
        <f t="shared" ca="1" si="70"/>
        <v>119.90733527287084</v>
      </c>
      <c r="BN102" s="127">
        <f t="shared" ca="1" si="56"/>
        <v>3.7184763673387886</v>
      </c>
      <c r="BO102" s="127">
        <f t="shared" ca="1" si="82"/>
        <v>41.201570202433075</v>
      </c>
      <c r="BQ102" s="121">
        <f t="shared" si="71"/>
        <v>45231</v>
      </c>
      <c r="BR102" s="73">
        <f t="shared" ca="1" si="85"/>
        <v>42.398128718961154</v>
      </c>
      <c r="BS102" s="15">
        <f t="shared" ca="1" si="72"/>
        <v>3.7471042272772137</v>
      </c>
      <c r="BT102" s="98">
        <f t="shared" ca="1" si="73"/>
        <v>1</v>
      </c>
      <c r="BU102" s="128">
        <f ca="1">IF(BT102&gt;0,32,0)</f>
        <v>32</v>
      </c>
      <c r="BV102" s="128">
        <f t="shared" ca="1" si="74"/>
        <v>1024</v>
      </c>
      <c r="BW102" s="15">
        <f t="shared" ca="1" si="75"/>
        <v>119.90733527287084</v>
      </c>
      <c r="BX102" s="127">
        <f t="shared" ca="1" si="57"/>
        <v>3.6571754156960279</v>
      </c>
      <c r="BY102" s="127">
        <f t="shared" ca="1" si="83"/>
        <v>38.75173060964017</v>
      </c>
      <c r="CA102" s="121">
        <f t="shared" si="76"/>
        <v>45231</v>
      </c>
      <c r="CB102" s="73">
        <f t="shared" ca="1" si="86"/>
        <v>42.398128718961154</v>
      </c>
      <c r="CC102" s="15">
        <f t="shared" ca="1" si="77"/>
        <v>3.7471042272772137</v>
      </c>
      <c r="CD102" s="98">
        <f t="shared" ca="1" si="78"/>
        <v>1</v>
      </c>
      <c r="CE102" s="128">
        <f ca="1">IF(CD102&gt;0,32,0)</f>
        <v>32</v>
      </c>
      <c r="CF102" s="128">
        <f t="shared" ca="1" si="79"/>
        <v>1024</v>
      </c>
      <c r="CG102" s="15">
        <f t="shared" ca="1" si="80"/>
        <v>119.90733527287084</v>
      </c>
      <c r="CH102" s="127">
        <f t="shared" ca="1" si="58"/>
        <v>3.6052526096059059</v>
      </c>
      <c r="CI102" s="127">
        <f t="shared" ca="1" si="84"/>
        <v>36.790976437556019</v>
      </c>
    </row>
    <row r="103" spans="45:87" x14ac:dyDescent="0.2">
      <c r="AU103" s="2">
        <v>33</v>
      </c>
      <c r="AW103" s="121">
        <f t="shared" si="59"/>
        <v>45261</v>
      </c>
      <c r="AX103" s="73">
        <f t="shared" ca="1" si="60"/>
        <v>39.732638501839261</v>
      </c>
      <c r="AY103" s="15">
        <f t="shared" ca="1" si="61"/>
        <v>3.6821729784404167</v>
      </c>
      <c r="AZ103" s="98">
        <f t="shared" ca="1" si="62"/>
        <v>1</v>
      </c>
      <c r="BA103" s="128">
        <f ca="1">IF(AZ103&gt;0,33,0)</f>
        <v>33</v>
      </c>
      <c r="BB103" s="128">
        <f t="shared" ca="1" si="63"/>
        <v>1089</v>
      </c>
      <c r="BC103" s="15">
        <f t="shared" ca="1" si="64"/>
        <v>121.51170828853375</v>
      </c>
      <c r="BD103" s="127">
        <f t="shared" ca="1" si="55"/>
        <v>3.6983901224695162</v>
      </c>
      <c r="BE103" s="127">
        <f t="shared" ca="1" si="81"/>
        <v>40.382241539248106</v>
      </c>
      <c r="BG103" s="121">
        <f t="shared" si="65"/>
        <v>45261</v>
      </c>
      <c r="BH103" s="73">
        <f t="shared" ca="1" si="66"/>
        <v>39.63227905853757</v>
      </c>
      <c r="BI103" s="15">
        <f t="shared" ca="1" si="67"/>
        <v>3.6796439139650881</v>
      </c>
      <c r="BJ103" s="98">
        <f t="shared" ca="1" si="68"/>
        <v>1</v>
      </c>
      <c r="BK103" s="128">
        <f ca="1">IF(BJ103&gt;0,33,0)</f>
        <v>33</v>
      </c>
      <c r="BL103" s="128">
        <f t="shared" ca="1" si="69"/>
        <v>1089</v>
      </c>
      <c r="BM103" s="15">
        <f t="shared" ca="1" si="70"/>
        <v>121.42824916084791</v>
      </c>
      <c r="BN103" s="127">
        <f t="shared" ca="1" si="56"/>
        <v>3.7184763673387886</v>
      </c>
      <c r="BO103" s="127">
        <f t="shared" ca="1" si="82"/>
        <v>41.201570202433075</v>
      </c>
      <c r="BQ103" s="121">
        <f t="shared" si="71"/>
        <v>45261</v>
      </c>
      <c r="BR103" s="73">
        <f t="shared" ca="1" si="85"/>
        <v>39.63227905853757</v>
      </c>
      <c r="BS103" s="15">
        <f t="shared" ca="1" si="72"/>
        <v>3.6796439139650881</v>
      </c>
      <c r="BT103" s="98">
        <f t="shared" ca="1" si="73"/>
        <v>1</v>
      </c>
      <c r="BU103" s="128">
        <f ca="1">IF(BT103&gt;0,33,0)</f>
        <v>33</v>
      </c>
      <c r="BV103" s="128">
        <f t="shared" ca="1" si="74"/>
        <v>1089</v>
      </c>
      <c r="BW103" s="15">
        <f t="shared" ca="1" si="75"/>
        <v>121.42824916084791</v>
      </c>
      <c r="BX103" s="127">
        <f t="shared" ca="1" si="57"/>
        <v>3.6571754156960279</v>
      </c>
      <c r="BY103" s="127">
        <f t="shared" ca="1" si="83"/>
        <v>38.75173060964017</v>
      </c>
      <c r="CA103" s="121">
        <f t="shared" si="76"/>
        <v>45261</v>
      </c>
      <c r="CB103" s="73">
        <f t="shared" ca="1" si="86"/>
        <v>39.63227905853757</v>
      </c>
      <c r="CC103" s="15">
        <f t="shared" ca="1" si="77"/>
        <v>3.6796439139650881</v>
      </c>
      <c r="CD103" s="98">
        <f t="shared" ca="1" si="78"/>
        <v>1</v>
      </c>
      <c r="CE103" s="128">
        <f ca="1">IF(CD103&gt;0,33,0)</f>
        <v>33</v>
      </c>
      <c r="CF103" s="128">
        <f t="shared" ca="1" si="79"/>
        <v>1089</v>
      </c>
      <c r="CG103" s="15">
        <f t="shared" ca="1" si="80"/>
        <v>121.42824916084791</v>
      </c>
      <c r="CH103" s="127">
        <f t="shared" ca="1" si="58"/>
        <v>3.6052526096059059</v>
      </c>
      <c r="CI103" s="127">
        <f t="shared" ca="1" si="84"/>
        <v>36.790976437556019</v>
      </c>
    </row>
    <row r="104" spans="45:87" x14ac:dyDescent="0.2">
      <c r="AU104" s="2">
        <v>34</v>
      </c>
      <c r="AW104" s="121">
        <f t="shared" si="59"/>
        <v>45292</v>
      </c>
      <c r="AX104" s="73">
        <f t="shared" ca="1" si="60"/>
        <v>37.056707228213348</v>
      </c>
      <c r="AY104" s="15">
        <f t="shared" ca="1" si="61"/>
        <v>3.612449367158447</v>
      </c>
      <c r="AZ104" s="98">
        <f t="shared" ca="1" si="62"/>
        <v>1</v>
      </c>
      <c r="BA104" s="128">
        <f ca="1">IF(AZ104&gt;0,34,0)</f>
        <v>34</v>
      </c>
      <c r="BB104" s="128">
        <f t="shared" ca="1" si="63"/>
        <v>1156</v>
      </c>
      <c r="BC104" s="15">
        <f t="shared" ca="1" si="64"/>
        <v>122.8232784833872</v>
      </c>
      <c r="BD104" s="127">
        <f t="shared" ca="1" si="55"/>
        <v>3.6983901224695162</v>
      </c>
      <c r="BE104" s="127">
        <f t="shared" ca="1" si="81"/>
        <v>40.382241539248106</v>
      </c>
      <c r="BG104" s="121">
        <f t="shared" si="65"/>
        <v>45292</v>
      </c>
      <c r="BH104" s="73">
        <f t="shared" ca="1" si="66"/>
        <v>38.110022627918276</v>
      </c>
      <c r="BI104" s="15">
        <f t="shared" ca="1" si="67"/>
        <v>3.6404773086383679</v>
      </c>
      <c r="BJ104" s="98">
        <f t="shared" ca="1" si="68"/>
        <v>1</v>
      </c>
      <c r="BK104" s="128">
        <f ca="1">IF(BJ104&gt;0,34,0)</f>
        <v>34</v>
      </c>
      <c r="BL104" s="128">
        <f t="shared" ca="1" si="69"/>
        <v>1156</v>
      </c>
      <c r="BM104" s="15">
        <f t="shared" ca="1" si="70"/>
        <v>123.77622849370451</v>
      </c>
      <c r="BN104" s="127">
        <f t="shared" ca="1" si="56"/>
        <v>3.7184763673387886</v>
      </c>
      <c r="BO104" s="127">
        <f t="shared" ca="1" si="82"/>
        <v>41.201570202433075</v>
      </c>
      <c r="BQ104" s="121">
        <f t="shared" si="71"/>
        <v>45292</v>
      </c>
      <c r="BR104" s="73">
        <f t="shared" ca="1" si="85"/>
        <v>38.110022627918276</v>
      </c>
      <c r="BS104" s="15">
        <f t="shared" ca="1" si="72"/>
        <v>3.6404773086383679</v>
      </c>
      <c r="BT104" s="98">
        <f t="shared" ca="1" si="73"/>
        <v>1</v>
      </c>
      <c r="BU104" s="128">
        <f ca="1">IF(BT104&gt;0,34,0)</f>
        <v>34</v>
      </c>
      <c r="BV104" s="128">
        <f t="shared" ca="1" si="74"/>
        <v>1156</v>
      </c>
      <c r="BW104" s="15">
        <f t="shared" ca="1" si="75"/>
        <v>123.77622849370451</v>
      </c>
      <c r="BX104" s="127">
        <f t="shared" ca="1" si="57"/>
        <v>3.6571754156960279</v>
      </c>
      <c r="BY104" s="127">
        <f t="shared" ca="1" si="83"/>
        <v>38.75173060964017</v>
      </c>
      <c r="CA104" s="121">
        <f t="shared" si="76"/>
        <v>45292</v>
      </c>
      <c r="CB104" s="73">
        <f t="shared" ca="1" si="86"/>
        <v>38.110022627918276</v>
      </c>
      <c r="CC104" s="15">
        <f t="shared" ca="1" si="77"/>
        <v>3.6404773086383679</v>
      </c>
      <c r="CD104" s="98">
        <f t="shared" ca="1" si="78"/>
        <v>1</v>
      </c>
      <c r="CE104" s="128">
        <f ca="1">IF(CD104&gt;0,34,0)</f>
        <v>34</v>
      </c>
      <c r="CF104" s="128">
        <f t="shared" ca="1" si="79"/>
        <v>1156</v>
      </c>
      <c r="CG104" s="15">
        <f t="shared" ca="1" si="80"/>
        <v>123.77622849370451</v>
      </c>
      <c r="CH104" s="127">
        <f t="shared" ca="1" si="58"/>
        <v>3.6052526096059059</v>
      </c>
      <c r="CI104" s="127">
        <f t="shared" ca="1" si="84"/>
        <v>36.790976437556019</v>
      </c>
    </row>
    <row r="105" spans="45:87" x14ac:dyDescent="0.2">
      <c r="AU105" s="2">
        <v>35</v>
      </c>
      <c r="AW105" s="121">
        <f t="shared" si="59"/>
        <v>45323</v>
      </c>
      <c r="AX105" s="73">
        <f t="shared" ca="1" si="60"/>
        <v>37.540722153702205</v>
      </c>
      <c r="AY105" s="15">
        <f t="shared" ca="1" si="61"/>
        <v>3.625426267886021</v>
      </c>
      <c r="AZ105" s="98">
        <f t="shared" ca="1" si="62"/>
        <v>1</v>
      </c>
      <c r="BA105" s="128">
        <f ca="1">IF(AZ105&gt;0,35,0)</f>
        <v>35</v>
      </c>
      <c r="BB105" s="128">
        <f t="shared" ca="1" si="63"/>
        <v>1225</v>
      </c>
      <c r="BC105" s="15">
        <f t="shared" ca="1" si="64"/>
        <v>126.88991937601074</v>
      </c>
      <c r="BD105" s="127">
        <f t="shared" ca="1" si="55"/>
        <v>3.6983901224695162</v>
      </c>
      <c r="BE105" s="127">
        <f t="shared" ca="1" si="81"/>
        <v>40.382241539248106</v>
      </c>
      <c r="BG105" s="121">
        <f t="shared" si="65"/>
        <v>45323</v>
      </c>
      <c r="BH105" s="73">
        <f t="shared" ca="1" si="66"/>
        <v>38.815809389715845</v>
      </c>
      <c r="BI105" s="15">
        <f t="shared" ca="1" si="67"/>
        <v>3.6588276221383871</v>
      </c>
      <c r="BJ105" s="98">
        <f t="shared" ca="1" si="68"/>
        <v>1</v>
      </c>
      <c r="BK105" s="128">
        <f ca="1">IF(BJ105&gt;0,35,0)</f>
        <v>35</v>
      </c>
      <c r="BL105" s="128">
        <f t="shared" ca="1" si="69"/>
        <v>1225</v>
      </c>
      <c r="BM105" s="15">
        <f t="shared" ca="1" si="70"/>
        <v>128.05896677484355</v>
      </c>
      <c r="BN105" s="127">
        <f t="shared" ca="1" si="56"/>
        <v>3.7184763673387886</v>
      </c>
      <c r="BO105" s="127">
        <f t="shared" ca="1" si="82"/>
        <v>41.201570202433075</v>
      </c>
      <c r="BQ105" s="121">
        <f t="shared" si="71"/>
        <v>45323</v>
      </c>
      <c r="BR105" s="73">
        <f t="shared" ca="1" si="85"/>
        <v>38.815809389715845</v>
      </c>
      <c r="BS105" s="15">
        <f t="shared" ca="1" si="72"/>
        <v>3.6588276221383871</v>
      </c>
      <c r="BT105" s="98">
        <f t="shared" ca="1" si="73"/>
        <v>1</v>
      </c>
      <c r="BU105" s="128">
        <f ca="1">IF(BT105&gt;0,35,0)</f>
        <v>35</v>
      </c>
      <c r="BV105" s="128">
        <f t="shared" ca="1" si="74"/>
        <v>1225</v>
      </c>
      <c r="BW105" s="15">
        <f t="shared" ca="1" si="75"/>
        <v>128.05896677484355</v>
      </c>
      <c r="BX105" s="127">
        <f t="shared" ca="1" si="57"/>
        <v>3.6571754156960279</v>
      </c>
      <c r="BY105" s="127">
        <f t="shared" ca="1" si="83"/>
        <v>38.75173060964017</v>
      </c>
      <c r="CA105" s="121">
        <f t="shared" si="76"/>
        <v>45323</v>
      </c>
      <c r="CB105" s="73">
        <f t="shared" ca="1" si="86"/>
        <v>38.815809389715845</v>
      </c>
      <c r="CC105" s="15">
        <f t="shared" ca="1" si="77"/>
        <v>3.6588276221383871</v>
      </c>
      <c r="CD105" s="98">
        <f t="shared" ca="1" si="78"/>
        <v>1</v>
      </c>
      <c r="CE105" s="128">
        <f ca="1">IF(CD105&gt;0,35,0)</f>
        <v>35</v>
      </c>
      <c r="CF105" s="128">
        <f t="shared" ca="1" si="79"/>
        <v>1225</v>
      </c>
      <c r="CG105" s="15">
        <f t="shared" ca="1" si="80"/>
        <v>128.05896677484355</v>
      </c>
      <c r="CH105" s="127">
        <f t="shared" ca="1" si="58"/>
        <v>3.6052526096059059</v>
      </c>
      <c r="CI105" s="127">
        <f t="shared" ca="1" si="84"/>
        <v>36.790976437556019</v>
      </c>
    </row>
    <row r="106" spans="45:87" x14ac:dyDescent="0.2">
      <c r="AU106" s="2">
        <v>36</v>
      </c>
      <c r="AW106" s="121">
        <f t="shared" si="59"/>
        <v>45352</v>
      </c>
      <c r="AX106" s="73">
        <f t="shared" ca="1" si="60"/>
        <v>41.849998787231975</v>
      </c>
      <c r="AY106" s="15">
        <f t="shared" ca="1" si="61"/>
        <v>3.7340917679565586</v>
      </c>
      <c r="AZ106" s="98">
        <f t="shared" ca="1" si="62"/>
        <v>1</v>
      </c>
      <c r="BA106" s="128">
        <f ca="1">IF(AZ106&gt;0,36,0)</f>
        <v>36</v>
      </c>
      <c r="BB106" s="128">
        <f t="shared" ca="1" si="63"/>
        <v>1296</v>
      </c>
      <c r="BC106" s="15">
        <f t="shared" ca="1" si="64"/>
        <v>134.42730364643612</v>
      </c>
      <c r="BD106" s="127">
        <f t="shared" ca="1" si="55"/>
        <v>3.6983901224695162</v>
      </c>
      <c r="BE106" s="127">
        <f t="shared" ca="1" si="81"/>
        <v>40.382241539248106</v>
      </c>
      <c r="BG106" s="121">
        <f t="shared" si="65"/>
        <v>45352</v>
      </c>
      <c r="BH106" s="73">
        <f t="shared" si="66"/>
        <v>0</v>
      </c>
      <c r="BI106" s="15">
        <f t="shared" si="67"/>
        <v>0</v>
      </c>
      <c r="BJ106" s="98">
        <f t="shared" si="68"/>
        <v>0</v>
      </c>
      <c r="BK106" s="128">
        <f>IF(BJ106&gt;0,36,0)</f>
        <v>0</v>
      </c>
      <c r="BL106" s="128">
        <f t="shared" si="69"/>
        <v>0</v>
      </c>
      <c r="BM106" s="15">
        <f t="shared" si="70"/>
        <v>0</v>
      </c>
      <c r="BN106" s="127">
        <f t="shared" ca="1" si="56"/>
        <v>3.7184763673387886</v>
      </c>
      <c r="BO106" s="127">
        <f t="shared" ca="1" si="82"/>
        <v>41.201570202433075</v>
      </c>
      <c r="BQ106" s="121">
        <f t="shared" si="71"/>
        <v>45352</v>
      </c>
      <c r="BR106" s="73">
        <f t="shared" si="85"/>
        <v>0</v>
      </c>
      <c r="BS106" s="15">
        <f t="shared" si="72"/>
        <v>0</v>
      </c>
      <c r="BT106" s="98">
        <f t="shared" si="73"/>
        <v>0</v>
      </c>
      <c r="BU106" s="128">
        <f>IF(BT106&gt;0,36,0)</f>
        <v>0</v>
      </c>
      <c r="BV106" s="128">
        <f t="shared" si="74"/>
        <v>0</v>
      </c>
      <c r="BW106" s="15">
        <f t="shared" si="75"/>
        <v>0</v>
      </c>
      <c r="BX106" s="127">
        <f t="shared" ca="1" si="57"/>
        <v>3.6571754156960279</v>
      </c>
      <c r="BY106" s="127">
        <f t="shared" ca="1" si="83"/>
        <v>38.75173060964017</v>
      </c>
      <c r="CA106" s="121">
        <f t="shared" si="76"/>
        <v>45352</v>
      </c>
      <c r="CB106" s="73">
        <f t="shared" si="86"/>
        <v>0</v>
      </c>
      <c r="CC106" s="15">
        <f t="shared" si="77"/>
        <v>0</v>
      </c>
      <c r="CD106" s="98">
        <f t="shared" si="78"/>
        <v>0</v>
      </c>
      <c r="CE106" s="128">
        <f>IF(CD106&gt;0,36,0)</f>
        <v>0</v>
      </c>
      <c r="CF106" s="128">
        <f t="shared" si="79"/>
        <v>0</v>
      </c>
      <c r="CG106" s="15">
        <f t="shared" si="80"/>
        <v>0</v>
      </c>
      <c r="CH106" s="127">
        <f t="shared" ca="1" si="58"/>
        <v>3.6052526096059059</v>
      </c>
      <c r="CI106" s="127">
        <f t="shared" ca="1" si="84"/>
        <v>36.790976437556019</v>
      </c>
    </row>
    <row r="107" spans="45:87" x14ac:dyDescent="0.2">
      <c r="AW107" s="121" t="s">
        <v>86</v>
      </c>
      <c r="AX107" s="73">
        <f t="shared" ref="AX107:BC107" ca="1" si="87">SUM(AX71:AX106)</f>
        <v>1448.7795681428072</v>
      </c>
      <c r="AY107" s="15">
        <f t="shared" ca="1" si="87"/>
        <v>132.82298133853058</v>
      </c>
      <c r="AZ107" s="98">
        <f t="shared" ca="1" si="87"/>
        <v>36</v>
      </c>
      <c r="BA107" s="128">
        <f t="shared" ca="1" si="87"/>
        <v>666</v>
      </c>
      <c r="BB107" s="7">
        <f t="shared" ca="1" si="87"/>
        <v>16206</v>
      </c>
      <c r="BC107" s="15">
        <f t="shared" ca="1" si="87"/>
        <v>2455.3639535189791</v>
      </c>
      <c r="BD107" s="66"/>
      <c r="BE107" s="120"/>
      <c r="BG107" s="121" t="s">
        <v>86</v>
      </c>
      <c r="BH107" s="73">
        <f t="shared" ref="BH107:BM107" ca="1" si="88">SUM(BH71:BH106)</f>
        <v>1372.2554119433128</v>
      </c>
      <c r="BI107" s="15">
        <f t="shared" ca="1" si="88"/>
        <v>125.6295187388308</v>
      </c>
      <c r="BJ107" s="98">
        <f t="shared" ca="1" si="88"/>
        <v>34</v>
      </c>
      <c r="BK107" s="128">
        <f t="shared" ca="1" si="88"/>
        <v>629</v>
      </c>
      <c r="BL107" s="7">
        <f t="shared" ca="1" si="88"/>
        <v>14909</v>
      </c>
      <c r="BM107" s="15">
        <f t="shared" ca="1" si="88"/>
        <v>2319.9908137762768</v>
      </c>
      <c r="BN107" s="66"/>
      <c r="BO107" s="120"/>
      <c r="BQ107" s="121" t="s">
        <v>86</v>
      </c>
      <c r="BR107" s="73">
        <f t="shared" ref="BR107:BW107" ca="1" si="89">SUM(BR71:BR106)</f>
        <v>916.43012535802666</v>
      </c>
      <c r="BS107" s="15">
        <f t="shared" ca="1" si="89"/>
        <v>84.734979400490317</v>
      </c>
      <c r="BT107" s="98">
        <f t="shared" ca="1" si="89"/>
        <v>23</v>
      </c>
      <c r="BU107" s="128">
        <f t="shared" ca="1" si="89"/>
        <v>552</v>
      </c>
      <c r="BV107" s="7">
        <f t="shared" ca="1" si="89"/>
        <v>14260</v>
      </c>
      <c r="BW107" s="15">
        <f t="shared" ca="1" si="89"/>
        <v>2034.7760711508174</v>
      </c>
      <c r="BX107" s="66"/>
      <c r="BY107" s="120"/>
      <c r="CA107" s="121" t="s">
        <v>86</v>
      </c>
      <c r="CB107" s="73">
        <f t="shared" ref="CB107:CG107" ca="1" si="90">SUM(CB71:CB106)</f>
        <v>676.11558121953954</v>
      </c>
      <c r="CC107" s="15">
        <f t="shared" ca="1" si="90"/>
        <v>62.597642124624088</v>
      </c>
      <c r="CD107" s="98">
        <f t="shared" ca="1" si="90"/>
        <v>17</v>
      </c>
      <c r="CE107" s="128">
        <f t="shared" ca="1" si="90"/>
        <v>459</v>
      </c>
      <c r="CF107" s="7">
        <f t="shared" ca="1" si="90"/>
        <v>12801</v>
      </c>
      <c r="CG107" s="15">
        <f t="shared" ca="1" si="90"/>
        <v>1691.2993131526937</v>
      </c>
      <c r="CH107" s="66"/>
      <c r="CI107" s="120"/>
    </row>
    <row r="108" spans="45:87" x14ac:dyDescent="0.2">
      <c r="AW108" s="7" t="s">
        <v>176</v>
      </c>
      <c r="AX108" s="7"/>
      <c r="AY108" s="15">
        <f ca="1">+AY107/AZ107</f>
        <v>3.6895272594036275</v>
      </c>
      <c r="AZ108" s="7"/>
      <c r="BA108" s="7">
        <f ca="1">+BA107/AZ107</f>
        <v>18.5</v>
      </c>
      <c r="BB108" s="7">
        <f ca="1">+BB107/AZ107</f>
        <v>450.16666666666669</v>
      </c>
      <c r="BC108" s="15">
        <f ca="1">+BC107/AZ107</f>
        <v>68.204554264416089</v>
      </c>
      <c r="BG108" s="7" t="s">
        <v>176</v>
      </c>
      <c r="BH108" s="7"/>
      <c r="BI108" s="15">
        <f ca="1">+BI107/BJ107</f>
        <v>3.6949858452597293</v>
      </c>
      <c r="BJ108" s="7"/>
      <c r="BK108" s="7">
        <f ca="1">+BK107/BJ107</f>
        <v>18.5</v>
      </c>
      <c r="BL108" s="7">
        <f ca="1">+BL107/BJ107</f>
        <v>438.5</v>
      </c>
      <c r="BM108" s="15">
        <f ca="1">+BM107/BJ107</f>
        <v>68.23502393459637</v>
      </c>
      <c r="BQ108" s="7" t="s">
        <v>176</v>
      </c>
      <c r="BR108" s="7"/>
      <c r="BS108" s="15">
        <f ca="1">+BS107/BT107</f>
        <v>3.684129539151753</v>
      </c>
      <c r="BT108" s="7"/>
      <c r="BU108" s="7">
        <f ca="1">+BU107/BT107</f>
        <v>24</v>
      </c>
      <c r="BV108" s="7">
        <f ca="1">+BV107/BT107</f>
        <v>620</v>
      </c>
      <c r="BW108" s="15">
        <f ca="1">+BW107/BT107</f>
        <v>88.468524832644235</v>
      </c>
      <c r="CA108" s="7" t="s">
        <v>176</v>
      </c>
      <c r="CB108" s="7"/>
      <c r="CC108" s="15">
        <f ca="1">+CC107/CD107</f>
        <v>3.6822142426249465</v>
      </c>
      <c r="CD108" s="7"/>
      <c r="CE108" s="7">
        <f ca="1">+CE107/CD107</f>
        <v>27</v>
      </c>
      <c r="CF108" s="7">
        <f ca="1">+CF107/CD107</f>
        <v>753</v>
      </c>
      <c r="CG108" s="15">
        <f ca="1">+CG107/CD107</f>
        <v>99.488194891334928</v>
      </c>
    </row>
    <row r="110" spans="45:87" x14ac:dyDescent="0.2">
      <c r="AS110" t="s">
        <v>205</v>
      </c>
      <c r="AT110">
        <v>36</v>
      </c>
      <c r="AU110">
        <f ca="1">+AX110-AT110</f>
        <v>0</v>
      </c>
      <c r="AW110" t="s">
        <v>205</v>
      </c>
      <c r="AX110">
        <f ca="1">AZ107</f>
        <v>36</v>
      </c>
      <c r="BG110" t="s">
        <v>205</v>
      </c>
      <c r="BH110">
        <f ca="1">BJ107</f>
        <v>34</v>
      </c>
      <c r="BQ110" t="s">
        <v>205</v>
      </c>
      <c r="BR110">
        <f ca="1">BT107</f>
        <v>23</v>
      </c>
      <c r="CA110" t="s">
        <v>205</v>
      </c>
      <c r="CB110">
        <f ca="1">CD107</f>
        <v>17</v>
      </c>
    </row>
    <row r="111" spans="45:87" x14ac:dyDescent="0.2">
      <c r="AS111" t="s">
        <v>254</v>
      </c>
      <c r="AT111" s="66">
        <v>115.19715514394339</v>
      </c>
      <c r="AU111">
        <f t="shared" ref="AU111:AU121" ca="1" si="91">+AX111-AT111</f>
        <v>17.625826194587191</v>
      </c>
      <c r="AW111" t="s">
        <v>254</v>
      </c>
      <c r="AX111" s="66">
        <f ca="1">AY107</f>
        <v>132.82298133853058</v>
      </c>
      <c r="BG111" t="s">
        <v>254</v>
      </c>
      <c r="BH111" s="66">
        <f ca="1">BI107</f>
        <v>125.6295187388308</v>
      </c>
      <c r="BQ111" t="s">
        <v>254</v>
      </c>
      <c r="BR111" s="66">
        <f ca="1">BS107</f>
        <v>84.734979400490317</v>
      </c>
      <c r="CA111" t="s">
        <v>254</v>
      </c>
      <c r="CB111" s="66">
        <f ca="1">CC107</f>
        <v>62.597642124624088</v>
      </c>
    </row>
    <row r="112" spans="45:87" x14ac:dyDescent="0.2">
      <c r="AS112" t="s">
        <v>242</v>
      </c>
      <c r="AU112">
        <f t="shared" si="91"/>
        <v>0</v>
      </c>
      <c r="AW112" t="s">
        <v>242</v>
      </c>
      <c r="AZ112" t="s">
        <v>243</v>
      </c>
      <c r="BG112" t="s">
        <v>242</v>
      </c>
      <c r="BJ112" t="s">
        <v>243</v>
      </c>
      <c r="BQ112" t="s">
        <v>242</v>
      </c>
      <c r="BT112" t="s">
        <v>243</v>
      </c>
      <c r="CA112" t="s">
        <v>242</v>
      </c>
      <c r="CD112" t="s">
        <v>243</v>
      </c>
    </row>
    <row r="113" spans="45:82" x14ac:dyDescent="0.2">
      <c r="AS113" s="1" t="s">
        <v>255</v>
      </c>
      <c r="AT113" s="59">
        <v>60.034266613708319</v>
      </c>
      <c r="AU113">
        <f t="shared" ca="1" si="91"/>
        <v>8.1702876507077704</v>
      </c>
      <c r="AW113" s="1" t="s">
        <v>255</v>
      </c>
      <c r="AX113" s="59">
        <f ca="1">+BC108</f>
        <v>68.204554264416089</v>
      </c>
      <c r="AZ113" t="s">
        <v>244</v>
      </c>
      <c r="BG113" s="1" t="s">
        <v>255</v>
      </c>
      <c r="BH113" s="59">
        <f ca="1">+BM108</f>
        <v>68.23502393459637</v>
      </c>
      <c r="BJ113" t="s">
        <v>244</v>
      </c>
      <c r="BQ113" s="1" t="s">
        <v>255</v>
      </c>
      <c r="BR113" s="59">
        <f ca="1">+BW108</f>
        <v>88.468524832644235</v>
      </c>
      <c r="BT113" t="s">
        <v>244</v>
      </c>
      <c r="CA113" s="1" t="s">
        <v>255</v>
      </c>
      <c r="CB113" s="59">
        <f ca="1">+CG108</f>
        <v>99.488194891334928</v>
      </c>
      <c r="CD113" t="s">
        <v>244</v>
      </c>
    </row>
    <row r="114" spans="45:82" x14ac:dyDescent="0.2">
      <c r="AS114" s="28" t="s">
        <v>245</v>
      </c>
      <c r="AT114" s="59">
        <v>18.5</v>
      </c>
      <c r="AU114">
        <f t="shared" ca="1" si="91"/>
        <v>0</v>
      </c>
      <c r="AW114" s="28" t="s">
        <v>245</v>
      </c>
      <c r="AX114" s="59">
        <f ca="1">+BA108</f>
        <v>18.5</v>
      </c>
      <c r="BG114" s="28" t="s">
        <v>245</v>
      </c>
      <c r="BH114" s="59">
        <f ca="1">+BK108</f>
        <v>18.5</v>
      </c>
      <c r="BQ114" s="28" t="s">
        <v>245</v>
      </c>
      <c r="BR114" s="59">
        <f ca="1">+BU108</f>
        <v>24</v>
      </c>
      <c r="CA114" s="28" t="s">
        <v>245</v>
      </c>
      <c r="CB114" s="59">
        <f ca="1">+CE108</f>
        <v>27</v>
      </c>
    </row>
    <row r="115" spans="45:82" x14ac:dyDescent="0.2">
      <c r="AS115" s="1" t="s">
        <v>256</v>
      </c>
      <c r="AT115" s="59">
        <v>3.1999209762206497</v>
      </c>
      <c r="AU115">
        <f t="shared" ca="1" si="91"/>
        <v>0.48960628318297772</v>
      </c>
      <c r="AW115" s="1" t="s">
        <v>256</v>
      </c>
      <c r="AX115" s="59">
        <f ca="1">AX111/AX110</f>
        <v>3.6895272594036275</v>
      </c>
      <c r="BG115" s="1" t="s">
        <v>256</v>
      </c>
      <c r="BH115" s="59">
        <f ca="1">BH111/BH110</f>
        <v>3.6949858452597293</v>
      </c>
      <c r="BQ115" s="1" t="s">
        <v>256</v>
      </c>
      <c r="BR115" s="59">
        <f ca="1">BR111/BR110</f>
        <v>3.684129539151753</v>
      </c>
      <c r="CA115" s="1" t="s">
        <v>256</v>
      </c>
      <c r="CB115" s="59">
        <f ca="1">CB111/CB110</f>
        <v>3.6822142426249465</v>
      </c>
    </row>
    <row r="116" spans="45:82" x14ac:dyDescent="0.2">
      <c r="AS116" s="1" t="s">
        <v>257</v>
      </c>
      <c r="AT116" s="59">
        <v>450.16666666666669</v>
      </c>
      <c r="AU116">
        <f t="shared" ca="1" si="91"/>
        <v>0</v>
      </c>
      <c r="AW116" s="1" t="s">
        <v>257</v>
      </c>
      <c r="AX116" s="59">
        <f ca="1">+BB108</f>
        <v>450.16666666666669</v>
      </c>
      <c r="BG116" s="1" t="s">
        <v>257</v>
      </c>
      <c r="BH116" s="59">
        <f ca="1">+BL108</f>
        <v>438.5</v>
      </c>
      <c r="BQ116" s="1" t="s">
        <v>257</v>
      </c>
      <c r="BR116" s="59">
        <f ca="1">+BV108</f>
        <v>620</v>
      </c>
      <c r="CA116" s="1" t="s">
        <v>257</v>
      </c>
      <c r="CB116" s="59">
        <f ca="1">+CF108</f>
        <v>753</v>
      </c>
    </row>
    <row r="117" spans="45:82" x14ac:dyDescent="0.2">
      <c r="AS117" s="28" t="s">
        <v>246</v>
      </c>
      <c r="AT117" s="59">
        <v>342.25</v>
      </c>
      <c r="AU117">
        <f t="shared" ca="1" si="91"/>
        <v>0</v>
      </c>
      <c r="AW117" s="28" t="s">
        <v>246</v>
      </c>
      <c r="AX117" s="59">
        <f ca="1">AX114^2</f>
        <v>342.25</v>
      </c>
      <c r="BG117" s="28" t="s">
        <v>246</v>
      </c>
      <c r="BH117" s="59">
        <f ca="1">BH114^2</f>
        <v>342.25</v>
      </c>
      <c r="BQ117" s="28" t="s">
        <v>246</v>
      </c>
      <c r="BR117" s="59">
        <f ca="1">BR114^2</f>
        <v>576</v>
      </c>
      <c r="CA117" s="28" t="s">
        <v>246</v>
      </c>
      <c r="CB117" s="59">
        <f ca="1">CB114^2</f>
        <v>729</v>
      </c>
    </row>
    <row r="118" spans="45:82" x14ac:dyDescent="0.2">
      <c r="AS118" s="28" t="s">
        <v>247</v>
      </c>
      <c r="AT118" s="66">
        <v>7.7442028135255251E-3</v>
      </c>
      <c r="AU118">
        <f t="shared" ca="1" si="91"/>
        <v>-8.223276492762761E-3</v>
      </c>
      <c r="AW118" s="28" t="s">
        <v>247</v>
      </c>
      <c r="AX118" s="66">
        <f ca="1">(AX113-AX115*AX114)/(AX116-AX117)</f>
        <v>-4.7907367923723557E-4</v>
      </c>
      <c r="BG118" s="28" t="s">
        <v>247</v>
      </c>
      <c r="BH118" s="66">
        <f ca="1">(BH113-BH115*BH114)/(BH116-BH117)</f>
        <v>-1.269757950219421E-3</v>
      </c>
      <c r="BQ118" s="28" t="s">
        <v>247</v>
      </c>
      <c r="BR118" s="66">
        <f ca="1">(BR113-BR115*BR114)/(BR116-BR117)</f>
        <v>1.1230884773218784E-3</v>
      </c>
      <c r="CA118" s="28" t="s">
        <v>247</v>
      </c>
      <c r="CB118" s="66">
        <f ca="1">(CB113-CB115*CB114)/(CB116-CB117)</f>
        <v>2.8504308525570585E-3</v>
      </c>
    </row>
    <row r="119" spans="45:82" x14ac:dyDescent="0.2">
      <c r="AS119" s="28" t="s">
        <v>248</v>
      </c>
      <c r="AT119" s="66">
        <v>3.0566532241704274</v>
      </c>
      <c r="AU119">
        <f t="shared" ca="1" si="91"/>
        <v>0.64173689829908875</v>
      </c>
      <c r="AW119" s="28" t="s">
        <v>248</v>
      </c>
      <c r="AX119" s="66">
        <f ca="1">AX115-AX118*AX114</f>
        <v>3.6983901224695162</v>
      </c>
      <c r="BG119" s="28" t="s">
        <v>248</v>
      </c>
      <c r="BH119" s="66">
        <f ca="1">BH115-BH118*BH114</f>
        <v>3.7184763673387886</v>
      </c>
      <c r="BQ119" s="28" t="s">
        <v>248</v>
      </c>
      <c r="BR119" s="66">
        <f ca="1">BR115-BR118*BR114</f>
        <v>3.6571754156960279</v>
      </c>
      <c r="CA119" s="28" t="s">
        <v>248</v>
      </c>
      <c r="CB119" s="66">
        <f ca="1">CB115-CB118*CB114</f>
        <v>3.6052526096059059</v>
      </c>
    </row>
    <row r="120" spans="45:82" x14ac:dyDescent="0.2">
      <c r="AS120" t="s">
        <v>249</v>
      </c>
      <c r="AT120" s="126">
        <v>9.738539163964699E-2</v>
      </c>
      <c r="AU120">
        <f t="shared" ca="1" si="91"/>
        <v>-0.10311778257699766</v>
      </c>
      <c r="AW120" t="s">
        <v>249</v>
      </c>
      <c r="AX120" s="126">
        <f ca="1">EXP(12*AX118+AX119)/EXP(AX119)-1</f>
        <v>-5.7323909373506732E-3</v>
      </c>
      <c r="BG120" t="s">
        <v>249</v>
      </c>
      <c r="BH120" s="126">
        <f ca="1">EXP(12*BH118+BH119)/EXP(BH119)-1</f>
        <v>-1.5121598222429533E-2</v>
      </c>
      <c r="BQ120" t="s">
        <v>249</v>
      </c>
      <c r="BR120" s="126">
        <f ca="1">EXP(12*BR118+BR119)/EXP(BR119)-1</f>
        <v>1.3568286678362407E-2</v>
      </c>
      <c r="CA120" t="s">
        <v>249</v>
      </c>
      <c r="CB120" s="126">
        <f ca="1">EXP(12*CB118+CB119)/EXP(CB119)-1</f>
        <v>3.4796894467360673E-2</v>
      </c>
    </row>
    <row r="121" spans="45:82" x14ac:dyDescent="0.2">
      <c r="AS121" t="s">
        <v>250</v>
      </c>
      <c r="AT121" t="s">
        <v>530</v>
      </c>
      <c r="AU121">
        <f t="shared" ca="1" si="91"/>
        <v>-10.299999999999999</v>
      </c>
      <c r="AW121" t="s">
        <v>250</v>
      </c>
      <c r="AX121" t="str">
        <f ca="1">FIXED(AX120*100,1,TRUE)</f>
        <v>-0.6</v>
      </c>
      <c r="BG121" t="s">
        <v>250</v>
      </c>
      <c r="BH121" t="str">
        <f ca="1">FIXED(BH120*100,1,TRUE)</f>
        <v>-1.5</v>
      </c>
      <c r="BQ121" t="s">
        <v>250</v>
      </c>
      <c r="BR121" t="str">
        <f ca="1">FIXED(BR120*100,1,TRUE)</f>
        <v>1.4</v>
      </c>
      <c r="CA121" t="s">
        <v>250</v>
      </c>
      <c r="CB121" t="str">
        <f ca="1">FIXED(CB120*100,1,TRUE)</f>
        <v>3.5</v>
      </c>
    </row>
  </sheetData>
  <mergeCells count="3">
    <mergeCell ref="R3:S3"/>
    <mergeCell ref="V3:Y3"/>
    <mergeCell ref="V13:X1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3873" r:id="rId3" name="Button 1">
              <controlPr defaultSize="0" print="0" autoFill="0" autoPict="0" macro="[0]!PrintBox">
                <anchor moveWithCells="1" sizeWithCells="1">
                  <from>
                    <xdr:col>26</xdr:col>
                    <xdr:colOff>66675</xdr:colOff>
                    <xdr:row>1</xdr:row>
                    <xdr:rowOff>66675</xdr:rowOff>
                  </from>
                  <to>
                    <xdr:col>27</xdr:col>
                    <xdr:colOff>257175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874" r:id="rId4" name="Button 2">
              <controlPr defaultSize="0" print="0" autoFill="0" autoPict="0" macro="[0]!ChartFix">
                <anchor moveWithCells="1" sizeWithCells="1">
                  <from>
                    <xdr:col>26</xdr:col>
                    <xdr:colOff>66675</xdr:colOff>
                    <xdr:row>9</xdr:row>
                    <xdr:rowOff>0</xdr:rowOff>
                  </from>
                  <to>
                    <xdr:col>27</xdr:col>
                    <xdr:colOff>228600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indexed="50"/>
  </sheetPr>
  <dimension ref="A1:BJ363"/>
  <sheetViews>
    <sheetView topLeftCell="A203" zoomScale="90" zoomScaleNormal="90" workbookViewId="0">
      <selection activeCell="S26" sqref="S26"/>
    </sheetView>
  </sheetViews>
  <sheetFormatPr defaultRowHeight="11.25" x14ac:dyDescent="0.2"/>
  <cols>
    <col min="1" max="37" width="10.33203125" customWidth="1"/>
    <col min="42" max="42" width="12.1640625" customWidth="1"/>
    <col min="43" max="43" width="12" customWidth="1"/>
    <col min="45" max="45" width="10.6640625" customWidth="1"/>
    <col min="56" max="56" width="9.5" customWidth="1"/>
    <col min="60" max="60" width="12.5" customWidth="1"/>
  </cols>
  <sheetData>
    <row r="1" spans="1:62" ht="26.25" customHeight="1" x14ac:dyDescent="0.4">
      <c r="A1" s="142" t="str">
        <f>Data!$C$1</f>
        <v>Allied Pacific (APC Commerical)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U1" s="142" t="str">
        <f>Data!$C$1</f>
        <v>Allied Pacific (APC Commerical)</v>
      </c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O1" t="s">
        <v>311</v>
      </c>
      <c r="AP1" t="s">
        <v>307</v>
      </c>
      <c r="AV1" t="s">
        <v>303</v>
      </c>
      <c r="AW1" t="s">
        <v>304</v>
      </c>
    </row>
    <row r="2" spans="1:62" ht="18" x14ac:dyDescent="0.25">
      <c r="I2" s="143"/>
      <c r="AC2" s="143"/>
      <c r="AP2" s="249" t="s">
        <v>1037</v>
      </c>
      <c r="AT2" s="1" t="s">
        <v>482</v>
      </c>
      <c r="AV2" s="120">
        <f ca="1">MIN(AZ9:AZ44)</f>
        <v>31.17009535145916</v>
      </c>
      <c r="AW2" s="120">
        <f ca="1">MAX(BA9:BA44)</f>
        <v>48.96810775013158</v>
      </c>
      <c r="AX2" s="120"/>
    </row>
    <row r="3" spans="1:62" x14ac:dyDescent="0.2">
      <c r="AP3" t="s">
        <v>309</v>
      </c>
      <c r="AT3" s="1" t="s">
        <v>481</v>
      </c>
      <c r="AV3" s="209">
        <f ca="1">MAX(INT(AV2-MAX(2,0.05*AV2)),0)</f>
        <v>29</v>
      </c>
      <c r="AW3" s="120">
        <f ca="1">INT(AW2+0.5)+INT(MAX(2,0.05*AW2))</f>
        <v>51</v>
      </c>
      <c r="AX3" s="120"/>
      <c r="AZ3" s="120">
        <f>INT(AZ2)+INT(MAX(2,0.05*AZ2))</f>
        <v>2</v>
      </c>
      <c r="BB3" s="120">
        <f ca="1">+INT(MAX(2,0.08*AW2))</f>
        <v>3</v>
      </c>
    </row>
    <row r="4" spans="1:62" x14ac:dyDescent="0.2">
      <c r="AP4" s="249" t="s">
        <v>1038</v>
      </c>
      <c r="AR4" t="s">
        <v>306</v>
      </c>
      <c r="AT4" t="s">
        <v>307</v>
      </c>
      <c r="AU4" s="249" t="s">
        <v>1037</v>
      </c>
      <c r="AV4" t="s">
        <v>309</v>
      </c>
      <c r="AW4" s="249" t="s">
        <v>1038</v>
      </c>
      <c r="AX4" s="249" t="s">
        <v>1039</v>
      </c>
      <c r="AY4" t="s">
        <v>99</v>
      </c>
    </row>
    <row r="5" spans="1:62" x14ac:dyDescent="0.2">
      <c r="AP5" s="249" t="s">
        <v>1039</v>
      </c>
      <c r="AU5" s="125" t="s">
        <v>261</v>
      </c>
      <c r="AV5" s="10"/>
      <c r="AW5" s="10"/>
      <c r="AX5" s="453"/>
      <c r="AY5" s="11"/>
    </row>
    <row r="6" spans="1:62" x14ac:dyDescent="0.2">
      <c r="AO6" t="str">
        <f>TEXT(AS10,AS9)</f>
        <v>35</v>
      </c>
      <c r="AP6" s="2" t="s">
        <v>266</v>
      </c>
      <c r="AQ6" s="2" t="s">
        <v>266</v>
      </c>
      <c r="AR6" s="2" t="s">
        <v>266</v>
      </c>
      <c r="AT6" s="2" t="s">
        <v>260</v>
      </c>
      <c r="AU6" s="2" t="s">
        <v>50</v>
      </c>
      <c r="AV6" s="2" t="s">
        <v>262</v>
      </c>
      <c r="AW6" s="2" t="s">
        <v>263</v>
      </c>
      <c r="AX6" s="228" t="s">
        <v>51</v>
      </c>
      <c r="AY6" s="2"/>
      <c r="AZ6" s="2" t="s">
        <v>157</v>
      </c>
      <c r="BA6" s="2" t="s">
        <v>157</v>
      </c>
    </row>
    <row r="7" spans="1:62" x14ac:dyDescent="0.2">
      <c r="AO7" s="38" t="s">
        <v>41</v>
      </c>
      <c r="AP7" s="38" t="s">
        <v>41</v>
      </c>
      <c r="AQ7" s="38" t="s">
        <v>42</v>
      </c>
      <c r="AR7" s="38" t="s">
        <v>291</v>
      </c>
      <c r="AS7" s="38"/>
      <c r="AT7" s="8" t="s">
        <v>101</v>
      </c>
      <c r="AU7" s="8" t="s">
        <v>176</v>
      </c>
      <c r="AV7" s="8" t="s">
        <v>128</v>
      </c>
      <c r="AW7" s="8" t="s">
        <v>128</v>
      </c>
      <c r="AX7" s="8" t="s">
        <v>128</v>
      </c>
      <c r="AY7" s="8" t="s">
        <v>99</v>
      </c>
      <c r="AZ7" s="8" t="s">
        <v>774</v>
      </c>
      <c r="BA7" s="8" t="s">
        <v>558</v>
      </c>
    </row>
    <row r="8" spans="1:62" x14ac:dyDescent="0.2">
      <c r="AS8" s="98"/>
      <c r="BB8">
        <v>15</v>
      </c>
      <c r="BC8" t="s">
        <v>302</v>
      </c>
    </row>
    <row r="9" spans="1:62" x14ac:dyDescent="0.2">
      <c r="AN9">
        <v>1</v>
      </c>
      <c r="AO9" s="121">
        <f>Transport!$A20</f>
        <v>44287</v>
      </c>
      <c r="AP9" s="132" t="str">
        <f>TEXT(0,MONTH(AO9))</f>
        <v>4</v>
      </c>
      <c r="AQ9" s="132" t="str">
        <f>RIGHT((TEXT(0,YEAR(AO9))),2)</f>
        <v>21</v>
      </c>
      <c r="AR9" s="132" t="str">
        <f>AP9&amp;"/"&amp;AQ9</f>
        <v>4/21</v>
      </c>
      <c r="AS9" s="134" t="s">
        <v>269</v>
      </c>
      <c r="AT9" s="73">
        <f>Transport!$F20</f>
        <v>35.869891317541402</v>
      </c>
      <c r="AU9" s="73"/>
      <c r="AV9" s="73"/>
      <c r="AW9" s="73"/>
      <c r="AX9" s="586"/>
      <c r="AY9" s="73">
        <f>Transport!$G20</f>
        <v>0</v>
      </c>
      <c r="AZ9" s="73">
        <f>IF(AT9=0,MAX(AT9:AT35),AT9)</f>
        <v>35.869891317541402</v>
      </c>
      <c r="BA9" s="73">
        <f>IF(AT9=0,0,MAX(AT9:AW9))</f>
        <v>35.869891317541402</v>
      </c>
      <c r="BC9" t="s">
        <v>305</v>
      </c>
      <c r="BH9" s="73"/>
      <c r="BI9" s="73"/>
      <c r="BJ9" s="73"/>
    </row>
    <row r="10" spans="1:62" x14ac:dyDescent="0.2">
      <c r="AN10">
        <f>1+AN9</f>
        <v>2</v>
      </c>
      <c r="AO10" s="121">
        <f>Transport!$A21</f>
        <v>44317</v>
      </c>
      <c r="AP10" s="132" t="str">
        <f t="shared" ref="AP10:AP44" si="0">TEXT(0,MONTH(AO10))</f>
        <v>5</v>
      </c>
      <c r="AQ10" s="132" t="str">
        <f>RIGHT((TEXT(0,YEAR(AO10))),2)</f>
        <v>21</v>
      </c>
      <c r="AR10" s="132" t="str">
        <f>AP10&amp;"/"&amp;AQ10</f>
        <v>5/21</v>
      </c>
      <c r="AS10" s="134" t="s">
        <v>268</v>
      </c>
      <c r="AT10" s="73">
        <f>Transport!$F21</f>
        <v>36.591966235234068</v>
      </c>
      <c r="AU10" s="73">
        <f ca="1">IF(AT10=0,0,LeastSq!AP8)</f>
        <v>41.059211258767021</v>
      </c>
      <c r="AV10" s="73"/>
      <c r="AW10" s="73"/>
      <c r="AX10" s="586"/>
      <c r="AY10" s="73">
        <f>Transport!$G21</f>
        <v>9.3782540073451858E-4</v>
      </c>
      <c r="AZ10" s="73">
        <f t="shared" ref="AZ10:AZ44" si="1">IF(AT10=0,MAX(AT10:AT36),AT10)</f>
        <v>36.591966235234068</v>
      </c>
      <c r="BA10" s="73">
        <f t="shared" ref="BA10:BA44" ca="1" si="2">IF(AT10=0,0,MAX(AT10:AW10))</f>
        <v>41.059211258767021</v>
      </c>
      <c r="BH10" s="73">
        <f>LeastSq!BB8</f>
        <v>44317</v>
      </c>
      <c r="BI10" s="73"/>
      <c r="BJ10" s="73"/>
    </row>
    <row r="11" spans="1:62" x14ac:dyDescent="0.2">
      <c r="AN11">
        <f t="shared" ref="AN11:AN44" si="3">1+AN10</f>
        <v>3</v>
      </c>
      <c r="AO11" s="121">
        <f>Transport!$A22</f>
        <v>44348</v>
      </c>
      <c r="AP11" s="132" t="str">
        <f t="shared" si="0"/>
        <v>6</v>
      </c>
      <c r="AQ11" s="132" t="str">
        <f>RIGHT((TEXT(0,YEAR(AO11))),2)</f>
        <v>21</v>
      </c>
      <c r="AR11" s="132" t="str">
        <f>AP11&amp;"/"&amp;AQ11</f>
        <v>6/21</v>
      </c>
      <c r="AS11" s="133" t="str">
        <f>AP11&amp;"/"&amp;AQ11</f>
        <v>6/21</v>
      </c>
      <c r="AT11" s="73">
        <f>Transport!$F22</f>
        <v>38.790531392615186</v>
      </c>
      <c r="AU11" s="73">
        <f ca="1">IF(AT11=0,0,LeastSq!AP9)</f>
        <v>41.010652442064291</v>
      </c>
      <c r="AV11" s="73"/>
      <c r="AW11" s="73"/>
      <c r="AX11" s="586"/>
      <c r="AY11" s="73">
        <f>Transport!$G22</f>
        <v>1.9245230987039042E-3</v>
      </c>
      <c r="AZ11" s="73">
        <f t="shared" si="1"/>
        <v>38.790531392615186</v>
      </c>
      <c r="BA11" s="73">
        <f t="shared" ca="1" si="2"/>
        <v>41.010652442064291</v>
      </c>
      <c r="BH11" s="73">
        <f>LeastSq!BB9</f>
        <v>44348</v>
      </c>
      <c r="BI11" s="73"/>
      <c r="BJ11" s="73"/>
    </row>
    <row r="12" spans="1:62" x14ac:dyDescent="0.2">
      <c r="AN12">
        <f t="shared" si="3"/>
        <v>4</v>
      </c>
      <c r="AO12" s="121">
        <f>Transport!$A23</f>
        <v>44378</v>
      </c>
      <c r="AP12" s="132" t="str">
        <f t="shared" si="0"/>
        <v>7</v>
      </c>
      <c r="AQ12" s="132" t="str">
        <f t="shared" ref="AQ12:AQ44" si="4">RIGHT((TEXT(0,YEAR(AO12))),2)</f>
        <v>21</v>
      </c>
      <c r="AR12" s="132" t="str">
        <f t="shared" ref="AR12:AR44" si="5">AP12&amp;"/"&amp;AQ12</f>
        <v>7/21</v>
      </c>
      <c r="AS12" s="134" t="s">
        <v>277</v>
      </c>
      <c r="AT12" s="73">
        <f>Transport!$F23</f>
        <v>40.350388620093234</v>
      </c>
      <c r="AU12" s="73">
        <f ca="1">IF(AT12=0,0,LeastSq!AP10)</f>
        <v>40.962151053612324</v>
      </c>
      <c r="AV12" s="73"/>
      <c r="AW12" s="73"/>
      <c r="AX12" s="586"/>
      <c r="AY12" s="73">
        <f>Transport!$G23</f>
        <v>5.8229222724351945E-3</v>
      </c>
      <c r="AZ12" s="73">
        <f t="shared" si="1"/>
        <v>40.350388620093234</v>
      </c>
      <c r="BA12" s="73">
        <f t="shared" ca="1" si="2"/>
        <v>40.962151053612324</v>
      </c>
      <c r="BH12" s="73">
        <f>LeastSq!BB10</f>
        <v>44378</v>
      </c>
      <c r="BI12" s="73"/>
      <c r="BJ12" s="73"/>
    </row>
    <row r="13" spans="1:62" x14ac:dyDescent="0.2">
      <c r="AN13">
        <f t="shared" si="3"/>
        <v>5</v>
      </c>
      <c r="AO13" s="121">
        <f>Transport!$A24</f>
        <v>44409</v>
      </c>
      <c r="AP13" s="132" t="str">
        <f t="shared" si="0"/>
        <v>8</v>
      </c>
      <c r="AQ13" s="132" t="str">
        <f t="shared" si="4"/>
        <v>21</v>
      </c>
      <c r="AR13" s="132" t="str">
        <f t="shared" si="5"/>
        <v>8/21</v>
      </c>
      <c r="AS13" s="134" t="s">
        <v>267</v>
      </c>
      <c r="AT13" s="73">
        <f>Transport!$F24</f>
        <v>47.798624963803547</v>
      </c>
      <c r="AU13" s="73">
        <f ca="1">IF(AT13=0,0,LeastSq!AP11)</f>
        <v>40.913707025493366</v>
      </c>
      <c r="AV13" s="73"/>
      <c r="AW13" s="73"/>
      <c r="AX13" s="586"/>
      <c r="AY13" s="73">
        <f>Transport!$G24</f>
        <v>2.0133525558873468E-2</v>
      </c>
      <c r="AZ13" s="73">
        <f t="shared" si="1"/>
        <v>47.798624963803547</v>
      </c>
      <c r="BA13" s="73">
        <f t="shared" ca="1" si="2"/>
        <v>47.798624963803547</v>
      </c>
      <c r="BH13" s="73">
        <f>LeastSq!BB11</f>
        <v>44409</v>
      </c>
      <c r="BI13" s="73"/>
      <c r="BJ13" s="73"/>
    </row>
    <row r="14" spans="1:62" x14ac:dyDescent="0.2">
      <c r="AN14">
        <f t="shared" si="3"/>
        <v>6</v>
      </c>
      <c r="AO14" s="121">
        <f>Transport!$A25</f>
        <v>44440</v>
      </c>
      <c r="AP14" s="132" t="str">
        <f t="shared" si="0"/>
        <v>9</v>
      </c>
      <c r="AQ14" s="132" t="str">
        <f t="shared" si="4"/>
        <v>21</v>
      </c>
      <c r="AR14" s="132" t="str">
        <f t="shared" si="5"/>
        <v>9/21</v>
      </c>
      <c r="AS14" s="133" t="str">
        <f>AP14&amp;"/"&amp;AQ14</f>
        <v>9/21</v>
      </c>
      <c r="AT14" s="73">
        <f>Transport!$F25</f>
        <v>46.237790728679677</v>
      </c>
      <c r="AU14" s="73">
        <f ca="1">IF(AT14=0,0,LeastSq!AP12)</f>
        <v>40.865320289870041</v>
      </c>
      <c r="AV14" s="73"/>
      <c r="AW14" s="73"/>
      <c r="AX14" s="586"/>
      <c r="AY14" s="73">
        <f>Transport!$G25</f>
        <v>2.9205499086951137E-2</v>
      </c>
      <c r="AZ14" s="73">
        <f t="shared" si="1"/>
        <v>46.237790728679677</v>
      </c>
      <c r="BA14" s="73">
        <f t="shared" ca="1" si="2"/>
        <v>46.237790728679677</v>
      </c>
      <c r="BH14" s="73">
        <f>LeastSq!BB12</f>
        <v>44440</v>
      </c>
      <c r="BI14" s="73"/>
      <c r="BJ14" s="73"/>
    </row>
    <row r="15" spans="1:62" x14ac:dyDescent="0.2">
      <c r="AN15">
        <f t="shared" si="3"/>
        <v>7</v>
      </c>
      <c r="AO15" s="121">
        <f>Transport!$A26</f>
        <v>44470</v>
      </c>
      <c r="AP15" s="132" t="str">
        <f t="shared" si="0"/>
        <v>10</v>
      </c>
      <c r="AQ15" s="132" t="str">
        <f t="shared" si="4"/>
        <v>21</v>
      </c>
      <c r="AR15" s="132" t="str">
        <f t="shared" si="5"/>
        <v>10/21</v>
      </c>
      <c r="AS15" s="134" t="s">
        <v>278</v>
      </c>
      <c r="AT15" s="73">
        <f>Transport!$F26</f>
        <v>47.622125569631088</v>
      </c>
      <c r="AU15" s="73">
        <f ca="1">IF(AT15=0,0,LeastSq!AP13)</f>
        <v>40.816990778985208</v>
      </c>
      <c r="AV15" s="73"/>
      <c r="AW15" s="73"/>
      <c r="AX15" s="586"/>
      <c r="AY15" s="73">
        <f>Transport!$G26</f>
        <v>3.7570825647524536E-2</v>
      </c>
      <c r="AZ15" s="73">
        <f t="shared" si="1"/>
        <v>47.622125569631088</v>
      </c>
      <c r="BA15" s="73">
        <f t="shared" ca="1" si="2"/>
        <v>47.622125569631088</v>
      </c>
      <c r="BH15" s="73">
        <f>LeastSq!BB13</f>
        <v>44470</v>
      </c>
      <c r="BI15" s="73"/>
      <c r="BJ15" s="73"/>
    </row>
    <row r="16" spans="1:62" x14ac:dyDescent="0.2">
      <c r="AN16">
        <f t="shared" si="3"/>
        <v>8</v>
      </c>
      <c r="AO16" s="121">
        <f>Transport!$A27</f>
        <v>44501</v>
      </c>
      <c r="AP16" s="132" t="str">
        <f t="shared" si="0"/>
        <v>11</v>
      </c>
      <c r="AQ16" s="132" t="str">
        <f t="shared" si="4"/>
        <v>21</v>
      </c>
      <c r="AR16" s="132" t="str">
        <f t="shared" si="5"/>
        <v>11/21</v>
      </c>
      <c r="AS16" s="134" t="s">
        <v>279</v>
      </c>
      <c r="AT16" s="73">
        <f>Transport!$F27</f>
        <v>47.227304643709218</v>
      </c>
      <c r="AU16" s="73">
        <f ca="1">IF(AT16=0,0,LeastSq!AP14)</f>
        <v>40.768718425161786</v>
      </c>
      <c r="AV16" s="73"/>
      <c r="AW16" s="73"/>
      <c r="AX16" s="586"/>
      <c r="AY16" s="73">
        <f>Transport!$G27</f>
        <v>4.4422200058898645E-2</v>
      </c>
      <c r="AZ16" s="73">
        <f t="shared" si="1"/>
        <v>47.227304643709218</v>
      </c>
      <c r="BA16" s="73">
        <f t="shared" ca="1" si="2"/>
        <v>47.227304643709218</v>
      </c>
      <c r="BH16" s="73">
        <f>LeastSq!BB14</f>
        <v>44501</v>
      </c>
      <c r="BI16" s="73"/>
      <c r="BJ16" s="73"/>
    </row>
    <row r="17" spans="1:62" x14ac:dyDescent="0.2">
      <c r="AN17">
        <f t="shared" si="3"/>
        <v>9</v>
      </c>
      <c r="AO17" s="121">
        <f>Transport!$A28</f>
        <v>44531</v>
      </c>
      <c r="AP17" s="132" t="str">
        <f t="shared" si="0"/>
        <v>12</v>
      </c>
      <c r="AQ17" s="132" t="str">
        <f t="shared" si="4"/>
        <v>21</v>
      </c>
      <c r="AR17" s="132" t="str">
        <f t="shared" si="5"/>
        <v>12/21</v>
      </c>
      <c r="AS17" s="133" t="str">
        <f>AP17&amp;"/"&amp;AQ17</f>
        <v>12/21</v>
      </c>
      <c r="AT17" s="73">
        <f>Transport!$F28</f>
        <v>48.96810775013158</v>
      </c>
      <c r="AU17" s="73">
        <f ca="1">IF(AT17=0,0,LeastSq!AP15)</f>
        <v>40.720503160802821</v>
      </c>
      <c r="AV17" s="73"/>
      <c r="AW17" s="73"/>
      <c r="AX17" s="586"/>
      <c r="AY17" s="73">
        <f>Transport!$G28</f>
        <v>5.141439864531562E-2</v>
      </c>
      <c r="AZ17" s="73">
        <f t="shared" si="1"/>
        <v>48.96810775013158</v>
      </c>
      <c r="BA17" s="73">
        <f t="shared" ca="1" si="2"/>
        <v>48.96810775013158</v>
      </c>
      <c r="BH17" s="73">
        <f>LeastSq!BB15</f>
        <v>44531</v>
      </c>
      <c r="BI17" s="73"/>
      <c r="BJ17" s="73"/>
    </row>
    <row r="18" spans="1:62" x14ac:dyDescent="0.2">
      <c r="AN18">
        <f t="shared" si="3"/>
        <v>10</v>
      </c>
      <c r="AO18" s="121">
        <f>Transport!$A29</f>
        <v>44562</v>
      </c>
      <c r="AP18" s="132" t="str">
        <f t="shared" si="0"/>
        <v>1</v>
      </c>
      <c r="AQ18" s="132" t="str">
        <f t="shared" si="4"/>
        <v>22</v>
      </c>
      <c r="AR18" s="132" t="str">
        <f t="shared" si="5"/>
        <v>1/22</v>
      </c>
      <c r="AS18" s="134" t="s">
        <v>280</v>
      </c>
      <c r="AT18" s="73">
        <f>Transport!$F29</f>
        <v>32.792024176098245</v>
      </c>
      <c r="AU18" s="73">
        <f ca="1">IF(AT18=0,0,LeastSq!AP16)</f>
        <v>40.672344918391232</v>
      </c>
      <c r="AV18" s="73"/>
      <c r="AW18" s="73"/>
      <c r="AX18" s="586"/>
      <c r="AY18" s="73">
        <f>Transport!$G29</f>
        <v>3.6260234009988179E-2</v>
      </c>
      <c r="AZ18" s="73">
        <f t="shared" si="1"/>
        <v>32.792024176098245</v>
      </c>
      <c r="BA18" s="73">
        <f t="shared" ca="1" si="2"/>
        <v>40.672344918391232</v>
      </c>
      <c r="BH18" s="73">
        <f>LeastSq!BB16</f>
        <v>44562</v>
      </c>
      <c r="BI18" s="73"/>
      <c r="BJ18" s="73"/>
    </row>
    <row r="19" spans="1:62" x14ac:dyDescent="0.2">
      <c r="AN19">
        <f t="shared" si="3"/>
        <v>11</v>
      </c>
      <c r="AO19" s="121">
        <f>Transport!$A30</f>
        <v>44593</v>
      </c>
      <c r="AP19" s="132" t="str">
        <f t="shared" si="0"/>
        <v>2</v>
      </c>
      <c r="AQ19" s="132" t="str">
        <f t="shared" si="4"/>
        <v>22</v>
      </c>
      <c r="AR19" s="132" t="str">
        <f t="shared" si="5"/>
        <v>2/22</v>
      </c>
      <c r="AS19" s="134" t="s">
        <v>281</v>
      </c>
      <c r="AT19" s="73">
        <f>Transport!$F30</f>
        <v>31.17009535145916</v>
      </c>
      <c r="AU19" s="73">
        <f ca="1">IF(AT19=0,0,LeastSq!AP17)</f>
        <v>40.62424363048985</v>
      </c>
      <c r="AV19" s="73">
        <f ca="1">IF(AT19=0,0,LeastSq!$AZ17)</f>
        <v>37.798939413948808</v>
      </c>
      <c r="AW19" s="73"/>
      <c r="AX19" s="586"/>
      <c r="AY19" s="73">
        <f>Transport!$G30</f>
        <v>3.6571913018890283E-2</v>
      </c>
      <c r="AZ19" s="73">
        <f t="shared" si="1"/>
        <v>31.17009535145916</v>
      </c>
      <c r="BA19" s="73">
        <f t="shared" ca="1" si="2"/>
        <v>40.62424363048985</v>
      </c>
      <c r="BH19" s="73">
        <f>LeastSq!BB17</f>
        <v>44593</v>
      </c>
      <c r="BI19" s="73"/>
      <c r="BJ19" s="73"/>
    </row>
    <row r="20" spans="1:62" x14ac:dyDescent="0.2">
      <c r="AN20">
        <f t="shared" si="3"/>
        <v>12</v>
      </c>
      <c r="AO20" s="121">
        <f>Transport!$A31</f>
        <v>44621</v>
      </c>
      <c r="AP20" s="132" t="str">
        <f t="shared" si="0"/>
        <v>3</v>
      </c>
      <c r="AQ20" s="132" t="str">
        <f t="shared" si="4"/>
        <v>22</v>
      </c>
      <c r="AR20" s="132" t="str">
        <f t="shared" si="5"/>
        <v>3/22</v>
      </c>
      <c r="AS20" s="133" t="str">
        <f>AP20&amp;"/"&amp;AQ20</f>
        <v>3/22</v>
      </c>
      <c r="AT20" s="73">
        <f>Transport!$F31</f>
        <v>39.046129236548509</v>
      </c>
      <c r="AU20" s="73">
        <f ca="1">IF(AT20=0,0,LeastSq!AP18)</f>
        <v>40.576199229741192</v>
      </c>
      <c r="AV20" s="73">
        <f ca="1">IF(AT20=0,0,LeastSq!$AZ18)</f>
        <v>37.93862963412726</v>
      </c>
      <c r="AW20" s="73"/>
      <c r="AX20" s="586"/>
      <c r="AY20" s="73">
        <f>Transport!$G31</f>
        <v>4.8681831643879306E-2</v>
      </c>
      <c r="AZ20" s="73">
        <f t="shared" si="1"/>
        <v>39.046129236548509</v>
      </c>
      <c r="BA20" s="73">
        <f t="shared" ca="1" si="2"/>
        <v>40.576199229741192</v>
      </c>
      <c r="BH20" s="73">
        <f>LeastSq!BB18</f>
        <v>44621</v>
      </c>
      <c r="BI20" s="73"/>
      <c r="BJ20" s="73"/>
    </row>
    <row r="21" spans="1:62" x14ac:dyDescent="0.2">
      <c r="AN21">
        <f t="shared" si="3"/>
        <v>13</v>
      </c>
      <c r="AO21" s="121">
        <f>Transport!$A32</f>
        <v>44652</v>
      </c>
      <c r="AP21" s="132" t="str">
        <f t="shared" si="0"/>
        <v>4</v>
      </c>
      <c r="AQ21" s="132" t="str">
        <f t="shared" si="4"/>
        <v>22</v>
      </c>
      <c r="AR21" s="132" t="str">
        <f t="shared" si="5"/>
        <v>4/22</v>
      </c>
      <c r="AS21" s="134" t="s">
        <v>282</v>
      </c>
      <c r="AT21" s="73">
        <f>Transport!$F32</f>
        <v>37.458797906089245</v>
      </c>
      <c r="AU21" s="73">
        <f ca="1">IF(AT21=0,0,LeastSq!AP19)</f>
        <v>40.52821164886749</v>
      </c>
      <c r="AV21" s="73">
        <f ca="1">IF(AT21=0,0,LeastSq!$AZ19)</f>
        <v>38.078836095182204</v>
      </c>
      <c r="AW21" s="73"/>
      <c r="AX21" s="586"/>
      <c r="AY21" s="73">
        <f>Transport!$G32</f>
        <v>5.3955309016420962E-2</v>
      </c>
      <c r="AZ21" s="73">
        <f t="shared" si="1"/>
        <v>37.458797906089245</v>
      </c>
      <c r="BA21" s="73">
        <f t="shared" ca="1" si="2"/>
        <v>40.52821164886749</v>
      </c>
      <c r="BH21" s="73">
        <f>LeastSq!BB19</f>
        <v>44652</v>
      </c>
      <c r="BI21" s="73">
        <f ca="1">LeastSq!$AZ19</f>
        <v>38.078836095182204</v>
      </c>
      <c r="BJ21" s="73"/>
    </row>
    <row r="22" spans="1:62" x14ac:dyDescent="0.2">
      <c r="AN22">
        <f t="shared" si="3"/>
        <v>14</v>
      </c>
      <c r="AO22" s="121">
        <f>Transport!$A33</f>
        <v>44682</v>
      </c>
      <c r="AP22" s="132" t="str">
        <f t="shared" si="0"/>
        <v>5</v>
      </c>
      <c r="AQ22" s="132" t="str">
        <f t="shared" si="4"/>
        <v>22</v>
      </c>
      <c r="AR22" s="132" t="str">
        <f t="shared" si="5"/>
        <v>5/22</v>
      </c>
      <c r="AS22" s="134" t="s">
        <v>283</v>
      </c>
      <c r="AT22" s="73">
        <f>Transport!$F33</f>
        <v>39.220997237718201</v>
      </c>
      <c r="AU22" s="73">
        <f ca="1">IF(AT22=0,0,LeastSq!AP20)</f>
        <v>40.480280820670544</v>
      </c>
      <c r="AV22" s="73">
        <f ca="1">IF(AT22=0,0,LeastSq!$AZ20)</f>
        <v>38.219560704939695</v>
      </c>
      <c r="AW22" s="73"/>
      <c r="AX22" s="586"/>
      <c r="AY22" s="73">
        <f>Transport!$G33</f>
        <v>6.2115910719676599E-2</v>
      </c>
      <c r="AZ22" s="73">
        <f t="shared" si="1"/>
        <v>39.220997237718201</v>
      </c>
      <c r="BA22" s="73">
        <f t="shared" ca="1" si="2"/>
        <v>40.480280820670544</v>
      </c>
      <c r="BH22" s="73">
        <f>LeastSq!BB20</f>
        <v>44682</v>
      </c>
      <c r="BI22" s="73">
        <f ca="1">LeastSq!$AZ20</f>
        <v>38.219560704939695</v>
      </c>
      <c r="BJ22" s="73"/>
    </row>
    <row r="23" spans="1:62" x14ac:dyDescent="0.2">
      <c r="AN23">
        <f t="shared" si="3"/>
        <v>15</v>
      </c>
      <c r="AO23" s="121">
        <f>Transport!$A34</f>
        <v>44713</v>
      </c>
      <c r="AP23" s="132" t="str">
        <f t="shared" si="0"/>
        <v>6</v>
      </c>
      <c r="AQ23" s="132" t="str">
        <f t="shared" si="4"/>
        <v>22</v>
      </c>
      <c r="AR23" s="132" t="str">
        <f t="shared" si="5"/>
        <v>6/22</v>
      </c>
      <c r="AS23" s="133" t="str">
        <f>AP23&amp;"/"&amp;AQ23</f>
        <v>6/22</v>
      </c>
      <c r="AT23" s="73">
        <f>Transport!$F34</f>
        <v>39.387231494672243</v>
      </c>
      <c r="AU23" s="73">
        <f ca="1">IF(AT23=0,0,LeastSq!AP21)</f>
        <v>40.432406678031569</v>
      </c>
      <c r="AV23" s="73">
        <f ca="1">IF(AT23=0,0,LeastSq!$AZ21)</f>
        <v>38.360805378276368</v>
      </c>
      <c r="AW23" s="73"/>
      <c r="AX23" s="586"/>
      <c r="AY23" s="73">
        <f>Transport!$G34</f>
        <v>0.12538542138161263</v>
      </c>
      <c r="AZ23" s="73">
        <f t="shared" si="1"/>
        <v>39.387231494672243</v>
      </c>
      <c r="BA23" s="73">
        <f t="shared" ca="1" si="2"/>
        <v>40.432406678031569</v>
      </c>
      <c r="BH23" s="73">
        <f>LeastSq!BB21</f>
        <v>44713</v>
      </c>
      <c r="BI23" s="73">
        <f ca="1">LeastSq!$AZ21</f>
        <v>38.360805378276368</v>
      </c>
      <c r="BJ23" s="73"/>
    </row>
    <row r="24" spans="1:62" x14ac:dyDescent="0.2">
      <c r="AN24">
        <f t="shared" si="3"/>
        <v>16</v>
      </c>
      <c r="AO24" s="121">
        <f>Transport!$A35</f>
        <v>44743</v>
      </c>
      <c r="AP24" s="132" t="str">
        <f t="shared" si="0"/>
        <v>7</v>
      </c>
      <c r="AQ24" s="132" t="str">
        <f t="shared" si="4"/>
        <v>22</v>
      </c>
      <c r="AR24" s="132" t="str">
        <f t="shared" si="5"/>
        <v>7/22</v>
      </c>
      <c r="AS24" s="134" t="s">
        <v>284</v>
      </c>
      <c r="AT24" s="73">
        <f>Transport!$F35</f>
        <v>37.986203504258292</v>
      </c>
      <c r="AU24" s="73">
        <f ca="1">IF(AT24=0,0,LeastSq!AP22)</f>
        <v>40.384589153911236</v>
      </c>
      <c r="AV24" s="73">
        <f ca="1">IF(AT24=0,0,LeastSq!$AZ22)</f>
        <v>38.502572037145548</v>
      </c>
      <c r="AW24" s="73"/>
      <c r="AX24" s="586"/>
      <c r="AY24" s="73">
        <f>Transport!$G35</f>
        <v>0.15874216493247023</v>
      </c>
      <c r="AZ24" s="73">
        <f t="shared" si="1"/>
        <v>37.986203504258292</v>
      </c>
      <c r="BA24" s="73">
        <f t="shared" ca="1" si="2"/>
        <v>40.384589153911236</v>
      </c>
      <c r="BH24" s="73">
        <f>LeastSq!BB22</f>
        <v>44743</v>
      </c>
      <c r="BI24" s="73">
        <f ca="1">LeastSq!$AZ22</f>
        <v>38.502572037145548</v>
      </c>
      <c r="BJ24" s="73"/>
    </row>
    <row r="25" spans="1:62" x14ac:dyDescent="0.2">
      <c r="AN25">
        <f t="shared" si="3"/>
        <v>17</v>
      </c>
      <c r="AO25" s="121">
        <f>Transport!$A36</f>
        <v>44774</v>
      </c>
      <c r="AP25" s="132" t="str">
        <f t="shared" si="0"/>
        <v>8</v>
      </c>
      <c r="AQ25" s="132" t="str">
        <f t="shared" si="4"/>
        <v>22</v>
      </c>
      <c r="AR25" s="132" t="str">
        <f t="shared" si="5"/>
        <v>8/22</v>
      </c>
      <c r="AS25" s="134" t="s">
        <v>285</v>
      </c>
      <c r="AT25" s="73">
        <f>Transport!$F36</f>
        <v>44.71334857009554</v>
      </c>
      <c r="AU25" s="73">
        <f ca="1">IF(AT25=0,0,LeastSq!AP23)</f>
        <v>40.336828181349418</v>
      </c>
      <c r="AV25" s="73">
        <f ca="1">IF(AT25=0,0,LeastSq!$AZ23)</f>
        <v>38.644862610603298</v>
      </c>
      <c r="AW25" s="73">
        <f ca="1">IF($AT25=0,0,LeastSq!$BJ23)</f>
        <v>39.577895374722281</v>
      </c>
      <c r="AX25" s="586"/>
      <c r="AY25" s="73">
        <f>Transport!$G36</f>
        <v>0.21215089123758382</v>
      </c>
      <c r="AZ25" s="73">
        <f t="shared" si="1"/>
        <v>44.71334857009554</v>
      </c>
      <c r="BA25" s="73">
        <f t="shared" ca="1" si="2"/>
        <v>44.71334857009554</v>
      </c>
      <c r="BH25" s="73">
        <f>LeastSq!BB23</f>
        <v>44774</v>
      </c>
      <c r="BI25" s="73">
        <f ca="1">LeastSq!$AZ23</f>
        <v>38.644862610603298</v>
      </c>
      <c r="BJ25" s="73"/>
    </row>
    <row r="26" spans="1:62" x14ac:dyDescent="0.2">
      <c r="AN26">
        <f t="shared" si="3"/>
        <v>18</v>
      </c>
      <c r="AO26" s="121">
        <f>Transport!$A37</f>
        <v>44805</v>
      </c>
      <c r="AP26" s="132" t="str">
        <f t="shared" si="0"/>
        <v>9</v>
      </c>
      <c r="AQ26" s="132" t="str">
        <f t="shared" si="4"/>
        <v>22</v>
      </c>
      <c r="AR26" s="132" t="str">
        <f t="shared" si="5"/>
        <v>9/22</v>
      </c>
      <c r="AS26" s="133" t="str">
        <f>AP26&amp;"/"&amp;AQ26</f>
        <v>9/22</v>
      </c>
      <c r="AT26" s="73">
        <f>Transport!$F37</f>
        <v>40.787181949898923</v>
      </c>
      <c r="AU26" s="73">
        <f ca="1">IF(AT26=0,0,LeastSq!AP24)</f>
        <v>40.289123693465243</v>
      </c>
      <c r="AV26" s="73">
        <f ca="1">IF(AT26=0,0,LeastSq!$AZ24)</f>
        <v>38.787679034834738</v>
      </c>
      <c r="AW26" s="73">
        <f ca="1">IF(AT26=0,0,LeastSq!$BJ24)</f>
        <v>39.627826292020565</v>
      </c>
      <c r="AX26" s="586"/>
      <c r="AY26" s="73">
        <f>Transport!$G37</f>
        <v>0.20990975693459887</v>
      </c>
      <c r="AZ26" s="73">
        <f t="shared" si="1"/>
        <v>40.787181949898923</v>
      </c>
      <c r="BA26" s="73">
        <f t="shared" ca="1" si="2"/>
        <v>40.787181949898923</v>
      </c>
      <c r="BH26" s="73">
        <f>LeastSq!BB24</f>
        <v>44805</v>
      </c>
      <c r="BI26" s="73">
        <f ca="1">LeastSq!$AZ24</f>
        <v>38.787679034834738</v>
      </c>
      <c r="BJ26" s="73"/>
    </row>
    <row r="27" spans="1:62" x14ac:dyDescent="0.2">
      <c r="AN27">
        <f t="shared" si="3"/>
        <v>19</v>
      </c>
      <c r="AO27" s="121">
        <f>Transport!$A38</f>
        <v>44835</v>
      </c>
      <c r="AP27" s="132" t="str">
        <f t="shared" si="0"/>
        <v>10</v>
      </c>
      <c r="AQ27" s="132" t="str">
        <f t="shared" si="4"/>
        <v>22</v>
      </c>
      <c r="AR27" s="132" t="str">
        <f t="shared" si="5"/>
        <v>10/22</v>
      </c>
      <c r="AS27" s="134" t="s">
        <v>286</v>
      </c>
      <c r="AT27" s="73">
        <f>Transport!$F38</f>
        <v>41.482201046704006</v>
      </c>
      <c r="AU27" s="73">
        <f ca="1">IF(AT27=0,0,LeastSq!AP25)</f>
        <v>40.241475623456928</v>
      </c>
      <c r="AV27" s="73">
        <f ca="1">IF(AT27=0,0,LeastSq!$AZ25)</f>
        <v>38.931023253180392</v>
      </c>
      <c r="AW27" s="73">
        <f ca="1">IF($AT27=0,0,LeastSq!$BJ25)</f>
        <v>39.677820201463291</v>
      </c>
      <c r="AX27" s="73"/>
      <c r="AY27" s="73">
        <f>Transport!$G38</f>
        <v>0.24959915512441702</v>
      </c>
      <c r="AZ27" s="73">
        <f t="shared" si="1"/>
        <v>41.482201046704006</v>
      </c>
      <c r="BA27" s="73">
        <f t="shared" ca="1" si="2"/>
        <v>41.482201046704006</v>
      </c>
      <c r="BH27" s="73">
        <f>LeastSq!BB25</f>
        <v>44835</v>
      </c>
      <c r="BI27" s="73">
        <f ca="1">LeastSq!$AZ25</f>
        <v>38.931023253180392</v>
      </c>
      <c r="BJ27" s="73">
        <f ca="1">LeastSq!$BJ25</f>
        <v>39.677820201463291</v>
      </c>
    </row>
    <row r="28" spans="1:62" x14ac:dyDescent="0.2">
      <c r="AN28">
        <f t="shared" si="3"/>
        <v>20</v>
      </c>
      <c r="AO28" s="121">
        <f>Transport!$A39</f>
        <v>44866</v>
      </c>
      <c r="AP28" s="132" t="str">
        <f t="shared" si="0"/>
        <v>11</v>
      </c>
      <c r="AQ28" s="132" t="str">
        <f t="shared" si="4"/>
        <v>22</v>
      </c>
      <c r="AR28" s="132" t="str">
        <f t="shared" si="5"/>
        <v>11/22</v>
      </c>
      <c r="AS28" s="134" t="s">
        <v>287</v>
      </c>
      <c r="AT28" s="73">
        <f>Transport!$F39</f>
        <v>39.292868284527216</v>
      </c>
      <c r="AU28" s="73">
        <f ca="1">IF(AT28=0,0,LeastSq!AP26)</f>
        <v>40.193883904601648</v>
      </c>
      <c r="AV28" s="73">
        <f ca="1">IF(AT28=0,0,LeastSq!$AZ26)</f>
        <v>39.074897216162597</v>
      </c>
      <c r="AW28" s="73">
        <f ca="1">IF(AT28=0,0,LeastSq!$BJ26)</f>
        <v>39.727877182520444</v>
      </c>
      <c r="AX28" s="73"/>
      <c r="AY28" s="73">
        <f>Transport!$G39</f>
        <v>0.27418952986562312</v>
      </c>
      <c r="AZ28" s="73">
        <f t="shared" si="1"/>
        <v>39.292868284527216</v>
      </c>
      <c r="BA28" s="73">
        <f t="shared" ca="1" si="2"/>
        <v>40.193883904601648</v>
      </c>
      <c r="BH28" s="73">
        <f>LeastSq!BB26</f>
        <v>44866</v>
      </c>
      <c r="BI28" s="73">
        <f ca="1">LeastSq!$AZ26</f>
        <v>39.074897216162597</v>
      </c>
      <c r="BJ28" s="73">
        <f ca="1">LeastSq!$BJ26</f>
        <v>39.727877182520444</v>
      </c>
    </row>
    <row r="29" spans="1:62" x14ac:dyDescent="0.2">
      <c r="AN29">
        <f t="shared" si="3"/>
        <v>21</v>
      </c>
      <c r="AO29" s="121">
        <f>Transport!$A40</f>
        <v>44896</v>
      </c>
      <c r="AP29" s="132" t="str">
        <f t="shared" si="0"/>
        <v>12</v>
      </c>
      <c r="AQ29" s="132" t="str">
        <f t="shared" si="4"/>
        <v>22</v>
      </c>
      <c r="AR29" s="132" t="str">
        <f t="shared" si="5"/>
        <v>12/22</v>
      </c>
      <c r="AS29" s="133" t="str">
        <f>AP29&amp;"/"&amp;AQ29</f>
        <v>12/22</v>
      </c>
      <c r="AT29" s="73">
        <f>Transport!$F40</f>
        <v>39.955172982558864</v>
      </c>
      <c r="AU29" s="73">
        <f ca="1">IF(AT29=0,0,LeastSq!AP27)</f>
        <v>40.146348470255546</v>
      </c>
      <c r="AV29" s="73">
        <f ca="1">IF(AT29=0,0,LeastSq!$AZ27)</f>
        <v>39.219302881512078</v>
      </c>
      <c r="AW29" s="73">
        <f ca="1">IF(AT29=0,0,LeastSq!$BJ27)</f>
        <v>39.777997314762338</v>
      </c>
      <c r="AX29" s="73"/>
      <c r="AY29" s="73">
        <f>Transport!$G40</f>
        <v>0.30109826112542049</v>
      </c>
      <c r="AZ29" s="73">
        <f t="shared" si="1"/>
        <v>39.955172982558864</v>
      </c>
      <c r="BA29" s="73">
        <f t="shared" ca="1" si="2"/>
        <v>40.146348470255546</v>
      </c>
      <c r="BH29" s="73">
        <f>LeastSq!BB27</f>
        <v>44896</v>
      </c>
      <c r="BI29" s="73">
        <f ca="1">LeastSq!$AZ27</f>
        <v>39.219302881512078</v>
      </c>
      <c r="BJ29" s="73">
        <f ca="1">LeastSq!$BJ27</f>
        <v>39.777997314762338</v>
      </c>
    </row>
    <row r="30" spans="1:62" x14ac:dyDescent="0.2">
      <c r="AN30">
        <f t="shared" si="3"/>
        <v>22</v>
      </c>
      <c r="AO30" s="121">
        <f>Transport!$A41</f>
        <v>44927</v>
      </c>
      <c r="AP30" s="132" t="str">
        <f t="shared" si="0"/>
        <v>1</v>
      </c>
      <c r="AQ30" s="132" t="str">
        <f t="shared" si="4"/>
        <v>23</v>
      </c>
      <c r="AR30" s="132" t="str">
        <f t="shared" si="5"/>
        <v>1/23</v>
      </c>
      <c r="AS30" s="134" t="s">
        <v>288</v>
      </c>
      <c r="AT30" s="73">
        <f>Transport!$F41</f>
        <v>34.457578879124007</v>
      </c>
      <c r="AU30" s="73">
        <f ca="1">IF(AT30=0,0,LeastSq!AP28)</f>
        <v>40.098869253853536</v>
      </c>
      <c r="AV30" s="73">
        <f ca="1">IF(AT30=0,0,LeastSq!$AZ28)</f>
        <v>39.364242214194569</v>
      </c>
      <c r="AW30" s="73">
        <f ca="1">IF(AT30=0,0,LeastSq!$BJ28)</f>
        <v>39.828180677859585</v>
      </c>
      <c r="AX30" s="73"/>
      <c r="AY30" s="73">
        <f>Transport!$G41</f>
        <v>0.31269346719620922</v>
      </c>
      <c r="AZ30" s="73">
        <f t="shared" si="1"/>
        <v>34.457578879124007</v>
      </c>
      <c r="BA30" s="73">
        <f t="shared" ca="1" si="2"/>
        <v>40.098869253853536</v>
      </c>
      <c r="BH30" s="73">
        <f>LeastSq!BB28</f>
        <v>44927</v>
      </c>
      <c r="BI30" s="73">
        <f ca="1">LeastSq!$AZ28</f>
        <v>39.364242214194569</v>
      </c>
      <c r="BJ30" s="73">
        <f ca="1">LeastSq!$BJ28</f>
        <v>39.828180677859585</v>
      </c>
    </row>
    <row r="31" spans="1:62" x14ac:dyDescent="0.2">
      <c r="A31" s="227" t="s">
        <v>1040</v>
      </c>
      <c r="AN31">
        <f t="shared" si="3"/>
        <v>23</v>
      </c>
      <c r="AO31" s="121">
        <f>Transport!$A42</f>
        <v>44958</v>
      </c>
      <c r="AP31" s="132" t="str">
        <f t="shared" si="0"/>
        <v>2</v>
      </c>
      <c r="AQ31" s="132" t="str">
        <f t="shared" si="4"/>
        <v>23</v>
      </c>
      <c r="AR31" s="132" t="str">
        <f t="shared" si="5"/>
        <v>2/23</v>
      </c>
      <c r="AS31" s="134" t="s">
        <v>289</v>
      </c>
      <c r="AT31" s="73">
        <f>Transport!$F42</f>
        <v>35.59053999092955</v>
      </c>
      <c r="AU31" s="73">
        <f ca="1">IF(AT31=0,0,LeastSq!AP29)</f>
        <v>40.051446188909274</v>
      </c>
      <c r="AV31" s="73">
        <f ca="1">IF(AT31=0,0,LeastSq!$AZ29)</f>
        <v>39.509717186437555</v>
      </c>
      <c r="AW31" s="73">
        <f ca="1">IF(AT31=0,0,LeastSq!$BJ29)</f>
        <v>39.878427351583355</v>
      </c>
      <c r="AX31" s="73">
        <f ca="1">IF($AT31=0,0,LeastSq!$BT29)</f>
        <v>39.01297329838463</v>
      </c>
      <c r="AY31" s="73">
        <f>Transport!$G42</f>
        <v>0.37036911826113594</v>
      </c>
      <c r="AZ31" s="73">
        <f t="shared" si="1"/>
        <v>35.59053999092955</v>
      </c>
      <c r="BA31" s="73">
        <f t="shared" ca="1" si="2"/>
        <v>40.051446188909274</v>
      </c>
      <c r="BH31" s="73">
        <f>LeastSq!BB29</f>
        <v>44958</v>
      </c>
      <c r="BI31" s="73">
        <f ca="1">LeastSq!$AZ29</f>
        <v>39.509717186437555</v>
      </c>
      <c r="BJ31" s="73">
        <f ca="1">LeastSq!$BJ29</f>
        <v>39.878427351583355</v>
      </c>
    </row>
    <row r="32" spans="1:62" x14ac:dyDescent="0.2">
      <c r="AN32">
        <f t="shared" si="3"/>
        <v>24</v>
      </c>
      <c r="AO32" s="121">
        <f>Transport!$A43</f>
        <v>44986</v>
      </c>
      <c r="AP32" s="132" t="str">
        <f t="shared" si="0"/>
        <v>3</v>
      </c>
      <c r="AQ32" s="132" t="str">
        <f t="shared" si="4"/>
        <v>23</v>
      </c>
      <c r="AR32" s="132" t="str">
        <f t="shared" si="5"/>
        <v>3/23</v>
      </c>
      <c r="AS32" s="133" t="str">
        <f>AP32&amp;"/"&amp;AQ32</f>
        <v>3/23</v>
      </c>
      <c r="AT32" s="73">
        <f>Transport!$F43</f>
        <v>43.272089036718107</v>
      </c>
      <c r="AU32" s="73">
        <f ca="1">IF(AT32=0,0,LeastSq!AP30)</f>
        <v>40.004079209015075</v>
      </c>
      <c r="AV32" s="73">
        <f ca="1">IF(AT32=0,0,LeastSq!$AZ30)</f>
        <v>39.655729777757116</v>
      </c>
      <c r="AW32" s="73">
        <f ca="1">IF(AT32=0,0,LeastSq!$BJ30)</f>
        <v>39.928737415805429</v>
      </c>
      <c r="AX32" s="73">
        <f ca="1">IF($AT32=0,0,LeastSq!$BT30)</f>
        <v>39.213531703317308</v>
      </c>
      <c r="AY32" s="73">
        <f>Transport!$G43</f>
        <v>0.54371439639319596</v>
      </c>
      <c r="AZ32" s="73">
        <f t="shared" si="1"/>
        <v>43.272089036718107</v>
      </c>
      <c r="BA32" s="73">
        <f t="shared" ca="1" si="2"/>
        <v>43.272089036718107</v>
      </c>
      <c r="BH32" s="73">
        <f>LeastSq!BB30</f>
        <v>44986</v>
      </c>
      <c r="BI32" s="73">
        <f ca="1">LeastSq!$AZ30</f>
        <v>39.655729777757116</v>
      </c>
      <c r="BJ32" s="73">
        <f ca="1">LeastSq!$BJ30</f>
        <v>39.928737415805429</v>
      </c>
    </row>
    <row r="33" spans="1:62" x14ac:dyDescent="0.2">
      <c r="AN33">
        <f t="shared" si="3"/>
        <v>25</v>
      </c>
      <c r="AO33" s="121">
        <f>Transport!$A44</f>
        <v>45017</v>
      </c>
      <c r="AP33" s="132" t="str">
        <f t="shared" si="0"/>
        <v>4</v>
      </c>
      <c r="AQ33" s="132" t="str">
        <f t="shared" si="4"/>
        <v>23</v>
      </c>
      <c r="AR33" s="132" t="str">
        <f t="shared" si="5"/>
        <v>4/23</v>
      </c>
      <c r="AS33" s="134" t="s">
        <v>290</v>
      </c>
      <c r="AT33" s="73">
        <f ca="1">Transport!$F44</f>
        <v>35.983312262958279</v>
      </c>
      <c r="AU33" s="73">
        <f ca="1">IF(AT33=0,0,LeastSq!AP31)</f>
        <v>39.956768247841715</v>
      </c>
      <c r="AV33" s="73">
        <f ca="1">IF(AT33=0,0,LeastSq!$AZ31)</f>
        <v>39.80228197498483</v>
      </c>
      <c r="AW33" s="73">
        <f ca="1">IF(AT33=0,0,LeastSq!$BJ31)</f>
        <v>39.979110950498402</v>
      </c>
      <c r="AX33" s="73">
        <f ca="1">IF($AT33=0,0,LeastSq!$BT31)</f>
        <v>39.415121141529113</v>
      </c>
      <c r="AY33" s="73">
        <f ca="1">Transport!$G44</f>
        <v>0.55866066780702617</v>
      </c>
      <c r="AZ33" s="73">
        <f t="shared" ca="1" si="1"/>
        <v>35.983312262958279</v>
      </c>
      <c r="BA33" s="73">
        <f t="shared" ca="1" si="2"/>
        <v>39.979110950498402</v>
      </c>
      <c r="BH33" s="73">
        <f>LeastSq!BB31</f>
        <v>45017</v>
      </c>
      <c r="BI33" s="73">
        <f ca="1">LeastSq!$AZ31</f>
        <v>39.80228197498483</v>
      </c>
      <c r="BJ33" s="73">
        <f ca="1">LeastSq!$BJ31</f>
        <v>39.979110950498402</v>
      </c>
    </row>
    <row r="34" spans="1:62" x14ac:dyDescent="0.2">
      <c r="AN34">
        <f t="shared" si="3"/>
        <v>26</v>
      </c>
      <c r="AO34" s="121">
        <f>Transport!$A45</f>
        <v>45047</v>
      </c>
      <c r="AP34" s="132" t="str">
        <f t="shared" si="0"/>
        <v>5</v>
      </c>
      <c r="AQ34" s="132" t="str">
        <f t="shared" si="4"/>
        <v>23</v>
      </c>
      <c r="AR34" s="132" t="str">
        <f t="shared" si="5"/>
        <v>5/23</v>
      </c>
      <c r="AS34" s="134" t="s">
        <v>276</v>
      </c>
      <c r="AT34" s="73">
        <f ca="1">Transport!$F45</f>
        <v>40.251983787602725</v>
      </c>
      <c r="AU34" s="73">
        <f ca="1">IF(AT34=0,0,LeastSq!AP32)</f>
        <v>39.909513239138512</v>
      </c>
      <c r="AV34" s="73">
        <f ca="1">IF(AT34=0,0,LeastSq!$AZ32)</f>
        <v>39.949375772294879</v>
      </c>
      <c r="AW34" s="73">
        <f ca="1">IF(AT34=0,0,LeastSq!$BJ32)</f>
        <v>40.029548035735708</v>
      </c>
      <c r="AX34" s="73">
        <f ca="1">IF($AT34=0,0,LeastSq!$BT32)</f>
        <v>39.61774691336948</v>
      </c>
      <c r="AY34" s="73">
        <f ca="1">Transport!$G45</f>
        <v>0.71747213029414691</v>
      </c>
      <c r="AZ34" s="73">
        <f t="shared" ca="1" si="1"/>
        <v>40.251983787602725</v>
      </c>
      <c r="BA34" s="73">
        <f t="shared" ca="1" si="2"/>
        <v>40.251983787602725</v>
      </c>
      <c r="BH34" s="73">
        <f>LeastSq!BB32</f>
        <v>45047</v>
      </c>
      <c r="BI34" s="73">
        <f ca="1">LeastSq!$AZ32</f>
        <v>39.949375772294879</v>
      </c>
      <c r="BJ34" s="73">
        <f ca="1">LeastSq!$BJ32</f>
        <v>40.029548035735708</v>
      </c>
    </row>
    <row r="35" spans="1:62" x14ac:dyDescent="0.2">
      <c r="AN35">
        <f t="shared" si="3"/>
        <v>27</v>
      </c>
      <c r="AO35" s="121">
        <f>Transport!$A46</f>
        <v>45078</v>
      </c>
      <c r="AP35" s="132" t="str">
        <f t="shared" si="0"/>
        <v>6</v>
      </c>
      <c r="AQ35" s="132" t="str">
        <f t="shared" si="4"/>
        <v>23</v>
      </c>
      <c r="AR35" s="132" t="str">
        <f t="shared" si="5"/>
        <v>6/23</v>
      </c>
      <c r="AS35" s="133" t="str">
        <f>AP35&amp;"/"&amp;AQ35</f>
        <v>6/23</v>
      </c>
      <c r="AT35" s="73">
        <f ca="1">Transport!$F46</f>
        <v>40.966554665288186</v>
      </c>
      <c r="AU35" s="73">
        <f ca="1">IF(AT35=0,0,LeastSq!AP33)</f>
        <v>39.862314116733046</v>
      </c>
      <c r="AV35" s="73">
        <f ca="1">IF(AT35=0,0,LeastSq!$AZ33)</f>
        <v>40.097013171231112</v>
      </c>
      <c r="AW35" s="73">
        <f ca="1">IF(AT35=0,0,LeastSq!$BJ33)</f>
        <v>40.080048751691812</v>
      </c>
      <c r="AX35" s="73">
        <f ca="1">IF($AT35=0,0,LeastSq!$BT33)</f>
        <v>39.82141434643593</v>
      </c>
      <c r="AY35" s="73">
        <f ca="1">Transport!$G46</f>
        <v>0.87586825684018188</v>
      </c>
      <c r="AZ35" s="73">
        <f t="shared" ca="1" si="1"/>
        <v>40.966554665288186</v>
      </c>
      <c r="BA35" s="73">
        <f t="shared" ca="1" si="2"/>
        <v>40.966554665288186</v>
      </c>
      <c r="BH35" s="73">
        <f>LeastSq!BB33</f>
        <v>45078</v>
      </c>
      <c r="BI35" s="73">
        <f ca="1">LeastSq!$AZ33</f>
        <v>40.097013171231112</v>
      </c>
      <c r="BJ35" s="73">
        <f ca="1">LeastSq!$BJ33</f>
        <v>40.080048751691812</v>
      </c>
    </row>
    <row r="36" spans="1:62" ht="41.25" customHeight="1" x14ac:dyDescent="0.2">
      <c r="AN36">
        <f t="shared" si="3"/>
        <v>28</v>
      </c>
      <c r="AO36" s="121">
        <f>Transport!$A47</f>
        <v>45108</v>
      </c>
      <c r="AP36" s="132" t="str">
        <f t="shared" si="0"/>
        <v>7</v>
      </c>
      <c r="AQ36" s="132" t="str">
        <f t="shared" si="4"/>
        <v>23</v>
      </c>
      <c r="AR36" s="132" t="str">
        <f t="shared" si="5"/>
        <v>7/23</v>
      </c>
      <c r="AS36" s="134" t="s">
        <v>275</v>
      </c>
      <c r="AT36" s="73">
        <f ca="1">Transport!$F47</f>
        <v>38.321848276874519</v>
      </c>
      <c r="AU36" s="73">
        <f ca="1">IF(AT36=0,0,LeastSq!AP34)</f>
        <v>39.815170814531228</v>
      </c>
      <c r="AV36" s="73">
        <f ca="1">IF(AT36=0,0,LeastSq!$AZ34)</f>
        <v>40.24519618073429</v>
      </c>
      <c r="AW36" s="73">
        <f ca="1">IF(AT36=0,0,LeastSq!$BJ34)</f>
        <v>40.130613178642363</v>
      </c>
      <c r="AX36" s="73">
        <f ca="1">IF($AT36=0,0,LeastSq!$BT34)</f>
        <v>40.026128795714122</v>
      </c>
      <c r="AY36" s="73">
        <f ca="1">Transport!$G47</f>
        <v>0.94977751679092437</v>
      </c>
      <c r="AZ36" s="73">
        <f t="shared" ca="1" si="1"/>
        <v>38.321848276874519</v>
      </c>
      <c r="BA36" s="73">
        <f t="shared" ca="1" si="2"/>
        <v>40.24519618073429</v>
      </c>
      <c r="BH36" s="73">
        <f>LeastSq!BB34</f>
        <v>45108</v>
      </c>
      <c r="BI36" s="73">
        <f ca="1">LeastSq!$AZ34</f>
        <v>40.24519618073429</v>
      </c>
      <c r="BJ36" s="73">
        <f ca="1">LeastSq!$BJ34</f>
        <v>40.130613178642363</v>
      </c>
    </row>
    <row r="37" spans="1:62" x14ac:dyDescent="0.2">
      <c r="AN37">
        <f t="shared" si="3"/>
        <v>29</v>
      </c>
      <c r="AO37" s="121">
        <f>Transport!$A48</f>
        <v>45139</v>
      </c>
      <c r="AP37" s="132" t="str">
        <f t="shared" si="0"/>
        <v>8</v>
      </c>
      <c r="AQ37" s="132" t="str">
        <f t="shared" si="4"/>
        <v>23</v>
      </c>
      <c r="AR37" s="132" t="str">
        <f t="shared" si="5"/>
        <v>8/23</v>
      </c>
      <c r="AS37" s="134" t="s">
        <v>274</v>
      </c>
      <c r="AT37" s="73">
        <f ca="1">Transport!$F48</f>
        <v>43.908844442170953</v>
      </c>
      <c r="AU37" s="73">
        <f ca="1">IF(AT37=0,0,LeastSq!AP35)</f>
        <v>39.768083266517067</v>
      </c>
      <c r="AV37" s="73">
        <f ca="1">IF(AT37=0,0,LeastSq!$AZ35)</f>
        <v>40.393926817169479</v>
      </c>
      <c r="AW37" s="73">
        <f ca="1">IF(AT37=0,0,LeastSq!$BJ35)</f>
        <v>40.181241396964246</v>
      </c>
      <c r="AX37" s="73">
        <f ca="1">IF($AT37=0,0,LeastSq!$BT35)</f>
        <v>40.231895643718758</v>
      </c>
      <c r="AY37" s="73">
        <f ca="1">Transport!$G48</f>
        <v>1.2589881104624836</v>
      </c>
      <c r="AZ37" s="73">
        <f t="shared" ca="1" si="1"/>
        <v>43.908844442170953</v>
      </c>
      <c r="BA37" s="73">
        <f t="shared" ca="1" si="2"/>
        <v>43.908844442170953</v>
      </c>
      <c r="BH37" s="73">
        <f>LeastSq!BB35</f>
        <v>45139</v>
      </c>
      <c r="BI37" s="73">
        <f ca="1">LeastSq!$AZ35</f>
        <v>40.393926817169479</v>
      </c>
      <c r="BJ37" s="73">
        <f ca="1">LeastSq!$BJ35</f>
        <v>40.181241396964246</v>
      </c>
    </row>
    <row r="38" spans="1:62" x14ac:dyDescent="0.2">
      <c r="AN38">
        <f t="shared" si="3"/>
        <v>30</v>
      </c>
      <c r="AO38" s="121">
        <f>Transport!$A49</f>
        <v>45170</v>
      </c>
      <c r="AP38" s="132" t="str">
        <f t="shared" si="0"/>
        <v>9</v>
      </c>
      <c r="AQ38" s="132" t="str">
        <f t="shared" si="4"/>
        <v>23</v>
      </c>
      <c r="AR38" s="132" t="str">
        <f t="shared" si="5"/>
        <v>9/23</v>
      </c>
      <c r="AS38" s="133" t="str">
        <f>AP38&amp;"/"&amp;AQ38</f>
        <v>9/23</v>
      </c>
      <c r="AT38" s="73">
        <f ca="1">Transport!$F49</f>
        <v>39.63601951304247</v>
      </c>
      <c r="AU38" s="73">
        <f ca="1">IF(AT38=0,0,LeastSq!AP36)</f>
        <v>39.7210514067527</v>
      </c>
      <c r="AV38" s="73">
        <f ca="1">IF(AT38=0,0,LeastSq!$AZ36)</f>
        <v>40.543207104353414</v>
      </c>
      <c r="AW38" s="73">
        <f ca="1">IF(AT38=0,0,LeastSq!$BJ36)</f>
        <v>40.231933487135763</v>
      </c>
      <c r="AX38" s="73">
        <f ca="1">IF($AT38=0,0,LeastSq!$BT36)</f>
        <v>40.438720300635033</v>
      </c>
      <c r="AY38" s="73">
        <f ca="1">Transport!$G49</f>
        <v>1.4276210156046916</v>
      </c>
      <c r="AZ38" s="73">
        <f t="shared" ca="1" si="1"/>
        <v>39.63601951304247</v>
      </c>
      <c r="BA38" s="73">
        <f t="shared" ca="1" si="2"/>
        <v>40.543207104353414</v>
      </c>
      <c r="BH38" s="73">
        <f>LeastSq!BB36</f>
        <v>45170</v>
      </c>
      <c r="BI38" s="73">
        <f ca="1">LeastSq!$AZ36</f>
        <v>40.543207104353414</v>
      </c>
      <c r="BJ38" s="73">
        <f ca="1">LeastSq!$BJ36</f>
        <v>40.231933487135763</v>
      </c>
    </row>
    <row r="39" spans="1:62" x14ac:dyDescent="0.2">
      <c r="AN39">
        <f t="shared" si="3"/>
        <v>31</v>
      </c>
      <c r="AO39" s="121">
        <f>Transport!$A50</f>
        <v>45200</v>
      </c>
      <c r="AP39" s="132" t="str">
        <f t="shared" si="0"/>
        <v>10</v>
      </c>
      <c r="AQ39" s="132" t="str">
        <f t="shared" si="4"/>
        <v>23</v>
      </c>
      <c r="AR39" s="132" t="str">
        <f t="shared" si="5"/>
        <v>10/23</v>
      </c>
      <c r="AS39" s="134" t="s">
        <v>273</v>
      </c>
      <c r="AT39" s="73">
        <f ca="1">Transport!$F50</f>
        <v>45.354256209484092</v>
      </c>
      <c r="AU39" s="73">
        <f ca="1">IF(AT39=0,0,LeastSq!AP37)</f>
        <v>39.674075169378256</v>
      </c>
      <c r="AV39" s="73">
        <f ca="1">IF(AT39=0,0,LeastSq!$AZ37)</f>
        <v>40.693039073582099</v>
      </c>
      <c r="AW39" s="73">
        <f ca="1">IF(AT39=0,0,LeastSq!$BJ37)</f>
        <v>40.282689529736714</v>
      </c>
      <c r="AX39" s="73">
        <f ca="1">IF($AT39=0,0,LeastSq!$BT37)</f>
        <v>40.64660820446084</v>
      </c>
      <c r="AY39" s="73">
        <f ca="1">Transport!$G50</f>
        <v>1.9568181624749865</v>
      </c>
      <c r="AZ39" s="73">
        <f t="shared" ca="1" si="1"/>
        <v>45.354256209484092</v>
      </c>
      <c r="BA39" s="73">
        <f t="shared" ca="1" si="2"/>
        <v>45.354256209484092</v>
      </c>
      <c r="BH39" s="73">
        <f>LeastSq!BB37</f>
        <v>45200</v>
      </c>
      <c r="BI39" s="73">
        <f ca="1">LeastSq!$AZ37</f>
        <v>40.693039073582099</v>
      </c>
      <c r="BJ39" s="73">
        <f ca="1">LeastSq!$BJ37</f>
        <v>40.282689529736714</v>
      </c>
    </row>
    <row r="40" spans="1:62" x14ac:dyDescent="0.2">
      <c r="AN40">
        <f t="shared" si="3"/>
        <v>32</v>
      </c>
      <c r="AO40" s="121">
        <f>Transport!$A51</f>
        <v>45231</v>
      </c>
      <c r="AP40" s="132" t="str">
        <f t="shared" si="0"/>
        <v>11</v>
      </c>
      <c r="AQ40" s="132" t="str">
        <f t="shared" si="4"/>
        <v>23</v>
      </c>
      <c r="AR40" s="132" t="str">
        <f t="shared" si="5"/>
        <v>11/23</v>
      </c>
      <c r="AS40" s="134" t="s">
        <v>272</v>
      </c>
      <c r="AT40" s="73">
        <f ca="1">Transport!$F51</f>
        <v>42.107491445560107</v>
      </c>
      <c r="AU40" s="73">
        <f ca="1">IF(AT40=0,0,LeastSq!AP38)</f>
        <v>39.627154488611673</v>
      </c>
      <c r="AV40" s="73">
        <f ca="1">IF(AT40=0,0,LeastSq!$AZ38)</f>
        <v>40.843424763658398</v>
      </c>
      <c r="AW40" s="73">
        <f ca="1">IF(AT40=0,0,LeastSq!$BJ38)</f>
        <v>40.333509605448626</v>
      </c>
      <c r="AX40" s="73">
        <f ca="1">IF($AT40=0,0,LeastSq!$BT38)</f>
        <v>40.855564821149862</v>
      </c>
      <c r="AY40" s="73">
        <f ca="1">Transport!$G51</f>
        <v>2.1989383379145369</v>
      </c>
      <c r="AZ40" s="73">
        <f t="shared" ca="1" si="1"/>
        <v>42.107491445560107</v>
      </c>
      <c r="BA40" s="73">
        <f t="shared" ca="1" si="2"/>
        <v>42.107491445560107</v>
      </c>
      <c r="BH40" s="73">
        <f>LeastSq!BB38</f>
        <v>45231</v>
      </c>
      <c r="BI40" s="73">
        <f ca="1">LeastSq!$AZ38</f>
        <v>40.843424763658398</v>
      </c>
      <c r="BJ40" s="73">
        <f ca="1">LeastSq!$BJ38</f>
        <v>40.333509605448626</v>
      </c>
    </row>
    <row r="41" spans="1:62" x14ac:dyDescent="0.2">
      <c r="AN41">
        <f t="shared" si="3"/>
        <v>33</v>
      </c>
      <c r="AO41" s="121">
        <f>Transport!$A52</f>
        <v>45261</v>
      </c>
      <c r="AP41" s="132" t="str">
        <f t="shared" si="0"/>
        <v>12</v>
      </c>
      <c r="AQ41" s="132" t="str">
        <f t="shared" si="4"/>
        <v>23</v>
      </c>
      <c r="AR41" s="132" t="str">
        <f t="shared" si="5"/>
        <v>12/23</v>
      </c>
      <c r="AS41" s="133" t="str">
        <f>AP41&amp;"/"&amp;AQ41</f>
        <v>12/23</v>
      </c>
      <c r="AT41" s="73">
        <f ca="1">Transport!$F52</f>
        <v>39.732638501839261</v>
      </c>
      <c r="AU41" s="73">
        <f ca="1">IF(AT41=0,0,LeastSq!AP39)</f>
        <v>39.580289298748788</v>
      </c>
      <c r="AV41" s="73">
        <f ca="1">IF(AT41=0,0,LeastSq!$AZ39)</f>
        <v>40.994366220919815</v>
      </c>
      <c r="AW41" s="73">
        <f ca="1">IF(AT41=0,0,LeastSq!$BJ39)</f>
        <v>40.384393795054763</v>
      </c>
      <c r="AX41" s="73">
        <f ca="1">IF($AT41=0,0,LeastSq!$BT39)</f>
        <v>41.065595644755213</v>
      </c>
      <c r="AY41" s="73">
        <f ca="1">Transport!$G52</f>
        <v>2.8458061392264149</v>
      </c>
      <c r="AZ41" s="73">
        <f t="shared" ca="1" si="1"/>
        <v>39.732638501839261</v>
      </c>
      <c r="BA41" s="73">
        <f t="shared" ca="1" si="2"/>
        <v>40.994366220919815</v>
      </c>
      <c r="BH41" s="73">
        <f>LeastSq!BB39</f>
        <v>45261</v>
      </c>
      <c r="BI41" s="73">
        <f ca="1">LeastSq!$AZ39</f>
        <v>40.994366220919815</v>
      </c>
      <c r="BJ41" s="73">
        <f ca="1">LeastSq!$BJ39</f>
        <v>40.384393795054763</v>
      </c>
    </row>
    <row r="42" spans="1:62" x14ac:dyDescent="0.2">
      <c r="AN42">
        <f t="shared" si="3"/>
        <v>34</v>
      </c>
      <c r="AO42" s="121">
        <f>Transport!$A53</f>
        <v>45292</v>
      </c>
      <c r="AP42" s="132" t="str">
        <f t="shared" si="0"/>
        <v>1</v>
      </c>
      <c r="AQ42" s="132" t="str">
        <f t="shared" si="4"/>
        <v>24</v>
      </c>
      <c r="AR42" s="132" t="str">
        <f t="shared" si="5"/>
        <v>1/24</v>
      </c>
      <c r="AS42" s="134" t="s">
        <v>271</v>
      </c>
      <c r="AT42" s="73">
        <f ca="1">Transport!$F53</f>
        <v>37.056707228213348</v>
      </c>
      <c r="AU42" s="73">
        <f ca="1">IF(AT42=0,0,LeastSq!AP40)</f>
        <v>39.53347953416305</v>
      </c>
      <c r="AV42" s="73">
        <f ca="1">IF(AT42=0,0,LeastSq!$AZ40)</f>
        <v>41.145865499266314</v>
      </c>
      <c r="AW42" s="73">
        <f ca="1">IF(AT42=0,0,LeastSq!$BJ40)</f>
        <v>40.435342179440305</v>
      </c>
      <c r="AX42" s="73">
        <f ca="1">IF($AT42=0,0,LeastSq!$BT40)</f>
        <v>41.27670619757388</v>
      </c>
      <c r="AY42" s="73">
        <f ca="1">Transport!$G53</f>
        <v>5.6387455673759401</v>
      </c>
      <c r="AZ42" s="73">
        <f t="shared" ca="1" si="1"/>
        <v>37.056707228213348</v>
      </c>
      <c r="BA42" s="73">
        <f t="shared" ca="1" si="2"/>
        <v>41.145865499266314</v>
      </c>
      <c r="BH42" s="73">
        <f>LeastSq!BB40</f>
        <v>45292</v>
      </c>
      <c r="BI42" s="73">
        <f ca="1">LeastSq!$AZ40</f>
        <v>41.145865499266314</v>
      </c>
      <c r="BJ42" s="73">
        <f ca="1">LeastSq!$BJ40</f>
        <v>40.435342179440305</v>
      </c>
    </row>
    <row r="43" spans="1:62" ht="15" x14ac:dyDescent="0.2">
      <c r="A43" s="272" t="s">
        <v>1013</v>
      </c>
      <c r="I43" s="273" t="s">
        <v>320</v>
      </c>
      <c r="K43" s="273"/>
      <c r="L43" s="273"/>
      <c r="N43" s="578" t="s">
        <v>1015</v>
      </c>
      <c r="O43" s="579"/>
      <c r="P43" s="578" t="s">
        <v>1016</v>
      </c>
      <c r="Q43" s="579"/>
      <c r="U43" s="272" t="s">
        <v>1013</v>
      </c>
      <c r="AC43" s="273" t="s">
        <v>320</v>
      </c>
      <c r="AE43" s="273"/>
      <c r="AF43" s="273"/>
      <c r="AH43" s="578" t="s">
        <v>1015</v>
      </c>
      <c r="AI43" s="579"/>
      <c r="AJ43" s="578" t="s">
        <v>1016</v>
      </c>
      <c r="AK43" s="579"/>
      <c r="AN43">
        <f t="shared" si="3"/>
        <v>35</v>
      </c>
      <c r="AO43" s="121">
        <f>Transport!$A54</f>
        <v>45323</v>
      </c>
      <c r="AP43" s="132" t="str">
        <f t="shared" si="0"/>
        <v>2</v>
      </c>
      <c r="AQ43" s="132" t="str">
        <f t="shared" si="4"/>
        <v>24</v>
      </c>
      <c r="AR43" s="132" t="str">
        <f t="shared" si="5"/>
        <v>2/24</v>
      </c>
      <c r="AS43" s="134" t="s">
        <v>270</v>
      </c>
      <c r="AT43" s="73">
        <f ca="1">Transport!$F54</f>
        <v>37.540722153702205</v>
      </c>
      <c r="AU43" s="73">
        <f ca="1">IF(AT43=0,0,LeastSq!AP41)</f>
        <v>39.486725129305583</v>
      </c>
      <c r="AV43" s="73"/>
      <c r="AW43" s="73"/>
      <c r="AX43" s="73"/>
      <c r="AY43" s="73">
        <f ca="1">Transport!$G54</f>
        <v>13.74112873729422</v>
      </c>
      <c r="AZ43" s="73">
        <f t="shared" ca="1" si="1"/>
        <v>37.540722153702205</v>
      </c>
      <c r="BA43" s="73">
        <f t="shared" ca="1" si="2"/>
        <v>39.486725129305583</v>
      </c>
      <c r="BH43" s="73">
        <f>LeastSq!BB41</f>
        <v>45323</v>
      </c>
      <c r="BI43" s="73">
        <f ca="1">LeastSq!$AZ41</f>
        <v>41.297924660188258</v>
      </c>
      <c r="BJ43" s="73">
        <f ca="1">LeastSq!$BJ41</f>
        <v>40.486354839592465</v>
      </c>
    </row>
    <row r="44" spans="1:62" ht="15" x14ac:dyDescent="0.2">
      <c r="A44" s="272" t="s">
        <v>1014</v>
      </c>
      <c r="I44" s="273"/>
      <c r="J44" s="273"/>
      <c r="K44" s="273"/>
      <c r="L44" s="273"/>
      <c r="N44" s="271" t="s">
        <v>260</v>
      </c>
      <c r="O44" s="271" t="s">
        <v>236</v>
      </c>
      <c r="P44" s="271" t="s">
        <v>260</v>
      </c>
      <c r="Q44" s="271" t="s">
        <v>236</v>
      </c>
      <c r="U44" s="272" t="s">
        <v>1014</v>
      </c>
      <c r="AC44" s="273"/>
      <c r="AD44" s="273"/>
      <c r="AE44" s="273"/>
      <c r="AF44" s="273"/>
      <c r="AH44" s="271" t="s">
        <v>260</v>
      </c>
      <c r="AI44" s="271" t="s">
        <v>236</v>
      </c>
      <c r="AJ44" s="271" t="s">
        <v>260</v>
      </c>
      <c r="AK44" s="271" t="s">
        <v>236</v>
      </c>
      <c r="AN44">
        <f t="shared" si="3"/>
        <v>36</v>
      </c>
      <c r="AO44" s="121">
        <f>Transport!$A55</f>
        <v>45352</v>
      </c>
      <c r="AP44" s="132" t="str">
        <f t="shared" si="0"/>
        <v>3</v>
      </c>
      <c r="AQ44" s="132" t="str">
        <f t="shared" si="4"/>
        <v>24</v>
      </c>
      <c r="AR44" s="132" t="str">
        <f t="shared" si="5"/>
        <v>3/24</v>
      </c>
      <c r="AS44" s="133" t="str">
        <f>AP44&amp;"/"&amp;AQ44</f>
        <v>3/24</v>
      </c>
      <c r="AT44" s="73">
        <f ca="1">Transport!$F55</f>
        <v>41.849998787231975</v>
      </c>
      <c r="AU44" s="73">
        <f ca="1">IF(AT44=0,0,LeastSq!AP42)</f>
        <v>39.440026018705034</v>
      </c>
      <c r="AV44" s="587"/>
      <c r="AW44" s="73"/>
      <c r="AX44" s="73"/>
      <c r="AY44" s="73">
        <f ca="1">Transport!$G55</f>
        <v>34.833327835451641</v>
      </c>
      <c r="AZ44" s="73">
        <f t="shared" ca="1" si="1"/>
        <v>41.849998787231975</v>
      </c>
      <c r="BA44" s="73">
        <f t="shared" ca="1" si="2"/>
        <v>41.849998787231975</v>
      </c>
      <c r="BH44" s="73">
        <f>LeastSq!BB42</f>
        <v>45352</v>
      </c>
      <c r="BI44" s="73">
        <f ca="1">LeastSq!$AZ42</f>
        <v>41.450545772794555</v>
      </c>
      <c r="BJ44" s="73">
        <f ca="1">LeastSq!$BJ42</f>
        <v>40.537431856600698</v>
      </c>
    </row>
    <row r="45" spans="1:62" ht="15" x14ac:dyDescent="0.2">
      <c r="I45" s="274" t="str">
        <f ca="1">+LeastSq!$A$11</f>
        <v>36 Month Least Square Annual Trend</v>
      </c>
      <c r="J45" s="274"/>
      <c r="K45" s="274"/>
      <c r="L45" s="274"/>
      <c r="M45" s="274"/>
      <c r="N45" s="275">
        <f ca="1">LeastSq!E11</f>
        <v>-1.4099891847602519E-2</v>
      </c>
      <c r="O45" s="275">
        <f ca="1">LeastSq!F11</f>
        <v>-1.4099891847602519E-2</v>
      </c>
      <c r="P45" s="275">
        <f ca="1">LeastSq!G11</f>
        <v>-2.0919267130664165E-2</v>
      </c>
      <c r="Q45" s="275">
        <f ca="1">LeastSq!H11</f>
        <v>-2.0919267130664165E-2</v>
      </c>
      <c r="AC45" s="274" t="str">
        <f ca="1">+LeastSq!$A$11</f>
        <v>36 Month Least Square Annual Trend</v>
      </c>
      <c r="AD45" s="274"/>
      <c r="AE45" s="274"/>
      <c r="AF45" s="274"/>
      <c r="AG45" s="274"/>
      <c r="AH45" s="275">
        <f ca="1">+N45</f>
        <v>-1.4099891847602519E-2</v>
      </c>
      <c r="AI45" s="275">
        <f t="shared" ref="AI45:AI48" ca="1" si="6">+O45</f>
        <v>-1.4099891847602519E-2</v>
      </c>
      <c r="AJ45" s="275">
        <f t="shared" ref="AJ45:AJ48" ca="1" si="7">+P45</f>
        <v>-2.0919267130664165E-2</v>
      </c>
      <c r="AK45" s="275">
        <f t="shared" ref="AK45:AK48" ca="1" si="8">+Q45</f>
        <v>-2.0919267130664165E-2</v>
      </c>
    </row>
    <row r="46" spans="1:62" ht="15" x14ac:dyDescent="0.2">
      <c r="I46" s="298" t="str">
        <f ca="1">+LeastSq!$A$12</f>
        <v>24 Month Least Square Annual Trend</v>
      </c>
      <c r="J46" s="298"/>
      <c r="K46" s="298"/>
      <c r="L46" s="299"/>
      <c r="M46" s="298"/>
      <c r="N46" s="276">
        <f ca="1">LeastSq!E12</f>
        <v>4.525994112568732E-2</v>
      </c>
      <c r="O46" s="276">
        <f ca="1">LeastSq!F12</f>
        <v>4.525994112568732E-2</v>
      </c>
      <c r="P46" s="276">
        <f ca="1">LeastSq!G12</f>
        <v>3.333535781468E-2</v>
      </c>
      <c r="Q46" s="276">
        <f ca="1">LeastSq!H12</f>
        <v>3.333535781468E-2</v>
      </c>
      <c r="AC46" s="298" t="str">
        <f ca="1">+LeastSq!$A$12</f>
        <v>24 Month Least Square Annual Trend</v>
      </c>
      <c r="AD46" s="298"/>
      <c r="AE46" s="298"/>
      <c r="AF46" s="299"/>
      <c r="AG46" s="298"/>
      <c r="AH46" s="275">
        <f t="shared" ref="AH46:AH48" ca="1" si="9">+N46</f>
        <v>4.525994112568732E-2</v>
      </c>
      <c r="AI46" s="275">
        <f t="shared" ca="1" si="6"/>
        <v>4.525994112568732E-2</v>
      </c>
      <c r="AJ46" s="275">
        <f t="shared" ca="1" si="7"/>
        <v>3.333535781468E-2</v>
      </c>
      <c r="AK46" s="275">
        <f t="shared" ca="1" si="8"/>
        <v>3.333535781468E-2</v>
      </c>
    </row>
    <row r="47" spans="1:62" ht="15" x14ac:dyDescent="0.2">
      <c r="I47" s="298" t="str">
        <f ca="1">+LeastSq!$A$13</f>
        <v>18 Month Least Square Annual Trend</v>
      </c>
      <c r="J47" s="298"/>
      <c r="K47" s="298"/>
      <c r="L47" s="299"/>
      <c r="M47" s="298"/>
      <c r="N47" s="276">
        <f ca="1">LeastSq!E13</f>
        <v>1.5244520117340787E-2</v>
      </c>
      <c r="O47" s="276">
        <f ca="1">LeastSq!F13</f>
        <v>1.5244520117340787E-2</v>
      </c>
      <c r="P47" s="276">
        <f ca="1">LeastSq!G13</f>
        <v>2.6130065129465363E-2</v>
      </c>
      <c r="Q47" s="276">
        <f ca="1">LeastSq!H13</f>
        <v>2.6130065129465363E-2</v>
      </c>
      <c r="AC47" s="298" t="str">
        <f ca="1">+LeastSq!$A$13</f>
        <v>18 Month Least Square Annual Trend</v>
      </c>
      <c r="AD47" s="298"/>
      <c r="AE47" s="298"/>
      <c r="AF47" s="299"/>
      <c r="AG47" s="298"/>
      <c r="AH47" s="275">
        <f t="shared" ca="1" si="9"/>
        <v>1.5244520117340787E-2</v>
      </c>
      <c r="AI47" s="275">
        <f t="shared" ca="1" si="6"/>
        <v>1.5244520117340787E-2</v>
      </c>
      <c r="AJ47" s="275">
        <f t="shared" ca="1" si="7"/>
        <v>2.6130065129465363E-2</v>
      </c>
      <c r="AK47" s="275">
        <f t="shared" ca="1" si="8"/>
        <v>2.6130065129465363E-2</v>
      </c>
    </row>
    <row r="48" spans="1:62" ht="15" x14ac:dyDescent="0.2">
      <c r="I48" s="298" t="str">
        <f ca="1">+LeastSq!$A$14</f>
        <v>12 Month Least Square Annual Trend</v>
      </c>
      <c r="J48" s="298"/>
      <c r="K48" s="298"/>
      <c r="L48" s="299"/>
      <c r="M48" s="298"/>
      <c r="N48" s="276">
        <f ca="1">LeastSq!E14</f>
        <v>6.3464240804477656E-2</v>
      </c>
      <c r="O48" s="276">
        <f ca="1">LeastSq!F14</f>
        <v>6.3464240804477656E-2</v>
      </c>
      <c r="P48" s="276">
        <f ca="1">LeastSq!G14</f>
        <v>5.7676941854371666E-2</v>
      </c>
      <c r="Q48" s="276">
        <f ca="1">LeastSq!H14</f>
        <v>5.7676941854371666E-2</v>
      </c>
      <c r="AC48" s="298" t="str">
        <f ca="1">+LeastSq!$A$14</f>
        <v>12 Month Least Square Annual Trend</v>
      </c>
      <c r="AD48" s="298"/>
      <c r="AE48" s="298"/>
      <c r="AF48" s="299"/>
      <c r="AG48" s="298"/>
      <c r="AH48" s="275">
        <f t="shared" ca="1" si="9"/>
        <v>6.3464240804477656E-2</v>
      </c>
      <c r="AI48" s="275">
        <f t="shared" ca="1" si="6"/>
        <v>6.3464240804477656E-2</v>
      </c>
      <c r="AJ48" s="275">
        <f t="shared" ca="1" si="7"/>
        <v>5.7676941854371666E-2</v>
      </c>
      <c r="AK48" s="275">
        <f t="shared" ca="1" si="8"/>
        <v>5.7676941854371666E-2</v>
      </c>
    </row>
    <row r="49" spans="9:47" ht="15.75" customHeight="1" x14ac:dyDescent="0.2">
      <c r="U49" s="273"/>
      <c r="V49" s="273"/>
      <c r="W49" s="273"/>
      <c r="X49" s="273"/>
      <c r="Y49" s="273"/>
      <c r="Z49" s="273"/>
      <c r="AA49" s="273"/>
      <c r="AB49" s="273"/>
      <c r="AC49" s="273"/>
      <c r="AD49" s="273"/>
    </row>
    <row r="50" spans="9:47" ht="18" x14ac:dyDescent="0.25">
      <c r="I50" s="144"/>
      <c r="AC50" s="144"/>
      <c r="AP50" t="s">
        <v>99</v>
      </c>
      <c r="AQ50" t="s">
        <v>313</v>
      </c>
      <c r="AR50" t="s">
        <v>313</v>
      </c>
      <c r="AS50" t="s">
        <v>260</v>
      </c>
      <c r="AT50" t="s">
        <v>50</v>
      </c>
      <c r="AU50" t="s">
        <v>262</v>
      </c>
    </row>
    <row r="51" spans="9:47" x14ac:dyDescent="0.2">
      <c r="AN51">
        <f t="shared" ref="AN51:AN68" si="10">+AN27</f>
        <v>19</v>
      </c>
      <c r="AO51" s="139" t="str">
        <f t="shared" ref="AO51:AO67" si="11">AR27</f>
        <v>10/22</v>
      </c>
      <c r="AP51" s="120">
        <f t="shared" ref="AP51:AP68" si="12">+AY27</f>
        <v>0.24959915512441702</v>
      </c>
      <c r="AQ51" s="120">
        <f t="shared" ref="AQ51:AQ68" si="13">AP51</f>
        <v>0.24959915512441702</v>
      </c>
      <c r="AR51" s="120">
        <f t="shared" ref="AR51:AR68" si="14">AQ51</f>
        <v>0.24959915512441702</v>
      </c>
      <c r="AS51" s="120">
        <f t="shared" ref="AS51:AT67" si="15">+AT27</f>
        <v>41.482201046704006</v>
      </c>
      <c r="AT51" s="120">
        <f t="shared" ca="1" si="15"/>
        <v>40.241475623456928</v>
      </c>
      <c r="AU51" s="588">
        <f ca="1">IF(AT27=0,0,LeastSq!$AZ25)</f>
        <v>38.931023253180392</v>
      </c>
    </row>
    <row r="52" spans="9:47" x14ac:dyDescent="0.2">
      <c r="AN52">
        <f t="shared" si="10"/>
        <v>20</v>
      </c>
      <c r="AO52" s="139" t="str">
        <f t="shared" si="11"/>
        <v>11/22</v>
      </c>
      <c r="AP52" s="120">
        <f t="shared" si="12"/>
        <v>0.27418952986562312</v>
      </c>
      <c r="AQ52" s="120">
        <f t="shared" si="13"/>
        <v>0.27418952986562312</v>
      </c>
      <c r="AR52" s="120">
        <f t="shared" si="14"/>
        <v>0.27418952986562312</v>
      </c>
      <c r="AS52" s="120">
        <f t="shared" si="15"/>
        <v>39.292868284527216</v>
      </c>
      <c r="AT52" s="120">
        <f t="shared" ca="1" si="15"/>
        <v>40.193883904601648</v>
      </c>
      <c r="AU52" s="588">
        <f ca="1">IF(AT28=0,0,LeastSq!$AZ26)</f>
        <v>39.074897216162597</v>
      </c>
    </row>
    <row r="53" spans="9:47" x14ac:dyDescent="0.2">
      <c r="AN53">
        <f t="shared" si="10"/>
        <v>21</v>
      </c>
      <c r="AO53" s="139" t="str">
        <f t="shared" si="11"/>
        <v>12/22</v>
      </c>
      <c r="AP53" s="120">
        <f t="shared" si="12"/>
        <v>0.30109826112542049</v>
      </c>
      <c r="AQ53" s="120">
        <f t="shared" si="13"/>
        <v>0.30109826112542049</v>
      </c>
      <c r="AR53" s="120">
        <f t="shared" si="14"/>
        <v>0.30109826112542049</v>
      </c>
      <c r="AS53" s="120">
        <f t="shared" si="15"/>
        <v>39.955172982558864</v>
      </c>
      <c r="AT53" s="120">
        <f t="shared" ca="1" si="15"/>
        <v>40.146348470255546</v>
      </c>
      <c r="AU53" s="588">
        <f ca="1">IF(AT29=0,0,LeastSq!$AZ27)</f>
        <v>39.219302881512078</v>
      </c>
    </row>
    <row r="54" spans="9:47" ht="51.75" customHeight="1" x14ac:dyDescent="0.2">
      <c r="AN54">
        <f t="shared" si="10"/>
        <v>22</v>
      </c>
      <c r="AO54" s="139" t="str">
        <f t="shared" si="11"/>
        <v>1/23</v>
      </c>
      <c r="AP54" s="120">
        <f t="shared" si="12"/>
        <v>0.31269346719620922</v>
      </c>
      <c r="AQ54" s="120">
        <f t="shared" si="13"/>
        <v>0.31269346719620922</v>
      </c>
      <c r="AR54" s="120">
        <f t="shared" si="14"/>
        <v>0.31269346719620922</v>
      </c>
      <c r="AS54" s="120">
        <f t="shared" si="15"/>
        <v>34.457578879124007</v>
      </c>
      <c r="AT54" s="120">
        <f t="shared" ca="1" si="15"/>
        <v>40.098869253853536</v>
      </c>
      <c r="AU54" s="588">
        <f ca="1">IF(AT30=0,0,LeastSq!$AZ28)</f>
        <v>39.364242214194569</v>
      </c>
    </row>
    <row r="55" spans="9:47" x14ac:dyDescent="0.2">
      <c r="AN55">
        <f t="shared" si="10"/>
        <v>23</v>
      </c>
      <c r="AO55" s="139" t="str">
        <f t="shared" si="11"/>
        <v>2/23</v>
      </c>
      <c r="AP55" s="120">
        <f t="shared" si="12"/>
        <v>0.37036911826113594</v>
      </c>
      <c r="AQ55" s="120">
        <f t="shared" si="13"/>
        <v>0.37036911826113594</v>
      </c>
      <c r="AR55" s="120">
        <f t="shared" si="14"/>
        <v>0.37036911826113594</v>
      </c>
      <c r="AS55" s="120">
        <f t="shared" si="15"/>
        <v>35.59053999092955</v>
      </c>
      <c r="AT55" s="120">
        <f t="shared" ca="1" si="15"/>
        <v>40.051446188909274</v>
      </c>
      <c r="AU55" s="588">
        <f ca="1">IF(AT31=0,0,LeastSq!$AZ29)</f>
        <v>39.509717186437555</v>
      </c>
    </row>
    <row r="56" spans="9:47" x14ac:dyDescent="0.2">
      <c r="AN56">
        <f t="shared" si="10"/>
        <v>24</v>
      </c>
      <c r="AO56" s="139" t="str">
        <f t="shared" si="11"/>
        <v>3/23</v>
      </c>
      <c r="AP56" s="120">
        <f t="shared" si="12"/>
        <v>0.54371439639319596</v>
      </c>
      <c r="AQ56" s="120">
        <f t="shared" si="13"/>
        <v>0.54371439639319596</v>
      </c>
      <c r="AR56" s="120">
        <f t="shared" si="14"/>
        <v>0.54371439639319596</v>
      </c>
      <c r="AS56" s="120">
        <f t="shared" si="15"/>
        <v>43.272089036718107</v>
      </c>
      <c r="AT56" s="120">
        <f t="shared" ca="1" si="15"/>
        <v>40.004079209015075</v>
      </c>
      <c r="AU56" s="588">
        <f ca="1">IF(AT32=0,0,LeastSq!$AZ30)</f>
        <v>39.655729777757116</v>
      </c>
    </row>
    <row r="57" spans="9:47" x14ac:dyDescent="0.2">
      <c r="AN57">
        <f t="shared" si="10"/>
        <v>25</v>
      </c>
      <c r="AO57" s="139" t="str">
        <f t="shared" si="11"/>
        <v>4/23</v>
      </c>
      <c r="AP57" s="120">
        <f t="shared" ca="1" si="12"/>
        <v>0.55866066780702617</v>
      </c>
      <c r="AQ57" s="120">
        <f t="shared" ca="1" si="13"/>
        <v>0.55866066780702617</v>
      </c>
      <c r="AR57" s="120">
        <f t="shared" ca="1" si="14"/>
        <v>0.55866066780702617</v>
      </c>
      <c r="AS57" s="120">
        <f t="shared" ca="1" si="15"/>
        <v>35.983312262958279</v>
      </c>
      <c r="AT57" s="120">
        <f t="shared" ca="1" si="15"/>
        <v>39.956768247841715</v>
      </c>
      <c r="AU57" s="588">
        <f ca="1">IF(AT33=0,0,LeastSq!$AZ31)</f>
        <v>39.80228197498483</v>
      </c>
    </row>
    <row r="58" spans="9:47" x14ac:dyDescent="0.2">
      <c r="AN58">
        <f t="shared" si="10"/>
        <v>26</v>
      </c>
      <c r="AO58" s="139" t="str">
        <f t="shared" si="11"/>
        <v>5/23</v>
      </c>
      <c r="AP58" s="120">
        <f t="shared" ca="1" si="12"/>
        <v>0.71747213029414691</v>
      </c>
      <c r="AQ58" s="120">
        <f t="shared" ca="1" si="13"/>
        <v>0.71747213029414691</v>
      </c>
      <c r="AR58" s="120">
        <f t="shared" ca="1" si="14"/>
        <v>0.71747213029414691</v>
      </c>
      <c r="AS58" s="120">
        <f t="shared" ca="1" si="15"/>
        <v>40.251983787602725</v>
      </c>
      <c r="AT58" s="120">
        <f t="shared" ca="1" si="15"/>
        <v>39.909513239138512</v>
      </c>
      <c r="AU58" s="588">
        <f ca="1">IF(AT34=0,0,LeastSq!$AZ32)</f>
        <v>39.949375772294879</v>
      </c>
    </row>
    <row r="59" spans="9:47" x14ac:dyDescent="0.2">
      <c r="AN59">
        <f t="shared" si="10"/>
        <v>27</v>
      </c>
      <c r="AO59" s="139" t="str">
        <f t="shared" si="11"/>
        <v>6/23</v>
      </c>
      <c r="AP59" s="120">
        <f t="shared" ca="1" si="12"/>
        <v>0.87586825684018188</v>
      </c>
      <c r="AQ59" s="120">
        <f t="shared" ca="1" si="13"/>
        <v>0.87586825684018188</v>
      </c>
      <c r="AR59" s="120">
        <f t="shared" ca="1" si="14"/>
        <v>0.87586825684018188</v>
      </c>
      <c r="AS59" s="120">
        <f t="shared" ca="1" si="15"/>
        <v>40.966554665288186</v>
      </c>
      <c r="AT59" s="120">
        <f t="shared" ca="1" si="15"/>
        <v>39.862314116733046</v>
      </c>
      <c r="AU59" s="588">
        <f ca="1">IF(AT35=0,0,LeastSq!$AZ33)</f>
        <v>40.097013171231112</v>
      </c>
    </row>
    <row r="60" spans="9:47" x14ac:dyDescent="0.2">
      <c r="AN60">
        <f t="shared" si="10"/>
        <v>28</v>
      </c>
      <c r="AO60" s="139" t="str">
        <f t="shared" si="11"/>
        <v>7/23</v>
      </c>
      <c r="AP60" s="120">
        <f t="shared" ca="1" si="12"/>
        <v>0.94977751679092437</v>
      </c>
      <c r="AQ60" s="120">
        <f t="shared" ca="1" si="13"/>
        <v>0.94977751679092437</v>
      </c>
      <c r="AR60" s="120">
        <f t="shared" ca="1" si="14"/>
        <v>0.94977751679092437</v>
      </c>
      <c r="AS60" s="120">
        <f t="shared" ca="1" si="15"/>
        <v>38.321848276874519</v>
      </c>
      <c r="AT60" s="120">
        <f t="shared" ca="1" si="15"/>
        <v>39.815170814531228</v>
      </c>
      <c r="AU60" s="588">
        <f ca="1">IF(AT36=0,0,LeastSq!$AZ34)</f>
        <v>40.24519618073429</v>
      </c>
    </row>
    <row r="61" spans="9:47" x14ac:dyDescent="0.2">
      <c r="AN61">
        <f t="shared" si="10"/>
        <v>29</v>
      </c>
      <c r="AO61" s="139" t="str">
        <f t="shared" si="11"/>
        <v>8/23</v>
      </c>
      <c r="AP61" s="120">
        <f t="shared" ca="1" si="12"/>
        <v>1.2589881104624836</v>
      </c>
      <c r="AQ61" s="120">
        <f t="shared" ca="1" si="13"/>
        <v>1.2589881104624836</v>
      </c>
      <c r="AR61" s="120">
        <f t="shared" ca="1" si="14"/>
        <v>1.2589881104624836</v>
      </c>
      <c r="AS61" s="120">
        <f t="shared" ca="1" si="15"/>
        <v>43.908844442170953</v>
      </c>
      <c r="AT61" s="120">
        <f t="shared" ca="1" si="15"/>
        <v>39.768083266517067</v>
      </c>
      <c r="AU61" s="588">
        <f ca="1">IF(AT37=0,0,LeastSq!$AZ35)</f>
        <v>40.393926817169479</v>
      </c>
    </row>
    <row r="62" spans="9:47" x14ac:dyDescent="0.2">
      <c r="AN62">
        <f t="shared" si="10"/>
        <v>30</v>
      </c>
      <c r="AO62" s="139" t="str">
        <f t="shared" si="11"/>
        <v>9/23</v>
      </c>
      <c r="AP62" s="120">
        <f t="shared" ca="1" si="12"/>
        <v>1.4276210156046916</v>
      </c>
      <c r="AQ62" s="120">
        <f t="shared" ca="1" si="13"/>
        <v>1.4276210156046916</v>
      </c>
      <c r="AR62" s="120">
        <f t="shared" ca="1" si="14"/>
        <v>1.4276210156046916</v>
      </c>
      <c r="AS62" s="120">
        <f t="shared" ca="1" si="15"/>
        <v>39.63601951304247</v>
      </c>
      <c r="AT62" s="120">
        <f t="shared" ca="1" si="15"/>
        <v>39.7210514067527</v>
      </c>
      <c r="AU62" s="588">
        <f ca="1">IF(AT38=0,0,LeastSq!$AZ36)</f>
        <v>40.543207104353414</v>
      </c>
    </row>
    <row r="63" spans="9:47" x14ac:dyDescent="0.2">
      <c r="AN63">
        <f t="shared" si="10"/>
        <v>31</v>
      </c>
      <c r="AO63" s="139" t="str">
        <f t="shared" si="11"/>
        <v>10/23</v>
      </c>
      <c r="AP63" s="120">
        <f t="shared" ca="1" si="12"/>
        <v>1.9568181624749865</v>
      </c>
      <c r="AQ63" s="120">
        <f t="shared" ca="1" si="13"/>
        <v>1.9568181624749865</v>
      </c>
      <c r="AR63" s="120">
        <f t="shared" ca="1" si="14"/>
        <v>1.9568181624749865</v>
      </c>
      <c r="AS63" s="120">
        <f t="shared" ca="1" si="15"/>
        <v>45.354256209484092</v>
      </c>
      <c r="AT63" s="120">
        <f t="shared" ca="1" si="15"/>
        <v>39.674075169378256</v>
      </c>
      <c r="AU63" s="588">
        <f ca="1">IF(AT39=0,0,LeastSq!$AZ37)</f>
        <v>40.693039073582099</v>
      </c>
    </row>
    <row r="64" spans="9:47" x14ac:dyDescent="0.2">
      <c r="AN64">
        <f t="shared" si="10"/>
        <v>32</v>
      </c>
      <c r="AO64" s="139" t="str">
        <f t="shared" si="11"/>
        <v>11/23</v>
      </c>
      <c r="AP64" s="120">
        <f t="shared" ca="1" si="12"/>
        <v>2.1989383379145369</v>
      </c>
      <c r="AQ64" s="120">
        <f t="shared" ca="1" si="13"/>
        <v>2.1989383379145369</v>
      </c>
      <c r="AR64" s="120">
        <f t="shared" ca="1" si="14"/>
        <v>2.1989383379145369</v>
      </c>
      <c r="AS64" s="120">
        <f t="shared" ca="1" si="15"/>
        <v>42.107491445560107</v>
      </c>
      <c r="AT64" s="120">
        <f t="shared" ca="1" si="15"/>
        <v>39.627154488611673</v>
      </c>
      <c r="AU64" s="588">
        <f ca="1">IF(AT40=0,0,LeastSq!$AZ38)</f>
        <v>40.843424763658398</v>
      </c>
    </row>
    <row r="65" spans="40:47" x14ac:dyDescent="0.2">
      <c r="AN65">
        <f t="shared" si="10"/>
        <v>33</v>
      </c>
      <c r="AO65" s="139" t="str">
        <f t="shared" si="11"/>
        <v>12/23</v>
      </c>
      <c r="AP65" s="120">
        <f t="shared" ca="1" si="12"/>
        <v>2.8458061392264149</v>
      </c>
      <c r="AQ65" s="120">
        <f t="shared" ca="1" si="13"/>
        <v>2.8458061392264149</v>
      </c>
      <c r="AR65" s="120">
        <f t="shared" ca="1" si="14"/>
        <v>2.8458061392264149</v>
      </c>
      <c r="AS65" s="120">
        <f t="shared" ca="1" si="15"/>
        <v>39.732638501839261</v>
      </c>
      <c r="AT65" s="120">
        <f t="shared" ca="1" si="15"/>
        <v>39.580289298748788</v>
      </c>
      <c r="AU65" s="588">
        <f ca="1">IF(AT41=0,0,LeastSq!$AZ39)</f>
        <v>40.994366220919815</v>
      </c>
    </row>
    <row r="66" spans="40:47" x14ac:dyDescent="0.2">
      <c r="AN66">
        <f t="shared" si="10"/>
        <v>34</v>
      </c>
      <c r="AO66" s="139" t="str">
        <f t="shared" si="11"/>
        <v>1/24</v>
      </c>
      <c r="AP66" s="120">
        <f t="shared" ca="1" si="12"/>
        <v>5.6387455673759401</v>
      </c>
      <c r="AQ66" s="120">
        <f t="shared" ca="1" si="13"/>
        <v>5.6387455673759401</v>
      </c>
      <c r="AR66" s="120">
        <f t="shared" ca="1" si="14"/>
        <v>5.6387455673759401</v>
      </c>
      <c r="AS66" s="120">
        <f t="shared" ca="1" si="15"/>
        <v>37.056707228213348</v>
      </c>
      <c r="AT66" s="120">
        <f t="shared" ca="1" si="15"/>
        <v>39.53347953416305</v>
      </c>
      <c r="AU66" s="588">
        <f ca="1">IF(AT42=0,0,LeastSq!$AZ40)</f>
        <v>41.145865499266314</v>
      </c>
    </row>
    <row r="67" spans="40:47" x14ac:dyDescent="0.2">
      <c r="AN67">
        <f t="shared" si="10"/>
        <v>35</v>
      </c>
      <c r="AO67" s="139" t="str">
        <f t="shared" si="11"/>
        <v>2/24</v>
      </c>
      <c r="AP67" s="120">
        <f t="shared" ca="1" si="12"/>
        <v>13.74112873729422</v>
      </c>
      <c r="AQ67" s="120">
        <f t="shared" ca="1" si="13"/>
        <v>13.74112873729422</v>
      </c>
      <c r="AR67" s="120">
        <f t="shared" ca="1" si="14"/>
        <v>13.74112873729422</v>
      </c>
      <c r="AS67" s="120">
        <f t="shared" ca="1" si="15"/>
        <v>37.540722153702205</v>
      </c>
      <c r="AT67" s="120">
        <f t="shared" ca="1" si="15"/>
        <v>39.486725129305583</v>
      </c>
      <c r="AU67" s="588">
        <f ca="1">IF(AT43=0,0,LeastSq!$AZ41)</f>
        <v>41.297924660188258</v>
      </c>
    </row>
    <row r="68" spans="40:47" x14ac:dyDescent="0.2">
      <c r="AN68">
        <f t="shared" si="10"/>
        <v>36</v>
      </c>
      <c r="AO68" s="139" t="str">
        <f>AR44</f>
        <v>3/24</v>
      </c>
      <c r="AP68" s="120">
        <f t="shared" ca="1" si="12"/>
        <v>34.833327835451641</v>
      </c>
      <c r="AQ68" s="120">
        <f t="shared" ca="1" si="13"/>
        <v>34.833327835451641</v>
      </c>
      <c r="AR68" s="120">
        <f t="shared" ca="1" si="14"/>
        <v>34.833327835451641</v>
      </c>
      <c r="AS68" s="120">
        <f ca="1">+AT44</f>
        <v>41.849998787231975</v>
      </c>
      <c r="AT68" s="120">
        <f ca="1">+AU44</f>
        <v>39.440026018705034</v>
      </c>
      <c r="AU68" s="588">
        <f ca="1">IF(AT44=0,0,LeastSq!$AZ42)</f>
        <v>41.450545772794555</v>
      </c>
    </row>
    <row r="69" spans="40:47" x14ac:dyDescent="0.2">
      <c r="AO69" s="120"/>
      <c r="AR69" s="120"/>
      <c r="AS69" s="120"/>
      <c r="AT69" s="120"/>
    </row>
    <row r="70" spans="40:47" x14ac:dyDescent="0.2">
      <c r="AO70" s="120"/>
      <c r="AR70" s="120"/>
      <c r="AS70" s="120"/>
      <c r="AT70" s="120"/>
    </row>
    <row r="71" spans="40:47" x14ac:dyDescent="0.2">
      <c r="AO71" s="120" t="s">
        <v>311</v>
      </c>
      <c r="AP71" t="s">
        <v>99</v>
      </c>
      <c r="AR71" s="120"/>
      <c r="AS71" s="120"/>
      <c r="AT71" s="120"/>
    </row>
    <row r="72" spans="40:47" x14ac:dyDescent="0.2">
      <c r="AO72" s="120"/>
      <c r="AR72" s="120"/>
      <c r="AS72" s="120"/>
      <c r="AT72" s="120"/>
    </row>
    <row r="74" spans="40:47" x14ac:dyDescent="0.2">
      <c r="AP74" s="249" t="s">
        <v>1037</v>
      </c>
    </row>
    <row r="75" spans="40:47" x14ac:dyDescent="0.2">
      <c r="AP75" t="s">
        <v>309</v>
      </c>
    </row>
    <row r="76" spans="40:47" x14ac:dyDescent="0.2">
      <c r="AP76" s="249" t="s">
        <v>1038</v>
      </c>
    </row>
    <row r="89" spans="1:54" ht="26.25" x14ac:dyDescent="0.4">
      <c r="A89" s="142" t="str">
        <f>$A$1</f>
        <v>Allied Pacific (APC Commerical)</v>
      </c>
      <c r="B89" s="145"/>
      <c r="U89" s="142" t="str">
        <f>$A$1</f>
        <v>Allied Pacific (APC Commerical)</v>
      </c>
      <c r="V89" s="145"/>
    </row>
    <row r="90" spans="1:54" ht="10.5" customHeight="1" x14ac:dyDescent="0.4">
      <c r="A90" s="142"/>
      <c r="B90" s="145"/>
      <c r="U90" s="142"/>
      <c r="V90" s="145"/>
    </row>
    <row r="91" spans="1:54" ht="18" x14ac:dyDescent="0.25">
      <c r="I91" s="144"/>
      <c r="AC91" s="144"/>
      <c r="AO91" s="3" t="s">
        <v>918</v>
      </c>
      <c r="AW91" s="3" t="s">
        <v>919</v>
      </c>
      <c r="AX91" s="3"/>
    </row>
    <row r="92" spans="1:54" x14ac:dyDescent="0.2">
      <c r="AO92">
        <f>Data!AJ279</f>
        <v>0</v>
      </c>
      <c r="AP92" t="str">
        <f>Data!AK279</f>
        <v>Measured Completion Factors</v>
      </c>
      <c r="AQ92">
        <f>Data!AL279</f>
        <v>0</v>
      </c>
      <c r="AR92">
        <f>Data!AM255</f>
        <v>0</v>
      </c>
      <c r="AS92">
        <f>Data!AN255</f>
        <v>0</v>
      </c>
      <c r="AU92" s="172"/>
      <c r="AX92">
        <f>Data!AO255</f>
        <v>0</v>
      </c>
      <c r="AY92">
        <f>Data!AP255</f>
        <v>0</v>
      </c>
      <c r="AZ92">
        <f>Data!AQ255</f>
        <v>0</v>
      </c>
      <c r="BA92">
        <f>Data!AR255</f>
        <v>0</v>
      </c>
    </row>
    <row r="93" spans="1:54" x14ac:dyDescent="0.2">
      <c r="AO93" t="str">
        <f>Data!AJ280</f>
        <v>Date</v>
      </c>
      <c r="AP93" t="str">
        <f>Data!AN256</f>
        <v>Last 3 Mos.</v>
      </c>
      <c r="AQ93" t="str">
        <f>Data!AM256</f>
        <v>Last 6 Mos.</v>
      </c>
      <c r="AR93" t="str">
        <f>Data!AL280</f>
        <v>Last 12 Mos.</v>
      </c>
      <c r="AS93" t="str">
        <f>Data!AK280</f>
        <v>All Data</v>
      </c>
      <c r="AT93" s="172" t="s">
        <v>442</v>
      </c>
      <c r="AW93" t="str">
        <f t="shared" ref="AW93:AW105" si="16">AO93</f>
        <v>Date</v>
      </c>
      <c r="AX93" t="str">
        <f>Data!AO256</f>
        <v>Curr Qtr</v>
      </c>
      <c r="AY93" t="str">
        <f>Data!AP256</f>
        <v>Qtr-1</v>
      </c>
      <c r="AZ93" t="str">
        <f>Data!AQ256</f>
        <v>Qtr-2</v>
      </c>
      <c r="BA93" t="str">
        <f>Data!AR256</f>
        <v>Qtr-3</v>
      </c>
      <c r="BB93" t="s">
        <v>876</v>
      </c>
    </row>
    <row r="94" spans="1:54" x14ac:dyDescent="0.2">
      <c r="AO94" t="str">
        <f>Data!AJ281</f>
        <v>3/24</v>
      </c>
      <c r="AP94" s="141"/>
      <c r="AQ94" s="141"/>
      <c r="AR94" s="141"/>
      <c r="AS94" s="141"/>
      <c r="AT94" s="173"/>
      <c r="AW94" t="str">
        <f t="shared" si="16"/>
        <v>3/24</v>
      </c>
      <c r="AX94" s="141"/>
      <c r="AY94" s="141"/>
      <c r="AZ94" s="141"/>
      <c r="BA94" s="141"/>
      <c r="BB94" s="141"/>
    </row>
    <row r="95" spans="1:54" x14ac:dyDescent="0.2">
      <c r="AO95" t="str">
        <f>Data!AJ282</f>
        <v>1</v>
      </c>
      <c r="AP95" s="141"/>
      <c r="AQ95" s="141"/>
      <c r="AR95" s="141"/>
      <c r="AS95" s="141"/>
      <c r="AT95" s="173"/>
      <c r="AW95" t="str">
        <f t="shared" si="16"/>
        <v>1</v>
      </c>
      <c r="AX95" s="141"/>
      <c r="AY95" s="141"/>
      <c r="AZ95" s="141"/>
      <c r="BA95" s="141"/>
      <c r="BB95" s="141"/>
    </row>
    <row r="96" spans="1:54" x14ac:dyDescent="0.2">
      <c r="AO96" t="str">
        <f>Data!AJ283</f>
        <v>2</v>
      </c>
      <c r="AP96" s="141">
        <f>Data!AN271</f>
        <v>0.87909387335932276</v>
      </c>
      <c r="AQ96" s="141">
        <f>Data!AM271</f>
        <v>0.87409588137181282</v>
      </c>
      <c r="AR96" s="141">
        <f>Data!AL283</f>
        <v>0.87820248963569991</v>
      </c>
      <c r="AS96" s="141">
        <f>Data!AK283</f>
        <v>0.80586142120701187</v>
      </c>
      <c r="AT96" s="173">
        <f>Data!$U283</f>
        <v>0.88166185284618559</v>
      </c>
      <c r="AW96" t="str">
        <f t="shared" si="16"/>
        <v>2</v>
      </c>
      <c r="AX96" s="141">
        <f>Data!AO271</f>
        <v>0.87909387335932276</v>
      </c>
      <c r="AY96" s="141">
        <f>Data!AP271</f>
        <v>0.86875338352933695</v>
      </c>
      <c r="AZ96" s="141">
        <f>Data!AQ271</f>
        <v>0.86488471486644092</v>
      </c>
      <c r="BA96" s="141">
        <f>Data!AR271</f>
        <v>0.89659371220203343</v>
      </c>
      <c r="BB96" s="141">
        <f>Data!BN10</f>
        <v>0.87409588137181282</v>
      </c>
    </row>
    <row r="97" spans="41:54" x14ac:dyDescent="0.2">
      <c r="AO97" t="str">
        <f>Data!AJ284</f>
        <v>12/23</v>
      </c>
      <c r="AP97" s="141">
        <f>Data!AN272</f>
        <v>0.93383202622570205</v>
      </c>
      <c r="AQ97" s="141">
        <f>Data!AM272</f>
        <v>0.92837614609871677</v>
      </c>
      <c r="AR97" s="141">
        <f>Data!AL284</f>
        <v>0.92758925354060517</v>
      </c>
      <c r="AS97" s="141">
        <f>Data!AK284</f>
        <v>0.87266317835254281</v>
      </c>
      <c r="AT97" s="173">
        <f>Data!$U284</f>
        <v>0.93111555708440763</v>
      </c>
      <c r="AW97" t="str">
        <f t="shared" si="16"/>
        <v>12/23</v>
      </c>
      <c r="AX97" s="141">
        <f>Data!AO272</f>
        <v>0.93383202622570205</v>
      </c>
      <c r="AY97" s="141">
        <f>Data!AP272</f>
        <v>0.92255614800264008</v>
      </c>
      <c r="AZ97" s="141">
        <f>Data!AQ272</f>
        <v>0.91416991165877703</v>
      </c>
      <c r="BA97" s="141">
        <f>Data!AR272</f>
        <v>0.93601863084926606</v>
      </c>
      <c r="BB97" s="141">
        <f>Data!BN11</f>
        <v>0.92837614609871677</v>
      </c>
    </row>
    <row r="98" spans="41:54" x14ac:dyDescent="0.2">
      <c r="AO98" t="str">
        <f>Data!AJ285</f>
        <v>4</v>
      </c>
      <c r="AP98" s="141">
        <f>Data!AN273</f>
        <v>0.95356844093311832</v>
      </c>
      <c r="AQ98" s="141">
        <f>Data!AM273</f>
        <v>0.94777800665301637</v>
      </c>
      <c r="AR98" s="141">
        <f>Data!AL285</f>
        <v>0.94524790181229301</v>
      </c>
      <c r="AS98" s="141">
        <f>Data!AK285</f>
        <v>0.90617230927349479</v>
      </c>
      <c r="AT98" s="173">
        <f>Data!$U285</f>
        <v>0.94856143575069685</v>
      </c>
      <c r="AW98" t="str">
        <f t="shared" si="16"/>
        <v>4</v>
      </c>
      <c r="AX98" s="141">
        <f>Data!AO273</f>
        <v>0.95356844093311832</v>
      </c>
      <c r="AY98" s="141">
        <f>Data!AP273</f>
        <v>0.9416186084663587</v>
      </c>
      <c r="AZ98" s="141">
        <f>Data!AQ273</f>
        <v>0.93170174839347986</v>
      </c>
      <c r="BA98" s="141">
        <f>Data!AR273</f>
        <v>0.95024108913962546</v>
      </c>
      <c r="BB98" s="141">
        <f>Data!BN12</f>
        <v>0.94777800665301637</v>
      </c>
    </row>
    <row r="99" spans="41:54" x14ac:dyDescent="0.2">
      <c r="AO99" t="str">
        <f>Data!AJ286</f>
        <v>5</v>
      </c>
      <c r="AP99" s="141">
        <f>Data!AN274</f>
        <v>0.96242769045952814</v>
      </c>
      <c r="AQ99" s="141">
        <f>Data!AM274</f>
        <v>0.95685483322655829</v>
      </c>
      <c r="AR99" s="141">
        <f>Data!AL286</f>
        <v>0.95442563316371398</v>
      </c>
      <c r="AS99" s="141">
        <f>Data!AK286</f>
        <v>0.92793683044965436</v>
      </c>
      <c r="AT99" s="173">
        <f>Data!$U286</f>
        <v>0.95780885209330213</v>
      </c>
      <c r="AW99" t="str">
        <f t="shared" si="16"/>
        <v>5</v>
      </c>
      <c r="AX99" s="141">
        <f>Data!AO274</f>
        <v>0.96242769045952814</v>
      </c>
      <c r="AY99" s="141">
        <f>Data!AP274</f>
        <v>0.95090620999990549</v>
      </c>
      <c r="AZ99" s="141">
        <f>Data!AQ274</f>
        <v>0.94314793438162448</v>
      </c>
      <c r="BA99" s="141">
        <f>Data!AR274</f>
        <v>0.95733827020665985</v>
      </c>
      <c r="BB99" s="141">
        <f>Data!BN13</f>
        <v>0.95685483322655829</v>
      </c>
    </row>
    <row r="100" spans="41:54" x14ac:dyDescent="0.2">
      <c r="AO100" t="str">
        <f>Data!AJ287</f>
        <v>9/23</v>
      </c>
      <c r="AP100" s="141">
        <f>Data!AN275</f>
        <v>0.96929641614863582</v>
      </c>
      <c r="AQ100" s="141">
        <f>Data!AM275</f>
        <v>0.96398179238062165</v>
      </c>
      <c r="AR100" s="141">
        <f>Data!AL287</f>
        <v>0.96266732516683329</v>
      </c>
      <c r="AS100" s="141">
        <f>Data!AK287</f>
        <v>0.94297653417538729</v>
      </c>
      <c r="AT100" s="173">
        <f>Data!$U287</f>
        <v>0.96587441371815064</v>
      </c>
      <c r="AW100" t="str">
        <f t="shared" si="16"/>
        <v>9/23</v>
      </c>
      <c r="AX100" s="141">
        <f>Data!AO275</f>
        <v>0.96929641614863582</v>
      </c>
      <c r="AY100" s="141">
        <f>Data!AP275</f>
        <v>0.95833573469404598</v>
      </c>
      <c r="AZ100" s="141">
        <f>Data!AQ275</f>
        <v>0.95469838900122361</v>
      </c>
      <c r="BA100" s="141">
        <f>Data!AR275</f>
        <v>0.96460102768475775</v>
      </c>
      <c r="BB100" s="141">
        <f>Data!BN14</f>
        <v>0.96398179238062165</v>
      </c>
    </row>
    <row r="101" spans="41:54" x14ac:dyDescent="0.2">
      <c r="AO101" t="str">
        <f>Data!AJ288</f>
        <v>7</v>
      </c>
      <c r="AP101" s="141">
        <f>Data!AN276</f>
        <v>0.97605994987273759</v>
      </c>
      <c r="AQ101" s="141">
        <f>Data!AM276</f>
        <v>0.97132728101712662</v>
      </c>
      <c r="AR101" s="141">
        <f>Data!AL288</f>
        <v>0.96975398823719716</v>
      </c>
      <c r="AS101" s="141">
        <f>Data!AK288</f>
        <v>0.95481421391443222</v>
      </c>
      <c r="AT101" s="173">
        <f>Data!$U288</f>
        <v>0.97273756151259516</v>
      </c>
      <c r="AW101" t="str">
        <f t="shared" si="16"/>
        <v>7</v>
      </c>
      <c r="AX101" s="141">
        <f>Data!AO276</f>
        <v>0.97605994987273759</v>
      </c>
      <c r="AY101" s="141">
        <f>Data!AP276</f>
        <v>0.96625439954803349</v>
      </c>
      <c r="AZ101" s="141">
        <f>Data!AQ276</f>
        <v>0.96276399676956825</v>
      </c>
      <c r="BA101" s="141">
        <f>Data!AR276</f>
        <v>0.9701586495113439</v>
      </c>
      <c r="BB101" s="141">
        <f>Data!BN15</f>
        <v>0.97132728101712662</v>
      </c>
    </row>
    <row r="102" spans="41:54" ht="61.5" customHeight="1" x14ac:dyDescent="0.2">
      <c r="AO102" t="str">
        <f>Data!AJ289</f>
        <v>8</v>
      </c>
      <c r="AP102" s="141">
        <f>Data!AN277</f>
        <v>0.98008004829088269</v>
      </c>
      <c r="AQ102" s="141">
        <f>Data!AM277</f>
        <v>0.97521571083726688</v>
      </c>
      <c r="AR102" s="141">
        <f>Data!AL289</f>
        <v>0.97457072439158232</v>
      </c>
      <c r="AS102" s="141">
        <f>Data!AK289</f>
        <v>0.96180874690162388</v>
      </c>
      <c r="AT102" s="173">
        <f>Data!$U289</f>
        <v>0.97737831187969959</v>
      </c>
      <c r="AW102" t="str">
        <f t="shared" si="16"/>
        <v>8</v>
      </c>
      <c r="AX102" s="141">
        <f>Data!AO277</f>
        <v>0.98008004829088269</v>
      </c>
      <c r="AY102" s="141">
        <f>Data!AP277</f>
        <v>0.97001095691100037</v>
      </c>
      <c r="AZ102" s="141">
        <f>Data!AQ277</f>
        <v>0.96913770815091638</v>
      </c>
      <c r="BA102" s="141">
        <f>Data!AR277</f>
        <v>0.97524796952374337</v>
      </c>
      <c r="BB102" s="141">
        <f>Data!BN16</f>
        <v>0.97521571083726688</v>
      </c>
    </row>
    <row r="103" spans="41:54" x14ac:dyDescent="0.2">
      <c r="AO103" t="str">
        <f>Data!AJ290</f>
        <v>6/23</v>
      </c>
      <c r="AP103" s="141">
        <f>Data!AN278</f>
        <v>0.98307841292336984</v>
      </c>
      <c r="AQ103" s="141">
        <f>Data!AM278</f>
        <v>0.97861987373546322</v>
      </c>
      <c r="AR103" s="141">
        <f>Data!AL290</f>
        <v>0.97812221495946883</v>
      </c>
      <c r="AS103" s="141">
        <f>Data!AK290</f>
        <v>0.9678020710325459</v>
      </c>
      <c r="AT103" s="173">
        <f>Data!$U290</f>
        <v>0.98089684997822646</v>
      </c>
      <c r="AW103" t="str">
        <f t="shared" si="16"/>
        <v>6/23</v>
      </c>
      <c r="AX103" s="141">
        <f>Data!AO278</f>
        <v>0.98307841292336984</v>
      </c>
      <c r="AY103" s="141">
        <f>Data!AP278</f>
        <v>0.9738157463321464</v>
      </c>
      <c r="AZ103" s="141">
        <f>Data!AQ278</f>
        <v>0.97297240486699776</v>
      </c>
      <c r="BA103" s="141">
        <f>Data!AR278</f>
        <v>0.9790687381057005</v>
      </c>
      <c r="BB103" s="141">
        <f>Data!BN17</f>
        <v>0.97861987373546322</v>
      </c>
    </row>
    <row r="104" spans="41:54" x14ac:dyDescent="0.2">
      <c r="AO104" t="str">
        <f>Data!AJ291</f>
        <v>10</v>
      </c>
      <c r="AP104" s="141">
        <f>Data!AN279</f>
        <v>0.98622556459580313</v>
      </c>
      <c r="AQ104" s="141">
        <f>Data!AM279</f>
        <v>0.98217546750704832</v>
      </c>
      <c r="AR104" s="141">
        <f>Data!AL291</f>
        <v>0.98158971719507759</v>
      </c>
      <c r="AS104" s="141">
        <f>Data!AK291</f>
        <v>0.97264985576250418</v>
      </c>
      <c r="AT104" s="173">
        <f>Data!$U291</f>
        <v>0.98432951543940195</v>
      </c>
      <c r="AW104" t="str">
        <f t="shared" si="16"/>
        <v>10</v>
      </c>
      <c r="AX104" s="141">
        <f>Data!AO279</f>
        <v>0.98622556459580313</v>
      </c>
      <c r="AY104" s="141">
        <f>Data!AP279</f>
        <v>0.97777488796092704</v>
      </c>
      <c r="AZ104" s="141">
        <f>Data!AQ279</f>
        <v>0.9760973922461742</v>
      </c>
      <c r="BA104" s="141">
        <f>Data!AR279</f>
        <v>0.98317176365525227</v>
      </c>
      <c r="BB104" s="141">
        <f>Data!BN18</f>
        <v>0.98217546750704832</v>
      </c>
    </row>
    <row r="105" spans="41:54" x14ac:dyDescent="0.2">
      <c r="AO105" t="str">
        <f>Data!AJ292</f>
        <v>11</v>
      </c>
      <c r="AP105" s="141">
        <f>Data!AN280</f>
        <v>0.98818794845553182</v>
      </c>
      <c r="AQ105" s="141">
        <f>Data!AM280</f>
        <v>0.98447441318381057</v>
      </c>
      <c r="AR105" s="141">
        <f>Data!AL292</f>
        <v>0.98418334317359979</v>
      </c>
      <c r="AS105" s="141">
        <f>Data!AK292</f>
        <v>0.9777568238372073</v>
      </c>
      <c r="AT105" s="173">
        <f>Data!$U292</f>
        <v>0.98677567309757686</v>
      </c>
      <c r="AW105" t="str">
        <f t="shared" si="16"/>
        <v>11</v>
      </c>
      <c r="AX105" s="141">
        <f>Data!AO280</f>
        <v>0.98818794845553182</v>
      </c>
      <c r="AY105" s="141">
        <f>Data!AP280</f>
        <v>0.9804069105563129</v>
      </c>
      <c r="AZ105" s="141">
        <f>Data!AQ280</f>
        <v>0.98018527609956596</v>
      </c>
      <c r="BA105" s="141">
        <f>Data!AR280</f>
        <v>0.98550117594572217</v>
      </c>
      <c r="BB105" s="141">
        <f>Data!BN19</f>
        <v>0.98447441318381057</v>
      </c>
    </row>
    <row r="106" spans="41:54" x14ac:dyDescent="0.2">
      <c r="AU106" s="172"/>
      <c r="BB106" s="141"/>
    </row>
    <row r="107" spans="41:54" x14ac:dyDescent="0.2">
      <c r="AO107" s="514" t="s">
        <v>920</v>
      </c>
      <c r="AP107" s="515"/>
      <c r="AQ107" s="8" t="s">
        <v>910</v>
      </c>
      <c r="AR107" s="17" t="s">
        <v>924</v>
      </c>
      <c r="AT107" s="3" t="s">
        <v>912</v>
      </c>
      <c r="AU107" s="516"/>
      <c r="AV107" s="254" t="s">
        <v>883</v>
      </c>
      <c r="AW107" s="228" t="s">
        <v>913</v>
      </c>
      <c r="AX107" s="228" t="s">
        <v>914</v>
      </c>
      <c r="AY107" s="2"/>
      <c r="AZ107" s="254" t="s">
        <v>929</v>
      </c>
    </row>
    <row r="108" spans="41:54" x14ac:dyDescent="0.2">
      <c r="AO108" s="249" t="s">
        <v>885</v>
      </c>
      <c r="AP108" s="141">
        <f>MIN(AP96:AT105)</f>
        <v>0.80586142120701187</v>
      </c>
      <c r="AQ108" s="141">
        <f>1-AP108</f>
        <v>0.19413857879298813</v>
      </c>
      <c r="AR108">
        <f>VLOOKUP(AQ108,AU109:AX114,4)</f>
        <v>20</v>
      </c>
      <c r="AT108" s="124" t="s">
        <v>303</v>
      </c>
      <c r="AU108" s="8" t="s">
        <v>910</v>
      </c>
      <c r="AV108" s="8" t="s">
        <v>915</v>
      </c>
      <c r="AW108" s="8" t="s">
        <v>916</v>
      </c>
      <c r="AX108" s="8" t="s">
        <v>917</v>
      </c>
      <c r="AY108" s="17" t="s">
        <v>928</v>
      </c>
      <c r="AZ108" s="8" t="s">
        <v>883</v>
      </c>
    </row>
    <row r="109" spans="41:54" x14ac:dyDescent="0.2">
      <c r="AO109" s="502" t="s">
        <v>883</v>
      </c>
      <c r="AP109" s="518">
        <f>VLOOKUP(AQ108,AU109:AZ114,2)</f>
        <v>5.0000000000000001E-3</v>
      </c>
      <c r="AQ109" s="519">
        <f>VLOOKUP(AQ108,AU109:AZ114,6)</f>
        <v>0.02</v>
      </c>
      <c r="AT109" s="513">
        <v>1</v>
      </c>
      <c r="AU109" s="513">
        <f>1-AT109</f>
        <v>0</v>
      </c>
      <c r="AV109" s="517">
        <v>5.0000000000000001E-3</v>
      </c>
      <c r="AW109" s="152">
        <v>0.05</v>
      </c>
      <c r="AX109">
        <v>50</v>
      </c>
      <c r="AY109" s="152">
        <f>1/AX109</f>
        <v>0.02</v>
      </c>
      <c r="AZ109" s="141">
        <v>0.01</v>
      </c>
    </row>
    <row r="110" spans="41:54" x14ac:dyDescent="0.2">
      <c r="AO110" s="227" t="s">
        <v>303</v>
      </c>
      <c r="AP110" s="141">
        <f>+AP108-AP109</f>
        <v>0.80086142120701187</v>
      </c>
      <c r="AT110" s="513">
        <v>0.88</v>
      </c>
      <c r="AU110" s="513">
        <f t="shared" ref="AU110:AU114" si="17">1-AT110</f>
        <v>0.12</v>
      </c>
      <c r="AV110" s="517">
        <v>5.0000000000000001E-3</v>
      </c>
      <c r="AW110" s="152">
        <v>0.05</v>
      </c>
      <c r="AX110">
        <f>INT(1/AW110)</f>
        <v>20</v>
      </c>
      <c r="AY110" s="152">
        <f t="shared" ref="AY110:AY114" si="18">1/AX110</f>
        <v>0.05</v>
      </c>
      <c r="AZ110" s="141">
        <v>0.02</v>
      </c>
    </row>
    <row r="111" spans="41:54" x14ac:dyDescent="0.2">
      <c r="AO111" s="249" t="s">
        <v>551</v>
      </c>
      <c r="AP111" s="141">
        <f>INT(AR108*AP110)/AR108</f>
        <v>0.8</v>
      </c>
      <c r="AQ111" s="249" t="s">
        <v>884</v>
      </c>
      <c r="AT111" s="513">
        <v>0.85</v>
      </c>
      <c r="AU111" s="513">
        <f t="shared" si="17"/>
        <v>0.15000000000000002</v>
      </c>
      <c r="AV111" s="517">
        <v>5.0000000000000001E-3</v>
      </c>
      <c r="AW111" s="152">
        <v>0.05</v>
      </c>
      <c r="AX111">
        <f>INT(1/AW111)</f>
        <v>20</v>
      </c>
      <c r="AY111" s="152">
        <f t="shared" si="18"/>
        <v>0.05</v>
      </c>
      <c r="AZ111" s="141">
        <v>0.02</v>
      </c>
    </row>
    <row r="112" spans="41:54" x14ac:dyDescent="0.2">
      <c r="AO112" s="227" t="s">
        <v>304</v>
      </c>
      <c r="AP112" s="141">
        <f>1+AQ109</f>
        <v>1.02</v>
      </c>
      <c r="AQ112" s="249" t="s">
        <v>909</v>
      </c>
      <c r="AT112" s="513">
        <v>0.75</v>
      </c>
      <c r="AU112" s="513">
        <f t="shared" si="17"/>
        <v>0.25</v>
      </c>
      <c r="AV112" s="141">
        <v>0.05</v>
      </c>
      <c r="AW112" s="152">
        <v>0.05</v>
      </c>
      <c r="AX112">
        <f>INT(1/AW112)</f>
        <v>20</v>
      </c>
      <c r="AY112" s="152">
        <f t="shared" si="18"/>
        <v>0.05</v>
      </c>
      <c r="AZ112" s="141">
        <v>0.05</v>
      </c>
    </row>
    <row r="113" spans="40:52" x14ac:dyDescent="0.2">
      <c r="AO113" s="227" t="s">
        <v>925</v>
      </c>
      <c r="AP113">
        <f>VLOOKUP(AQ108,AU109:AY114,5)</f>
        <v>0.05</v>
      </c>
      <c r="AQ113" s="227" t="s">
        <v>926</v>
      </c>
      <c r="AT113" s="513">
        <v>0.4</v>
      </c>
      <c r="AU113" s="513">
        <f t="shared" si="17"/>
        <v>0.6</v>
      </c>
      <c r="AV113" s="141">
        <v>0.05</v>
      </c>
      <c r="AW113" s="152">
        <v>0.1</v>
      </c>
      <c r="AX113">
        <f>INT(1/AW113)</f>
        <v>10</v>
      </c>
      <c r="AY113" s="152">
        <f t="shared" si="18"/>
        <v>0.1</v>
      </c>
      <c r="AZ113" s="141">
        <v>0.05</v>
      </c>
    </row>
    <row r="114" spans="40:52" x14ac:dyDescent="0.2">
      <c r="AT114" s="513">
        <v>0</v>
      </c>
      <c r="AU114" s="513">
        <f t="shared" si="17"/>
        <v>1</v>
      </c>
      <c r="AV114" s="141">
        <v>0.05</v>
      </c>
      <c r="AW114" s="152">
        <v>0.1</v>
      </c>
      <c r="AX114">
        <f>INT(1/AW114)</f>
        <v>10</v>
      </c>
      <c r="AY114" s="152">
        <f t="shared" si="18"/>
        <v>0.1</v>
      </c>
      <c r="AZ114" s="141">
        <v>0.05</v>
      </c>
    </row>
    <row r="115" spans="40:52" x14ac:dyDescent="0.2">
      <c r="AT115" s="513"/>
    </row>
    <row r="116" spans="40:52" x14ac:dyDescent="0.2">
      <c r="AO116" s="514" t="s">
        <v>921</v>
      </c>
      <c r="AP116" s="515"/>
      <c r="AQ116" s="8" t="s">
        <v>910</v>
      </c>
      <c r="AR116" s="8" t="s">
        <v>911</v>
      </c>
      <c r="AT116" s="513"/>
    </row>
    <row r="117" spans="40:52" x14ac:dyDescent="0.2">
      <c r="AO117" s="249" t="s">
        <v>885</v>
      </c>
      <c r="AP117" s="141">
        <f>MIN(AX96:BB105)</f>
        <v>0.86488471486644092</v>
      </c>
      <c r="AQ117" s="141">
        <f>1-AP117</f>
        <v>0.13511528513355908</v>
      </c>
      <c r="AR117">
        <f>VLOOKUP(AQ117,AU109:AX114,4)</f>
        <v>20</v>
      </c>
      <c r="AT117" s="513"/>
    </row>
    <row r="118" spans="40:52" x14ac:dyDescent="0.2">
      <c r="AO118" s="502" t="s">
        <v>883</v>
      </c>
      <c r="AP118" s="518">
        <f>VLOOKUP(AQ117,AU109:AZ114,2)</f>
        <v>5.0000000000000001E-3</v>
      </c>
      <c r="AQ118" s="519">
        <f>VLOOKUP(AQ117,AU109:AZ114,6)</f>
        <v>0.02</v>
      </c>
      <c r="AT118" s="513"/>
      <c r="AU118" s="513"/>
      <c r="AV118" s="152"/>
      <c r="AW118" s="152"/>
      <c r="AX118" s="152"/>
      <c r="AZ118" s="152"/>
    </row>
    <row r="119" spans="40:52" x14ac:dyDescent="0.2">
      <c r="AO119" s="227" t="s">
        <v>303</v>
      </c>
      <c r="AP119" s="141">
        <f>+AP117-AP118</f>
        <v>0.85988471486644091</v>
      </c>
      <c r="AT119" s="513"/>
      <c r="AU119" s="513"/>
      <c r="AV119" s="152"/>
      <c r="AW119" s="152"/>
      <c r="AX119" s="152"/>
      <c r="AZ119" s="152"/>
    </row>
    <row r="120" spans="40:52" x14ac:dyDescent="0.2">
      <c r="AO120" s="249" t="s">
        <v>551</v>
      </c>
      <c r="AP120" s="141">
        <f>INT(AR117*AP119)/AR117</f>
        <v>0.85</v>
      </c>
      <c r="AQ120" s="249" t="s">
        <v>922</v>
      </c>
      <c r="AT120" s="513"/>
      <c r="AU120" s="513"/>
      <c r="AV120" s="152"/>
      <c r="AW120" s="152"/>
      <c r="AX120" s="152"/>
      <c r="AZ120" s="152"/>
    </row>
    <row r="121" spans="40:52" x14ac:dyDescent="0.2">
      <c r="AO121" s="227" t="s">
        <v>304</v>
      </c>
      <c r="AP121" s="141">
        <f>1+AQ118</f>
        <v>1.02</v>
      </c>
      <c r="AQ121" s="249" t="s">
        <v>923</v>
      </c>
      <c r="AT121" s="513"/>
      <c r="AU121" s="513"/>
      <c r="AV121" s="152"/>
      <c r="AW121" s="152"/>
      <c r="AX121" s="152"/>
      <c r="AZ121" s="152"/>
    </row>
    <row r="122" spans="40:52" x14ac:dyDescent="0.2">
      <c r="AO122" s="227" t="s">
        <v>925</v>
      </c>
      <c r="AP122">
        <f>VLOOKUP(AQ117,AU109:AY114,5)</f>
        <v>0.05</v>
      </c>
      <c r="AQ122" s="249" t="s">
        <v>927</v>
      </c>
      <c r="AT122" s="513"/>
      <c r="AU122" s="513"/>
      <c r="AV122" s="152"/>
      <c r="AW122" s="152"/>
      <c r="AX122" s="152"/>
      <c r="AZ122" s="152"/>
    </row>
    <row r="125" spans="40:52" x14ac:dyDescent="0.2">
      <c r="AN125" s="446" t="s">
        <v>904</v>
      </c>
      <c r="AO125" s="447"/>
      <c r="AP125" s="447"/>
    </row>
    <row r="126" spans="40:52" x14ac:dyDescent="0.2">
      <c r="AN126" s="447"/>
      <c r="AO126" s="447"/>
      <c r="AP126" s="447"/>
    </row>
    <row r="127" spans="40:52" x14ac:dyDescent="0.2">
      <c r="AN127" s="447"/>
      <c r="AO127" s="446" t="s">
        <v>905</v>
      </c>
      <c r="AP127" s="447"/>
    </row>
    <row r="128" spans="40:52" x14ac:dyDescent="0.2">
      <c r="AN128" s="447"/>
      <c r="AO128" s="446" t="s">
        <v>906</v>
      </c>
      <c r="AP128" s="447"/>
    </row>
    <row r="129" spans="40:42" x14ac:dyDescent="0.2">
      <c r="AN129" s="447"/>
      <c r="AO129" s="446" t="s">
        <v>907</v>
      </c>
      <c r="AP129" s="447"/>
    </row>
    <row r="130" spans="40:42" x14ac:dyDescent="0.2">
      <c r="AN130" s="447"/>
      <c r="AO130" s="446" t="s">
        <v>908</v>
      </c>
      <c r="AP130" s="447"/>
    </row>
    <row r="133" spans="40:42" ht="12" customHeight="1" x14ac:dyDescent="0.2"/>
    <row r="138" spans="40:42" ht="30" customHeight="1" x14ac:dyDescent="0.2"/>
    <row r="180" spans="1:45" ht="26.25" x14ac:dyDescent="0.4">
      <c r="A180" s="142" t="str">
        <f>$A$1</f>
        <v>Allied Pacific (APC Commerical)</v>
      </c>
      <c r="U180" s="142" t="str">
        <f>$A$1</f>
        <v>Allied Pacific (APC Commerical)</v>
      </c>
    </row>
    <row r="181" spans="1:45" ht="14.25" customHeight="1" x14ac:dyDescent="0.4">
      <c r="A181" s="142"/>
      <c r="U181" s="142"/>
    </row>
    <row r="182" spans="1:45" x14ac:dyDescent="0.2">
      <c r="AO182" t="s">
        <v>41</v>
      </c>
      <c r="AP182" t="s">
        <v>322</v>
      </c>
      <c r="AS182" s="1" t="s">
        <v>324</v>
      </c>
    </row>
    <row r="183" spans="1:45" x14ac:dyDescent="0.2">
      <c r="AO183" s="150" t="str">
        <f t="shared" ref="AO183:AO200" si="19">$AR27</f>
        <v>10/22</v>
      </c>
      <c r="AP183" s="41">
        <f>Data!U142</f>
        <v>5095954.3900000257</v>
      </c>
      <c r="AQ183" s="51">
        <f>AP183</f>
        <v>5095954.3900000257</v>
      </c>
      <c r="AS183" s="41">
        <f>+Transport!C38</f>
        <v>5346516.4463065388</v>
      </c>
    </row>
    <row r="184" spans="1:45" x14ac:dyDescent="0.2">
      <c r="AO184" s="150" t="str">
        <f t="shared" si="19"/>
        <v>11/22</v>
      </c>
      <c r="AP184" s="151">
        <f>Data!V142</f>
        <v>4865514.1700000167</v>
      </c>
      <c r="AQ184" s="51">
        <f t="shared" ref="AQ184:AQ200" si="20">AP184</f>
        <v>4865514.1700000167</v>
      </c>
      <c r="AS184" s="151">
        <f>+Transport!C39</f>
        <v>5047051.0525426669</v>
      </c>
    </row>
    <row r="185" spans="1:45" x14ac:dyDescent="0.2">
      <c r="AO185" s="150" t="str">
        <f t="shared" si="19"/>
        <v>12/22</v>
      </c>
      <c r="AP185" s="151">
        <f>Data!W142</f>
        <v>5809110.5600000238</v>
      </c>
      <c r="AQ185" s="51">
        <f t="shared" si="20"/>
        <v>5809110.5600000238</v>
      </c>
      <c r="AS185" s="151">
        <f>+Transport!C40</f>
        <v>5120495.1487528142</v>
      </c>
    </row>
    <row r="186" spans="1:45" x14ac:dyDescent="0.2">
      <c r="AO186" s="150" t="str">
        <f t="shared" si="19"/>
        <v>1/23</v>
      </c>
      <c r="AP186" s="151">
        <f>Data!X142</f>
        <v>5131677.3100000117</v>
      </c>
      <c r="AQ186" s="51">
        <f t="shared" si="20"/>
        <v>5131677.3100000117</v>
      </c>
      <c r="AS186" s="151">
        <f>+Transport!C41</f>
        <v>4620382.2943228586</v>
      </c>
    </row>
    <row r="187" spans="1:45" x14ac:dyDescent="0.2">
      <c r="AO187" s="150" t="str">
        <f t="shared" si="19"/>
        <v>2/23</v>
      </c>
      <c r="AP187" s="151">
        <f>Data!Y142</f>
        <v>4586340.4299999904</v>
      </c>
      <c r="AQ187" s="51">
        <f t="shared" si="20"/>
        <v>4586340.4299999904</v>
      </c>
      <c r="AS187" s="151">
        <f>+Transport!C42</f>
        <v>4821841.9485111265</v>
      </c>
    </row>
    <row r="188" spans="1:45" x14ac:dyDescent="0.2">
      <c r="AO188" s="150" t="str">
        <f t="shared" si="19"/>
        <v>3/23</v>
      </c>
      <c r="AP188" s="151">
        <f>Data!Z142</f>
        <v>5780065.1999999704</v>
      </c>
      <c r="AQ188" s="51">
        <f t="shared" si="20"/>
        <v>5780065.1999999704</v>
      </c>
      <c r="AS188" s="151">
        <f>+Transport!C43</f>
        <v>5834981.5740672164</v>
      </c>
    </row>
    <row r="189" spans="1:45" x14ac:dyDescent="0.2">
      <c r="AO189" s="150" t="str">
        <f t="shared" si="19"/>
        <v>4/23</v>
      </c>
      <c r="AP189" s="151">
        <f>Data!AA142</f>
        <v>4199208.1499999892</v>
      </c>
      <c r="AQ189" s="51">
        <f t="shared" si="20"/>
        <v>4199208.1499999892</v>
      </c>
      <c r="AS189" s="151">
        <f ca="1">+Transport!C44</f>
        <v>4838676</v>
      </c>
    </row>
    <row r="190" spans="1:45" ht="50.25" customHeight="1" x14ac:dyDescent="0.2">
      <c r="AO190" s="150" t="str">
        <f t="shared" si="19"/>
        <v>5/23</v>
      </c>
      <c r="AP190" s="151">
        <f>Data!AB142</f>
        <v>5269479.2099999841</v>
      </c>
      <c r="AQ190" s="51">
        <f t="shared" si="20"/>
        <v>5269479.2099999841</v>
      </c>
      <c r="AS190" s="151">
        <f ca="1">+Transport!C45</f>
        <v>5412483</v>
      </c>
    </row>
    <row r="191" spans="1:45" x14ac:dyDescent="0.2">
      <c r="AO191" s="150" t="str">
        <f t="shared" si="19"/>
        <v>6/23</v>
      </c>
      <c r="AP191" s="151">
        <f>Data!AC142</f>
        <v>5161983.979999993</v>
      </c>
      <c r="AQ191" s="51">
        <f t="shared" si="20"/>
        <v>5161983.979999993</v>
      </c>
      <c r="AS191" s="151">
        <f ca="1">+Transport!C46</f>
        <v>5547486</v>
      </c>
    </row>
    <row r="192" spans="1:45" x14ac:dyDescent="0.2">
      <c r="AO192" s="150" t="str">
        <f t="shared" si="19"/>
        <v>7/23</v>
      </c>
      <c r="AP192" s="151">
        <f>Data!AD142</f>
        <v>5024298.1099999929</v>
      </c>
      <c r="AQ192" s="51">
        <f t="shared" si="20"/>
        <v>5024298.1099999929</v>
      </c>
      <c r="AS192" s="151">
        <f ca="1">+Transport!C47</f>
        <v>5220777</v>
      </c>
    </row>
    <row r="193" spans="41:45" x14ac:dyDescent="0.2">
      <c r="AO193" s="150" t="str">
        <f t="shared" si="19"/>
        <v>8/23</v>
      </c>
      <c r="AP193" s="151">
        <f>Data!AE142</f>
        <v>5269664.7599999877</v>
      </c>
      <c r="AQ193" s="51">
        <f t="shared" si="20"/>
        <v>5269664.7599999877</v>
      </c>
      <c r="AS193" s="151">
        <f ca="1">+Transport!C48</f>
        <v>6008618</v>
      </c>
    </row>
    <row r="194" spans="41:45" x14ac:dyDescent="0.2">
      <c r="AO194" s="150" t="str">
        <f t="shared" si="19"/>
        <v>9/23</v>
      </c>
      <c r="AP194" s="151">
        <f>Data!AF142</f>
        <v>5754302.1099999854</v>
      </c>
      <c r="AQ194" s="51">
        <f t="shared" si="20"/>
        <v>5754302.1099999854</v>
      </c>
      <c r="AS194" s="151">
        <f ca="1">+Transport!C49</f>
        <v>5476271</v>
      </c>
    </row>
    <row r="195" spans="41:45" x14ac:dyDescent="0.2">
      <c r="AO195" s="150" t="str">
        <f t="shared" si="19"/>
        <v>10/23</v>
      </c>
      <c r="AP195" s="151">
        <f>Data!AG142</f>
        <v>6436494.1199999833</v>
      </c>
      <c r="AQ195" s="51">
        <f t="shared" si="20"/>
        <v>6436494.1199999833</v>
      </c>
      <c r="AS195" s="151">
        <f ca="1">+Transport!C50</f>
        <v>6394678</v>
      </c>
    </row>
    <row r="196" spans="41:45" x14ac:dyDescent="0.2">
      <c r="AO196" s="150" t="str">
        <f t="shared" si="19"/>
        <v>11/23</v>
      </c>
      <c r="AP196" s="151">
        <f>Data!AH142</f>
        <v>5920319.6200000057</v>
      </c>
      <c r="AQ196" s="51">
        <f t="shared" si="20"/>
        <v>5920319.6200000057</v>
      </c>
      <c r="AS196" s="151">
        <f ca="1">+Transport!C51</f>
        <v>6005202</v>
      </c>
    </row>
    <row r="197" spans="41:45" x14ac:dyDescent="0.2">
      <c r="AO197" s="150" t="str">
        <f t="shared" si="19"/>
        <v>12/23</v>
      </c>
      <c r="AP197" s="151">
        <f>Data!AI142</f>
        <v>5777917.9799999846</v>
      </c>
      <c r="AQ197" s="51">
        <f t="shared" si="20"/>
        <v>5777917.9799999846</v>
      </c>
      <c r="AS197" s="151">
        <f ca="1">+Transport!C52</f>
        <v>5703064</v>
      </c>
    </row>
    <row r="198" spans="41:45" x14ac:dyDescent="0.2">
      <c r="AO198" s="150" t="str">
        <f t="shared" si="19"/>
        <v>1/24</v>
      </c>
      <c r="AP198" s="151">
        <f>Data!AJ142</f>
        <v>5923338.4999999972</v>
      </c>
      <c r="AQ198" s="51">
        <f t="shared" si="20"/>
        <v>5923338.4999999972</v>
      </c>
      <c r="AS198" s="151">
        <f ca="1">+Transport!C53</f>
        <v>6102795</v>
      </c>
    </row>
    <row r="199" spans="41:45" x14ac:dyDescent="0.2">
      <c r="AO199" s="150" t="str">
        <f t="shared" si="19"/>
        <v>2/24</v>
      </c>
      <c r="AP199" s="151">
        <f>Data!AK142</f>
        <v>5585363.9099999908</v>
      </c>
      <c r="AQ199" s="51">
        <f t="shared" si="20"/>
        <v>5585363.9099999908</v>
      </c>
      <c r="AS199" s="151">
        <f ca="1">+Transport!C54</f>
        <v>6178865</v>
      </c>
    </row>
    <row r="200" spans="41:45" x14ac:dyDescent="0.2">
      <c r="AO200" s="150" t="str">
        <f t="shared" si="19"/>
        <v>3/24</v>
      </c>
      <c r="AP200" s="151">
        <f>Data!AL142</f>
        <v>5452454.4600000046</v>
      </c>
      <c r="AQ200" s="51">
        <f t="shared" si="20"/>
        <v>5452454.4600000046</v>
      </c>
      <c r="AS200" s="151">
        <f ca="1">+Transport!C55</f>
        <v>6901567</v>
      </c>
    </row>
    <row r="201" spans="41:45" x14ac:dyDescent="0.2">
      <c r="AP201" s="119"/>
    </row>
    <row r="202" spans="41:45" x14ac:dyDescent="0.2">
      <c r="AP202" s="119"/>
    </row>
    <row r="203" spans="41:45" x14ac:dyDescent="0.2">
      <c r="AP203" s="119"/>
    </row>
    <row r="225" spans="41:50" x14ac:dyDescent="0.2">
      <c r="AU225" s="446" t="s">
        <v>875</v>
      </c>
      <c r="AV225" s="447"/>
      <c r="AW225" s="447"/>
      <c r="AX225" s="447"/>
    </row>
    <row r="226" spans="41:50" x14ac:dyDescent="0.2">
      <c r="AO226" t="s">
        <v>41</v>
      </c>
      <c r="AP226" s="1" t="s">
        <v>325</v>
      </c>
      <c r="AU226" s="447" t="str">
        <f>+AP226</f>
        <v>Average Age of Paid Claims By Month</v>
      </c>
      <c r="AV226" s="447"/>
      <c r="AW226" s="447"/>
      <c r="AX226" s="447"/>
    </row>
    <row r="227" spans="41:50" ht="12.75" x14ac:dyDescent="0.2">
      <c r="AO227" s="149" t="str">
        <f>AO183</f>
        <v>10/22</v>
      </c>
      <c r="AP227" s="152">
        <f>Data!U143</f>
        <v>1.4015141411028174</v>
      </c>
      <c r="AQ227" s="152">
        <f>AP227</f>
        <v>1.4015141411028174</v>
      </c>
      <c r="AU227" s="42" t="str">
        <f>+AO244</f>
        <v>3/24</v>
      </c>
      <c r="AV227" s="448">
        <f t="shared" ref="AV227:AV243" si="21">IF(ISERR(+AW227),"--",AW227)</f>
        <v>1.3738519367661068</v>
      </c>
      <c r="AW227" s="449">
        <f>+AQ244</f>
        <v>1.3738519367661068</v>
      </c>
      <c r="AX227" s="449"/>
    </row>
    <row r="228" spans="41:50" ht="8.4499999999999993" customHeight="1" x14ac:dyDescent="0.2">
      <c r="AO228" s="149" t="str">
        <f t="shared" ref="AO228:AO244" si="22">AO184</f>
        <v>11/22</v>
      </c>
      <c r="AP228" s="152">
        <f>Data!V143</f>
        <v>1.7155183724395533</v>
      </c>
      <c r="AQ228" s="152">
        <f t="shared" ref="AQ228:AQ244" si="23">AP228</f>
        <v>1.7155183724395533</v>
      </c>
      <c r="AU228" s="42" t="str">
        <f>+AO243</f>
        <v>2/24</v>
      </c>
      <c r="AV228" s="448">
        <f t="shared" si="21"/>
        <v>1.6458325953554589</v>
      </c>
      <c r="AW228" s="449">
        <f>+AQ243</f>
        <v>1.6458325953554589</v>
      </c>
      <c r="AX228" s="449"/>
    </row>
    <row r="229" spans="41:50" ht="12.75" x14ac:dyDescent="0.2">
      <c r="AO229" s="149" t="str">
        <f t="shared" si="22"/>
        <v>12/22</v>
      </c>
      <c r="AP229" s="152">
        <f>Data!W143</f>
        <v>1.4219479117643059</v>
      </c>
      <c r="AQ229" s="152">
        <f t="shared" si="23"/>
        <v>1.4219479117643059</v>
      </c>
      <c r="AU229" s="42" t="str">
        <f>+AO242</f>
        <v>1/24</v>
      </c>
      <c r="AV229" s="448">
        <f t="shared" si="21"/>
        <v>1.3900507002934246</v>
      </c>
      <c r="AW229" s="449">
        <f>+AQ242</f>
        <v>1.3900507002934246</v>
      </c>
      <c r="AX229" s="449"/>
    </row>
    <row r="230" spans="41:50" ht="12.75" x14ac:dyDescent="0.2">
      <c r="AO230" s="149" t="str">
        <f t="shared" si="22"/>
        <v>1/23</v>
      </c>
      <c r="AP230" s="152">
        <f>Data!X143</f>
        <v>1.4512651692824383</v>
      </c>
      <c r="AQ230" s="152">
        <f t="shared" si="23"/>
        <v>1.4512651692824383</v>
      </c>
      <c r="AU230" s="42" t="str">
        <f>+AO241</f>
        <v>12/23</v>
      </c>
      <c r="AV230" s="448">
        <f t="shared" si="21"/>
        <v>1.488565846689297</v>
      </c>
      <c r="AW230" s="449">
        <f>+AQ241</f>
        <v>1.488565846689297</v>
      </c>
      <c r="AX230" s="449"/>
    </row>
    <row r="231" spans="41:50" ht="12.75" x14ac:dyDescent="0.2">
      <c r="AO231" s="149" t="str">
        <f t="shared" si="22"/>
        <v>2/23</v>
      </c>
      <c r="AP231" s="152">
        <f>Data!Y143</f>
        <v>1.8399197636534819</v>
      </c>
      <c r="AQ231" s="152">
        <f t="shared" si="23"/>
        <v>1.8399197636534819</v>
      </c>
      <c r="AU231" s="42" t="str">
        <f>+AO240</f>
        <v>11/23</v>
      </c>
      <c r="AV231" s="448">
        <f t="shared" si="21"/>
        <v>1.5836270356633217</v>
      </c>
      <c r="AW231" s="449">
        <f>+AQ240</f>
        <v>1.5836270356633217</v>
      </c>
      <c r="AX231" s="449"/>
    </row>
    <row r="232" spans="41:50" ht="12.75" x14ac:dyDescent="0.2">
      <c r="AO232" s="149" t="str">
        <f t="shared" si="22"/>
        <v>3/23</v>
      </c>
      <c r="AP232" s="152">
        <f>Data!Z143</f>
        <v>1.1986605185699328</v>
      </c>
      <c r="AQ232" s="152">
        <f t="shared" si="23"/>
        <v>1.1986605185699328</v>
      </c>
      <c r="AU232" s="42" t="str">
        <f>+AO239</f>
        <v>10/23</v>
      </c>
      <c r="AV232" s="448">
        <f t="shared" si="21"/>
        <v>1.4148367403464688</v>
      </c>
      <c r="AW232" s="449">
        <f>+AQ239</f>
        <v>1.4148367403464688</v>
      </c>
      <c r="AX232" s="449"/>
    </row>
    <row r="233" spans="41:50" ht="12.75" x14ac:dyDescent="0.2">
      <c r="AO233" s="149" t="str">
        <f t="shared" si="22"/>
        <v>4/23</v>
      </c>
      <c r="AP233" s="152">
        <f>Data!AA143</f>
        <v>1.4139758492324335</v>
      </c>
      <c r="AQ233" s="152">
        <f t="shared" si="23"/>
        <v>1.4139758492324335</v>
      </c>
      <c r="AU233" s="42" t="str">
        <f>+AO238</f>
        <v>9/23</v>
      </c>
      <c r="AV233" s="448">
        <f t="shared" si="21"/>
        <v>1.7690423956555197</v>
      </c>
      <c r="AW233" s="449">
        <f>+AQ238</f>
        <v>1.7690423956555197</v>
      </c>
      <c r="AX233" s="449"/>
    </row>
    <row r="234" spans="41:50" ht="12.75" x14ac:dyDescent="0.2">
      <c r="AO234" s="149" t="str">
        <f t="shared" si="22"/>
        <v>5/23</v>
      </c>
      <c r="AP234" s="152">
        <f>Data!AB143</f>
        <v>1.4863687392743334</v>
      </c>
      <c r="AQ234" s="152">
        <f t="shared" si="23"/>
        <v>1.4863687392743334</v>
      </c>
      <c r="AU234" s="42" t="str">
        <f>+AO237</f>
        <v>8/23</v>
      </c>
      <c r="AV234" s="448">
        <f t="shared" si="21"/>
        <v>1.601199541960997</v>
      </c>
      <c r="AW234" s="449">
        <f>+AQ237</f>
        <v>1.601199541960997</v>
      </c>
      <c r="AX234" s="449"/>
    </row>
    <row r="235" spans="41:50" ht="36" customHeight="1" x14ac:dyDescent="0.2">
      <c r="AO235" s="149" t="str">
        <f t="shared" si="22"/>
        <v>6/23</v>
      </c>
      <c r="AP235" s="152">
        <f>Data!AC143</f>
        <v>1.334686902689693</v>
      </c>
      <c r="AQ235" s="152">
        <f t="shared" si="23"/>
        <v>1.334686902689693</v>
      </c>
      <c r="AU235" s="42" t="str">
        <f>+AO236</f>
        <v>7/23</v>
      </c>
      <c r="AV235" s="448">
        <f t="shared" si="21"/>
        <v>1.5290577015542586</v>
      </c>
      <c r="AW235" s="449">
        <f>+AQ236</f>
        <v>1.5290577015542586</v>
      </c>
      <c r="AX235" s="449"/>
    </row>
    <row r="236" spans="41:50" ht="11.25" customHeight="1" x14ac:dyDescent="0.2">
      <c r="AO236" s="149" t="str">
        <f t="shared" si="22"/>
        <v>7/23</v>
      </c>
      <c r="AP236" s="152">
        <f>Data!AD143</f>
        <v>1.5290577015542586</v>
      </c>
      <c r="AQ236" s="152">
        <f t="shared" si="23"/>
        <v>1.5290577015542586</v>
      </c>
      <c r="AU236" s="42" t="str">
        <f>+AO235</f>
        <v>6/23</v>
      </c>
      <c r="AV236" s="448">
        <f t="shared" si="21"/>
        <v>1.334686902689693</v>
      </c>
      <c r="AW236" s="449">
        <f>+AQ235</f>
        <v>1.334686902689693</v>
      </c>
      <c r="AX236" s="449"/>
    </row>
    <row r="237" spans="41:50" ht="11.25" customHeight="1" x14ac:dyDescent="0.2">
      <c r="AO237" s="149" t="str">
        <f t="shared" si="22"/>
        <v>8/23</v>
      </c>
      <c r="AP237" s="152">
        <f>Data!AE143</f>
        <v>1.601199541960997</v>
      </c>
      <c r="AQ237" s="152">
        <f t="shared" si="23"/>
        <v>1.601199541960997</v>
      </c>
      <c r="AU237" s="42" t="str">
        <f>+AO234</f>
        <v>5/23</v>
      </c>
      <c r="AV237" s="448">
        <f t="shared" si="21"/>
        <v>1.4863687392743334</v>
      </c>
      <c r="AW237" s="449">
        <f>+AQ234</f>
        <v>1.4863687392743334</v>
      </c>
      <c r="AX237" s="449"/>
    </row>
    <row r="238" spans="41:50" ht="11.25" customHeight="1" x14ac:dyDescent="0.2">
      <c r="AO238" s="149" t="str">
        <f t="shared" si="22"/>
        <v>9/23</v>
      </c>
      <c r="AP238" s="152">
        <f>Data!AF143</f>
        <v>1.7690423956555197</v>
      </c>
      <c r="AQ238" s="152">
        <f t="shared" si="23"/>
        <v>1.7690423956555197</v>
      </c>
      <c r="AU238" s="42" t="str">
        <f>+AO233</f>
        <v>4/23</v>
      </c>
      <c r="AV238" s="448">
        <f t="shared" si="21"/>
        <v>1.4139758492324335</v>
      </c>
      <c r="AW238" s="449">
        <f>+AQ233</f>
        <v>1.4139758492324335</v>
      </c>
      <c r="AX238" s="449"/>
    </row>
    <row r="239" spans="41:50" ht="11.25" customHeight="1" x14ac:dyDescent="0.2">
      <c r="AO239" s="149" t="str">
        <f t="shared" si="22"/>
        <v>10/23</v>
      </c>
      <c r="AP239" s="152">
        <f>Data!AG143</f>
        <v>1.4148367403464688</v>
      </c>
      <c r="AQ239" s="152">
        <f t="shared" si="23"/>
        <v>1.4148367403464688</v>
      </c>
      <c r="AU239" s="42" t="str">
        <f>+AO232</f>
        <v>3/23</v>
      </c>
      <c r="AV239" s="448">
        <f t="shared" si="21"/>
        <v>1.1986605185699328</v>
      </c>
      <c r="AW239" s="449">
        <f>+AQ232</f>
        <v>1.1986605185699328</v>
      </c>
      <c r="AX239" s="449"/>
    </row>
    <row r="240" spans="41:50" ht="11.25" customHeight="1" x14ac:dyDescent="0.2">
      <c r="AO240" s="149" t="str">
        <f t="shared" si="22"/>
        <v>11/23</v>
      </c>
      <c r="AP240" s="152">
        <f>Data!AH143</f>
        <v>1.5836270356633217</v>
      </c>
      <c r="AQ240" s="152">
        <f t="shared" si="23"/>
        <v>1.5836270356633217</v>
      </c>
      <c r="AU240" s="42" t="str">
        <f>+AO231</f>
        <v>2/23</v>
      </c>
      <c r="AV240" s="448">
        <f t="shared" si="21"/>
        <v>1.8399197636534819</v>
      </c>
      <c r="AW240" s="449">
        <f>+AQ231</f>
        <v>1.8399197636534819</v>
      </c>
      <c r="AX240" s="449"/>
    </row>
    <row r="241" spans="41:50" ht="11.25" customHeight="1" x14ac:dyDescent="0.2">
      <c r="AO241" s="149" t="str">
        <f t="shared" si="22"/>
        <v>12/23</v>
      </c>
      <c r="AP241" s="152">
        <f>Data!AI143</f>
        <v>1.488565846689297</v>
      </c>
      <c r="AQ241" s="152">
        <f t="shared" si="23"/>
        <v>1.488565846689297</v>
      </c>
      <c r="AU241" s="42" t="str">
        <f>+AO230</f>
        <v>1/23</v>
      </c>
      <c r="AV241" s="448">
        <f t="shared" si="21"/>
        <v>1.4512651692824383</v>
      </c>
      <c r="AW241" s="449">
        <f>+AQ230</f>
        <v>1.4512651692824383</v>
      </c>
      <c r="AX241" s="449"/>
    </row>
    <row r="242" spans="41:50" ht="11.25" customHeight="1" x14ac:dyDescent="0.2">
      <c r="AO242" s="149" t="str">
        <f t="shared" si="22"/>
        <v>1/24</v>
      </c>
      <c r="AP242" s="152">
        <f>Data!AJ143</f>
        <v>1.3900507002934246</v>
      </c>
      <c r="AQ242" s="152">
        <f t="shared" si="23"/>
        <v>1.3900507002934246</v>
      </c>
      <c r="AU242" s="42" t="str">
        <f>+AO229</f>
        <v>12/22</v>
      </c>
      <c r="AV242" s="448">
        <f t="shared" si="21"/>
        <v>1.4219479117643059</v>
      </c>
      <c r="AW242" s="449">
        <f>+AQ229</f>
        <v>1.4219479117643059</v>
      </c>
      <c r="AX242" s="449"/>
    </row>
    <row r="243" spans="41:50" ht="11.25" customHeight="1" x14ac:dyDescent="0.2">
      <c r="AO243" s="149" t="str">
        <f t="shared" si="22"/>
        <v>2/24</v>
      </c>
      <c r="AP243" s="152">
        <f>Data!AK143</f>
        <v>1.6458325953554589</v>
      </c>
      <c r="AQ243" s="152">
        <f t="shared" si="23"/>
        <v>1.6458325953554589</v>
      </c>
      <c r="AU243" s="42" t="str">
        <f>+AO228</f>
        <v>11/22</v>
      </c>
      <c r="AV243" s="448">
        <f t="shared" si="21"/>
        <v>1.7155183724395533</v>
      </c>
      <c r="AW243" s="449">
        <f>+AQ228</f>
        <v>1.7155183724395533</v>
      </c>
      <c r="AX243" s="449"/>
    </row>
    <row r="244" spans="41:50" ht="11.25" customHeight="1" x14ac:dyDescent="0.2">
      <c r="AO244" s="149" t="str">
        <f t="shared" si="22"/>
        <v>3/24</v>
      </c>
      <c r="AP244" s="152">
        <f>Data!AL143</f>
        <v>1.3738519367661068</v>
      </c>
      <c r="AQ244" s="152">
        <f t="shared" si="23"/>
        <v>1.3738519367661068</v>
      </c>
      <c r="AU244" s="42" t="str">
        <f>+AO227</f>
        <v>10/22</v>
      </c>
      <c r="AV244" s="448">
        <f>IF(ISERR(+AW244),"--",AW244)</f>
        <v>1.4015141411028174</v>
      </c>
      <c r="AW244" s="449">
        <f>+AQ227</f>
        <v>1.4015141411028174</v>
      </c>
      <c r="AX244" s="449"/>
    </row>
    <row r="245" spans="41:50" ht="11.25" customHeight="1" x14ac:dyDescent="0.2"/>
    <row r="246" spans="41:50" ht="11.25" customHeight="1" x14ac:dyDescent="0.2"/>
    <row r="247" spans="41:50" ht="11.25" customHeight="1" x14ac:dyDescent="0.2"/>
    <row r="248" spans="41:50" ht="11.25" customHeight="1" x14ac:dyDescent="0.2"/>
    <row r="249" spans="41:50" ht="11.25" customHeight="1" x14ac:dyDescent="0.2"/>
    <row r="250" spans="41:50" ht="11.25" customHeight="1" x14ac:dyDescent="0.2"/>
    <row r="251" spans="41:50" ht="11.25" customHeight="1" x14ac:dyDescent="0.2"/>
    <row r="252" spans="41:50" ht="11.25" customHeight="1" x14ac:dyDescent="0.2"/>
    <row r="253" spans="41:50" ht="11.25" customHeight="1" x14ac:dyDescent="0.2"/>
    <row r="254" spans="41:50" ht="11.25" customHeight="1" x14ac:dyDescent="0.2"/>
    <row r="255" spans="41:50" ht="11.25" customHeight="1" x14ac:dyDescent="0.2"/>
    <row r="256" spans="41:50" ht="11.25" customHeight="1" x14ac:dyDescent="0.2"/>
    <row r="257" spans="1:42" ht="11.25" customHeight="1" x14ac:dyDescent="0.2"/>
    <row r="258" spans="1:42" ht="11.25" customHeight="1" x14ac:dyDescent="0.2"/>
    <row r="259" spans="1:42" ht="11.25" customHeight="1" x14ac:dyDescent="0.2"/>
    <row r="260" spans="1:42" ht="11.25" customHeight="1" x14ac:dyDescent="0.2"/>
    <row r="261" spans="1:42" ht="11.25" customHeight="1" x14ac:dyDescent="0.2"/>
    <row r="262" spans="1:42" ht="11.25" customHeight="1" x14ac:dyDescent="0.2"/>
    <row r="263" spans="1:42" ht="11.25" customHeight="1" x14ac:dyDescent="0.2"/>
    <row r="264" spans="1:42" ht="11.25" customHeight="1" x14ac:dyDescent="0.2"/>
    <row r="265" spans="1:42" ht="11.25" customHeight="1" x14ac:dyDescent="0.2"/>
    <row r="266" spans="1:42" ht="11.25" customHeight="1" x14ac:dyDescent="0.2"/>
    <row r="267" spans="1:42" ht="11.25" customHeight="1" x14ac:dyDescent="0.2"/>
    <row r="268" spans="1:42" ht="26.25" x14ac:dyDescent="0.4">
      <c r="A268" s="142" t="str">
        <f>$A$1</f>
        <v>Allied Pacific (APC Commerical)</v>
      </c>
      <c r="U268" s="142" t="str">
        <f>$A$1</f>
        <v>Allied Pacific (APC Commerical)</v>
      </c>
    </row>
    <row r="270" spans="1:42" x14ac:dyDescent="0.2">
      <c r="AO270" s="4"/>
      <c r="AP270" s="4"/>
    </row>
    <row r="271" spans="1:42" x14ac:dyDescent="0.2">
      <c r="AO271" s="4" t="s">
        <v>41</v>
      </c>
      <c r="AP271" s="4" t="s">
        <v>326</v>
      </c>
    </row>
    <row r="272" spans="1:42" x14ac:dyDescent="0.2">
      <c r="AO272" s="153" t="str">
        <f t="shared" ref="AO272:AO307" si="24">$AR9</f>
        <v>4/21</v>
      </c>
      <c r="AP272" s="154">
        <f>Transport!B20</f>
        <v>107101</v>
      </c>
    </row>
    <row r="273" spans="41:42" x14ac:dyDescent="0.2">
      <c r="AO273" s="153" t="str">
        <f t="shared" si="24"/>
        <v>5/21</v>
      </c>
      <c r="AP273" s="154">
        <f>Transport!B21</f>
        <v>107146</v>
      </c>
    </row>
    <row r="274" spans="41:42" x14ac:dyDescent="0.2">
      <c r="AO274" s="153" t="str">
        <f t="shared" si="24"/>
        <v>6/21</v>
      </c>
      <c r="AP274" s="154">
        <f>Transport!B22</f>
        <v>107140</v>
      </c>
    </row>
    <row r="275" spans="41:42" x14ac:dyDescent="0.2">
      <c r="AO275" s="153" t="str">
        <f t="shared" si="24"/>
        <v>7/21</v>
      </c>
      <c r="AP275" s="154">
        <f>Transport!B23</f>
        <v>107241</v>
      </c>
    </row>
    <row r="276" spans="41:42" x14ac:dyDescent="0.2">
      <c r="AO276" s="153" t="str">
        <f t="shared" si="24"/>
        <v>8/21</v>
      </c>
      <c r="AP276" s="154">
        <f>Transport!B24</f>
        <v>107513</v>
      </c>
    </row>
    <row r="277" spans="41:42" ht="59.25" customHeight="1" x14ac:dyDescent="0.2">
      <c r="AO277" s="153" t="str">
        <f t="shared" si="24"/>
        <v>9/21</v>
      </c>
      <c r="AP277" s="154">
        <f>Transport!B25</f>
        <v>107756</v>
      </c>
    </row>
    <row r="278" spans="41:42" x14ac:dyDescent="0.2">
      <c r="AO278" s="153" t="str">
        <f t="shared" si="24"/>
        <v>10/21</v>
      </c>
      <c r="AP278" s="154">
        <f>Transport!B26</f>
        <v>107747</v>
      </c>
    </row>
    <row r="279" spans="41:42" x14ac:dyDescent="0.2">
      <c r="AO279" s="153" t="str">
        <f t="shared" si="24"/>
        <v>11/21</v>
      </c>
      <c r="AP279" s="154">
        <f>Transport!B27</f>
        <v>108297</v>
      </c>
    </row>
    <row r="280" spans="41:42" x14ac:dyDescent="0.2">
      <c r="AO280" s="153" t="str">
        <f t="shared" si="24"/>
        <v>12/21</v>
      </c>
      <c r="AP280" s="154">
        <f>Transport!B28</f>
        <v>110175</v>
      </c>
    </row>
    <row r="281" spans="41:42" x14ac:dyDescent="0.2">
      <c r="AO281" s="153" t="str">
        <f t="shared" si="24"/>
        <v>1/22</v>
      </c>
      <c r="AP281" s="154">
        <f>Transport!B29</f>
        <v>129231</v>
      </c>
    </row>
    <row r="282" spans="41:42" x14ac:dyDescent="0.2">
      <c r="AO282" s="153" t="str">
        <f t="shared" si="24"/>
        <v>2/22</v>
      </c>
      <c r="AP282" s="154">
        <f>Transport!B30</f>
        <v>132944</v>
      </c>
    </row>
    <row r="283" spans="41:42" x14ac:dyDescent="0.2">
      <c r="AO283" s="153" t="str">
        <f t="shared" si="24"/>
        <v>3/22</v>
      </c>
      <c r="AP283" s="154">
        <f>Transport!B31</f>
        <v>131999</v>
      </c>
    </row>
    <row r="284" spans="41:42" x14ac:dyDescent="0.2">
      <c r="AO284" s="153" t="str">
        <f t="shared" si="24"/>
        <v>4/22</v>
      </c>
      <c r="AP284" s="154">
        <f>Transport!B32</f>
        <v>132272</v>
      </c>
    </row>
    <row r="285" spans="41:42" x14ac:dyDescent="0.2">
      <c r="AO285" s="153" t="str">
        <f t="shared" si="24"/>
        <v>5/22</v>
      </c>
      <c r="AP285" s="154">
        <f>Transport!B33</f>
        <v>132389</v>
      </c>
    </row>
    <row r="286" spans="41:42" x14ac:dyDescent="0.2">
      <c r="AO286" s="153" t="str">
        <f t="shared" si="24"/>
        <v>6/22</v>
      </c>
      <c r="AP286" s="154">
        <f>Transport!B34</f>
        <v>131777</v>
      </c>
    </row>
    <row r="287" spans="41:42" x14ac:dyDescent="0.2">
      <c r="AO287" s="153" t="str">
        <f t="shared" si="24"/>
        <v>7/22</v>
      </c>
      <c r="AP287" s="154">
        <f>Transport!B35</f>
        <v>131723</v>
      </c>
    </row>
    <row r="288" spans="41:42" x14ac:dyDescent="0.2">
      <c r="AO288" s="153" t="str">
        <f t="shared" si="24"/>
        <v>8/22</v>
      </c>
      <c r="AP288" s="154">
        <f>Transport!B36</f>
        <v>130970</v>
      </c>
    </row>
    <row r="289" spans="41:42" x14ac:dyDescent="0.2">
      <c r="AO289" s="153" t="str">
        <f t="shared" si="24"/>
        <v>9/22</v>
      </c>
      <c r="AP289" s="154">
        <f>Transport!B37</f>
        <v>129309</v>
      </c>
    </row>
    <row r="290" spans="41:42" x14ac:dyDescent="0.2">
      <c r="AO290" s="153" t="str">
        <f t="shared" si="24"/>
        <v>10/22</v>
      </c>
      <c r="AP290" s="154">
        <f>Transport!B38</f>
        <v>128887</v>
      </c>
    </row>
    <row r="291" spans="41:42" x14ac:dyDescent="0.2">
      <c r="AO291" s="153" t="str">
        <f t="shared" si="24"/>
        <v>11/22</v>
      </c>
      <c r="AP291" s="154">
        <f>Transport!B39</f>
        <v>128447</v>
      </c>
    </row>
    <row r="292" spans="41:42" x14ac:dyDescent="0.2">
      <c r="AO292" s="153" t="str">
        <f t="shared" si="24"/>
        <v>12/22</v>
      </c>
      <c r="AP292" s="154">
        <f>Transport!B40</f>
        <v>128156</v>
      </c>
    </row>
    <row r="293" spans="41:42" x14ac:dyDescent="0.2">
      <c r="AO293" s="153" t="str">
        <f t="shared" si="24"/>
        <v>1/23</v>
      </c>
      <c r="AP293" s="154">
        <f>Transport!B41</f>
        <v>134089</v>
      </c>
    </row>
    <row r="294" spans="41:42" x14ac:dyDescent="0.2">
      <c r="AO294" s="153" t="str">
        <f t="shared" si="24"/>
        <v>2/23</v>
      </c>
      <c r="AP294" s="154">
        <f>Transport!B42</f>
        <v>135481</v>
      </c>
    </row>
    <row r="295" spans="41:42" x14ac:dyDescent="0.2">
      <c r="AO295" s="153" t="str">
        <f t="shared" si="24"/>
        <v>3/23</v>
      </c>
      <c r="AP295" s="154">
        <f>Transport!B43</f>
        <v>134844</v>
      </c>
    </row>
    <row r="296" spans="41:42" x14ac:dyDescent="0.2">
      <c r="AO296" s="153" t="str">
        <f t="shared" si="24"/>
        <v>4/23</v>
      </c>
      <c r="AP296" s="154">
        <f>Transport!B44</f>
        <v>134470</v>
      </c>
    </row>
    <row r="297" spans="41:42" x14ac:dyDescent="0.2">
      <c r="AO297" s="153" t="str">
        <f t="shared" si="24"/>
        <v>5/23</v>
      </c>
      <c r="AP297" s="154">
        <f>Transport!B45</f>
        <v>134465</v>
      </c>
    </row>
    <row r="298" spans="41:42" x14ac:dyDescent="0.2">
      <c r="AO298" s="153" t="str">
        <f t="shared" si="24"/>
        <v>6/23</v>
      </c>
      <c r="AP298" s="154">
        <f>Transport!B46</f>
        <v>135415</v>
      </c>
    </row>
    <row r="299" spans="41:42" x14ac:dyDescent="0.2">
      <c r="AO299" s="153" t="str">
        <f t="shared" si="24"/>
        <v>7/23</v>
      </c>
      <c r="AP299" s="154">
        <f>Transport!B47</f>
        <v>136235</v>
      </c>
    </row>
    <row r="300" spans="41:42" x14ac:dyDescent="0.2">
      <c r="AO300" s="153" t="str">
        <f t="shared" si="24"/>
        <v>8/23</v>
      </c>
      <c r="AP300" s="154">
        <f>Transport!B48</f>
        <v>136843</v>
      </c>
    </row>
    <row r="301" spans="41:42" x14ac:dyDescent="0.2">
      <c r="AO301" s="153" t="str">
        <f t="shared" si="24"/>
        <v>9/23</v>
      </c>
      <c r="AP301" s="154">
        <f>Transport!B49</f>
        <v>138164</v>
      </c>
    </row>
    <row r="302" spans="41:42" x14ac:dyDescent="0.2">
      <c r="AO302" s="153" t="str">
        <f t="shared" si="24"/>
        <v>10/23</v>
      </c>
      <c r="AP302" s="154">
        <f>Transport!B50</f>
        <v>140994</v>
      </c>
    </row>
    <row r="303" spans="41:42" x14ac:dyDescent="0.2">
      <c r="AO303" s="153" t="str">
        <f t="shared" si="24"/>
        <v>11/23</v>
      </c>
      <c r="AP303" s="154">
        <f>Transport!B51</f>
        <v>142616</v>
      </c>
    </row>
    <row r="304" spans="41:42" x14ac:dyDescent="0.2">
      <c r="AO304" s="153" t="str">
        <f t="shared" si="24"/>
        <v>12/23</v>
      </c>
      <c r="AP304" s="154">
        <f>Transport!B52</f>
        <v>143536</v>
      </c>
    </row>
    <row r="305" spans="41:45" x14ac:dyDescent="0.2">
      <c r="AO305" s="153" t="str">
        <f t="shared" si="24"/>
        <v>1/24</v>
      </c>
      <c r="AP305" s="154">
        <f>Transport!B53</f>
        <v>164688</v>
      </c>
    </row>
    <row r="306" spans="41:45" x14ac:dyDescent="0.2">
      <c r="AO306" s="153" t="str">
        <f t="shared" si="24"/>
        <v>2/24</v>
      </c>
      <c r="AP306" s="154">
        <f>Transport!B54</f>
        <v>164591</v>
      </c>
    </row>
    <row r="307" spans="41:45" x14ac:dyDescent="0.2">
      <c r="AO307" s="153" t="str">
        <f t="shared" si="24"/>
        <v>3/24</v>
      </c>
      <c r="AP307" s="154">
        <f>Transport!B55</f>
        <v>164912</v>
      </c>
    </row>
    <row r="310" spans="41:45" x14ac:dyDescent="0.2">
      <c r="AP310" t="s">
        <v>332</v>
      </c>
      <c r="AS310" s="1" t="s">
        <v>333</v>
      </c>
    </row>
    <row r="311" spans="41:45" x14ac:dyDescent="0.2">
      <c r="AO311" s="121" t="str">
        <f t="shared" ref="AO311:AO328" si="25">$AR27</f>
        <v>10/22</v>
      </c>
      <c r="AP311" s="158" t="e">
        <f>LeastSq!DC25</f>
        <v>#DIV/0!</v>
      </c>
      <c r="AQ311" s="156" t="e">
        <f>AP311</f>
        <v>#DIV/0!</v>
      </c>
      <c r="AS311" s="158" t="e">
        <f>LeastSq!DJ25</f>
        <v>#DIV/0!</v>
      </c>
    </row>
    <row r="312" spans="41:45" ht="12" customHeight="1" x14ac:dyDescent="0.2">
      <c r="AO312" s="121" t="str">
        <f t="shared" si="25"/>
        <v>11/22</v>
      </c>
      <c r="AP312" s="158" t="e">
        <f>LeastSq!DC26</f>
        <v>#DIV/0!</v>
      </c>
      <c r="AQ312" s="156" t="e">
        <f t="shared" ref="AQ312:AQ328" si="26">AP312</f>
        <v>#DIV/0!</v>
      </c>
      <c r="AS312" s="158" t="e">
        <f>LeastSq!DJ26</f>
        <v>#DIV/0!</v>
      </c>
    </row>
    <row r="313" spans="41:45" x14ac:dyDescent="0.2">
      <c r="AO313" s="121" t="str">
        <f t="shared" si="25"/>
        <v>12/22</v>
      </c>
      <c r="AP313" s="158" t="e">
        <f>LeastSq!DC27</f>
        <v>#DIV/0!</v>
      </c>
      <c r="AQ313" s="156" t="e">
        <f t="shared" si="26"/>
        <v>#DIV/0!</v>
      </c>
      <c r="AS313" s="158" t="e">
        <f>LeastSq!DJ27</f>
        <v>#DIV/0!</v>
      </c>
    </row>
    <row r="314" spans="41:45" x14ac:dyDescent="0.2">
      <c r="AO314" s="121" t="str">
        <f t="shared" si="25"/>
        <v>1/23</v>
      </c>
      <c r="AP314" s="158" t="e">
        <f>LeastSq!DC28</f>
        <v>#DIV/0!</v>
      </c>
      <c r="AQ314" s="156" t="e">
        <f t="shared" si="26"/>
        <v>#DIV/0!</v>
      </c>
      <c r="AS314" s="158" t="e">
        <f>LeastSq!DJ28</f>
        <v>#DIV/0!</v>
      </c>
    </row>
    <row r="315" spans="41:45" x14ac:dyDescent="0.2">
      <c r="AO315" s="121" t="str">
        <f t="shared" si="25"/>
        <v>2/23</v>
      </c>
      <c r="AP315" s="158" t="e">
        <f>LeastSq!DC29</f>
        <v>#DIV/0!</v>
      </c>
      <c r="AQ315" s="156" t="e">
        <f t="shared" si="26"/>
        <v>#DIV/0!</v>
      </c>
      <c r="AS315" s="158" t="e">
        <f>LeastSq!DJ29</f>
        <v>#DIV/0!</v>
      </c>
    </row>
    <row r="316" spans="41:45" x14ac:dyDescent="0.2">
      <c r="AO316" s="121" t="str">
        <f t="shared" si="25"/>
        <v>3/23</v>
      </c>
      <c r="AP316" s="158" t="e">
        <f>LeastSq!DC30</f>
        <v>#DIV/0!</v>
      </c>
      <c r="AQ316" s="156" t="e">
        <f t="shared" si="26"/>
        <v>#DIV/0!</v>
      </c>
      <c r="AS316" s="158" t="e">
        <f>LeastSq!DJ30</f>
        <v>#DIV/0!</v>
      </c>
    </row>
    <row r="317" spans="41:45" x14ac:dyDescent="0.2">
      <c r="AO317" s="121" t="str">
        <f t="shared" si="25"/>
        <v>4/23</v>
      </c>
      <c r="AP317" s="158" t="e">
        <f>LeastSq!DC31</f>
        <v>#DIV/0!</v>
      </c>
      <c r="AQ317" s="156" t="e">
        <f t="shared" si="26"/>
        <v>#DIV/0!</v>
      </c>
      <c r="AS317" s="158" t="e">
        <f>LeastSq!DJ31</f>
        <v>#DIV/0!</v>
      </c>
    </row>
    <row r="318" spans="41:45" ht="29.25" customHeight="1" x14ac:dyDescent="0.2">
      <c r="AO318" s="121" t="str">
        <f t="shared" si="25"/>
        <v>5/23</v>
      </c>
      <c r="AP318" s="158" t="e">
        <f>LeastSq!DC32</f>
        <v>#DIV/0!</v>
      </c>
      <c r="AQ318" s="156" t="e">
        <f t="shared" si="26"/>
        <v>#DIV/0!</v>
      </c>
      <c r="AS318" s="158" t="e">
        <f>LeastSq!DJ32</f>
        <v>#DIV/0!</v>
      </c>
    </row>
    <row r="319" spans="41:45" x14ac:dyDescent="0.2">
      <c r="AO319" s="121" t="str">
        <f t="shared" si="25"/>
        <v>6/23</v>
      </c>
      <c r="AP319" s="158" t="e">
        <f ca="1">LeastSq!DC33</f>
        <v>#DIV/0!</v>
      </c>
      <c r="AQ319" s="156" t="e">
        <f t="shared" ca="1" si="26"/>
        <v>#DIV/0!</v>
      </c>
      <c r="AS319" s="158" t="e">
        <f ca="1">LeastSq!DJ33</f>
        <v>#DIV/0!</v>
      </c>
    </row>
    <row r="320" spans="41:45" x14ac:dyDescent="0.2">
      <c r="AO320" s="121" t="str">
        <f t="shared" si="25"/>
        <v>7/23</v>
      </c>
      <c r="AP320" s="158" t="e">
        <f ca="1">LeastSq!DC34</f>
        <v>#DIV/0!</v>
      </c>
      <c r="AQ320" s="156" t="e">
        <f t="shared" ca="1" si="26"/>
        <v>#DIV/0!</v>
      </c>
      <c r="AS320" s="158" t="e">
        <f ca="1">LeastSq!DJ34</f>
        <v>#DIV/0!</v>
      </c>
    </row>
    <row r="321" spans="41:45" x14ac:dyDescent="0.2">
      <c r="AO321" s="121" t="str">
        <f t="shared" si="25"/>
        <v>8/23</v>
      </c>
      <c r="AP321" s="158" t="e">
        <f ca="1">LeastSq!DC35</f>
        <v>#DIV/0!</v>
      </c>
      <c r="AQ321" s="156" t="e">
        <f t="shared" ca="1" si="26"/>
        <v>#DIV/0!</v>
      </c>
      <c r="AS321" s="158" t="e">
        <f ca="1">LeastSq!DJ35</f>
        <v>#DIV/0!</v>
      </c>
    </row>
    <row r="322" spans="41:45" x14ac:dyDescent="0.2">
      <c r="AO322" s="121" t="str">
        <f t="shared" si="25"/>
        <v>9/23</v>
      </c>
      <c r="AP322" s="158" t="e">
        <f ca="1">LeastSq!DC36</f>
        <v>#DIV/0!</v>
      </c>
      <c r="AQ322" s="156" t="e">
        <f t="shared" ca="1" si="26"/>
        <v>#DIV/0!</v>
      </c>
      <c r="AS322" s="158" t="e">
        <f ca="1">LeastSq!DJ36</f>
        <v>#DIV/0!</v>
      </c>
    </row>
    <row r="323" spans="41:45" x14ac:dyDescent="0.2">
      <c r="AO323" s="121" t="str">
        <f t="shared" si="25"/>
        <v>10/23</v>
      </c>
      <c r="AP323" s="158" t="e">
        <f ca="1">LeastSq!DC37</f>
        <v>#DIV/0!</v>
      </c>
      <c r="AQ323" s="156" t="e">
        <f t="shared" ca="1" si="26"/>
        <v>#DIV/0!</v>
      </c>
      <c r="AS323" s="158" t="e">
        <f ca="1">LeastSq!DJ37</f>
        <v>#DIV/0!</v>
      </c>
    </row>
    <row r="324" spans="41:45" x14ac:dyDescent="0.2">
      <c r="AO324" s="121" t="str">
        <f t="shared" si="25"/>
        <v>11/23</v>
      </c>
      <c r="AP324" s="158" t="e">
        <f ca="1">LeastSq!DC38</f>
        <v>#DIV/0!</v>
      </c>
      <c r="AQ324" s="156" t="e">
        <f t="shared" ca="1" si="26"/>
        <v>#DIV/0!</v>
      </c>
      <c r="AS324" s="158" t="e">
        <f ca="1">LeastSq!DJ38</f>
        <v>#DIV/0!</v>
      </c>
    </row>
    <row r="325" spans="41:45" x14ac:dyDescent="0.2">
      <c r="AO325" s="121" t="str">
        <f t="shared" si="25"/>
        <v>12/23</v>
      </c>
      <c r="AP325" s="158" t="e">
        <f ca="1">LeastSq!DC39</f>
        <v>#DIV/0!</v>
      </c>
      <c r="AQ325" s="156" t="e">
        <f t="shared" ca="1" si="26"/>
        <v>#DIV/0!</v>
      </c>
      <c r="AS325" s="158" t="e">
        <f ca="1">LeastSq!DJ39</f>
        <v>#DIV/0!</v>
      </c>
    </row>
    <row r="326" spans="41:45" x14ac:dyDescent="0.2">
      <c r="AO326" s="121" t="str">
        <f t="shared" si="25"/>
        <v>1/24</v>
      </c>
      <c r="AP326" s="158" t="e">
        <f>LeastSq!DC40</f>
        <v>#DIV/0!</v>
      </c>
      <c r="AQ326" s="156" t="e">
        <f t="shared" si="26"/>
        <v>#DIV/0!</v>
      </c>
      <c r="AS326" s="158" t="e">
        <f>LeastSq!DJ40</f>
        <v>#DIV/0!</v>
      </c>
    </row>
    <row r="327" spans="41:45" x14ac:dyDescent="0.2">
      <c r="AO327" s="121" t="str">
        <f t="shared" si="25"/>
        <v>2/24</v>
      </c>
      <c r="AP327" s="158" t="e">
        <f>LeastSq!DC41</f>
        <v>#DIV/0!</v>
      </c>
      <c r="AQ327" s="156" t="e">
        <f t="shared" si="26"/>
        <v>#DIV/0!</v>
      </c>
      <c r="AS327" s="158" t="e">
        <f>LeastSq!DJ41</f>
        <v>#DIV/0!</v>
      </c>
    </row>
    <row r="328" spans="41:45" x14ac:dyDescent="0.2">
      <c r="AO328" s="121" t="str">
        <f t="shared" si="25"/>
        <v>3/24</v>
      </c>
      <c r="AP328" s="158" t="e">
        <f>LeastSq!DC42</f>
        <v>#DIV/0!</v>
      </c>
      <c r="AQ328" s="156" t="e">
        <f t="shared" si="26"/>
        <v>#DIV/0!</v>
      </c>
      <c r="AS328" s="158" t="e">
        <f>LeastSq!DJ42</f>
        <v>#DIV/0!</v>
      </c>
    </row>
    <row r="330" spans="41:45" x14ac:dyDescent="0.2">
      <c r="AO330" t="str">
        <f>LeastSq!DB56</f>
        <v xml:space="preserve"> Trend -&gt;</v>
      </c>
      <c r="AP330" s="126" t="e">
        <f>LeastSq!DC56</f>
        <v>#DIV/0!</v>
      </c>
    </row>
    <row r="331" spans="41:45" x14ac:dyDescent="0.2">
      <c r="AO331" t="str">
        <f>LeastSq!DB57</f>
        <v xml:space="preserve"> String-&gt;</v>
      </c>
      <c r="AP331" t="e">
        <f>LeastSq!DC57</f>
        <v>#DIV/0!</v>
      </c>
    </row>
    <row r="347" spans="13:33" x14ac:dyDescent="0.2">
      <c r="M347" t="e">
        <f>+"Hospital Per Diem Least Square Annual Trend = "&amp;AP331&amp;"&amp;"</f>
        <v>#DIV/0!</v>
      </c>
      <c r="AG347" t="str">
        <f>+"Hospital Per Diem Least Square Annual Trend = "&amp;BI331&amp;"&amp;"</f>
        <v>Hospital Per Diem Least Square Annual Trend = &amp;</v>
      </c>
    </row>
    <row r="359" spans="1:35" x14ac:dyDescent="0.2">
      <c r="M359" t="e">
        <f>+"Hospital Per Diem Trend = "&amp;LeastSq!$DC$57&amp;"%"</f>
        <v>#DIV/0!</v>
      </c>
      <c r="O359" s="126"/>
      <c r="AG359" t="e">
        <f>+"Hospital Per Diem Trend = "&amp;LeastSq!$DC$57&amp;"%"</f>
        <v>#DIV/0!</v>
      </c>
      <c r="AI359" s="126"/>
    </row>
    <row r="363" spans="1:35" x14ac:dyDescent="0.2">
      <c r="A363" t="s">
        <v>377</v>
      </c>
    </row>
  </sheetData>
  <phoneticPr fontId="0" type="noConversion"/>
  <pageMargins left="0.7" right="0.7" top="0.75" bottom="0.75" header="0.3" footer="0.3"/>
  <pageSetup scale="65" orientation="portrait" useFirstPageNumber="1" horizontalDpi="4294967293" verticalDpi="200" r:id="rId1"/>
  <headerFooter alignWithMargins="0">
    <oddFooter>&amp;L&amp;D  &amp;F:  &amp;A    Page &amp;P</oddFooter>
  </headerFooter>
  <rowBreaks count="3" manualBreakCount="3">
    <brk id="88" max="16383" man="1"/>
    <brk id="179" max="16383" man="1"/>
    <brk id="267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92" r:id="rId4" name="Button 24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1</xdr:row>
                    <xdr:rowOff>66675</xdr:rowOff>
                  </from>
                  <to>
                    <xdr:col>19</xdr:col>
                    <xdr:colOff>266700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5" name="Button 25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49</xdr:row>
                    <xdr:rowOff>66675</xdr:rowOff>
                  </from>
                  <to>
                    <xdr:col>19</xdr:col>
                    <xdr:colOff>266700</xdr:colOff>
                    <xdr:row>55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" r:id="rId6" name="Button 33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1</xdr:row>
                    <xdr:rowOff>66675</xdr:rowOff>
                  </from>
                  <to>
                    <xdr:col>39</xdr:col>
                    <xdr:colOff>257175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" r:id="rId7" name="Button 34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49</xdr:row>
                    <xdr:rowOff>66675</xdr:rowOff>
                  </from>
                  <to>
                    <xdr:col>39</xdr:col>
                    <xdr:colOff>257175</xdr:colOff>
                    <xdr:row>55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3" r:id="rId8" name="Button 35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90</xdr:row>
                    <xdr:rowOff>66675</xdr:rowOff>
                  </from>
                  <to>
                    <xdr:col>39</xdr:col>
                    <xdr:colOff>257175</xdr:colOff>
                    <xdr:row>96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4" r:id="rId9" name="Button 36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134</xdr:row>
                    <xdr:rowOff>66675</xdr:rowOff>
                  </from>
                  <to>
                    <xdr:col>39</xdr:col>
                    <xdr:colOff>257175</xdr:colOff>
                    <xdr:row>141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5" r:id="rId10" name="Button 37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181</xdr:row>
                    <xdr:rowOff>66675</xdr:rowOff>
                  </from>
                  <to>
                    <xdr:col>39</xdr:col>
                    <xdr:colOff>257175</xdr:colOff>
                    <xdr:row>188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" r:id="rId11" name="Button 38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228</xdr:row>
                    <xdr:rowOff>66675</xdr:rowOff>
                  </from>
                  <to>
                    <xdr:col>39</xdr:col>
                    <xdr:colOff>257175</xdr:colOff>
                    <xdr:row>235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7" r:id="rId12" name="Button 39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269</xdr:row>
                    <xdr:rowOff>66675</xdr:rowOff>
                  </from>
                  <to>
                    <xdr:col>39</xdr:col>
                    <xdr:colOff>257175</xdr:colOff>
                    <xdr:row>276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8" r:id="rId13" name="Button 40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313</xdr:row>
                    <xdr:rowOff>66675</xdr:rowOff>
                  </from>
                  <to>
                    <xdr:col>39</xdr:col>
                    <xdr:colOff>257175</xdr:colOff>
                    <xdr:row>320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9" r:id="rId14" name="Button 41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90</xdr:row>
                    <xdr:rowOff>66675</xdr:rowOff>
                  </from>
                  <to>
                    <xdr:col>19</xdr:col>
                    <xdr:colOff>266700</xdr:colOff>
                    <xdr:row>96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0" r:id="rId15" name="Button 42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134</xdr:row>
                    <xdr:rowOff>66675</xdr:rowOff>
                  </from>
                  <to>
                    <xdr:col>19</xdr:col>
                    <xdr:colOff>266700</xdr:colOff>
                    <xdr:row>141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1" r:id="rId16" name="Button 43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181</xdr:row>
                    <xdr:rowOff>66675</xdr:rowOff>
                  </from>
                  <to>
                    <xdr:col>19</xdr:col>
                    <xdr:colOff>266700</xdr:colOff>
                    <xdr:row>188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2" r:id="rId17" name="Button 44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228</xdr:row>
                    <xdr:rowOff>66675</xdr:rowOff>
                  </from>
                  <to>
                    <xdr:col>19</xdr:col>
                    <xdr:colOff>266700</xdr:colOff>
                    <xdr:row>235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3" r:id="rId18" name="Button 45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268</xdr:row>
                    <xdr:rowOff>66675</xdr:rowOff>
                  </from>
                  <to>
                    <xdr:col>19</xdr:col>
                    <xdr:colOff>266700</xdr:colOff>
                    <xdr:row>275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4" r:id="rId19" name="Button 46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312</xdr:row>
                    <xdr:rowOff>66675</xdr:rowOff>
                  </from>
                  <to>
                    <xdr:col>19</xdr:col>
                    <xdr:colOff>266700</xdr:colOff>
                    <xdr:row>319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0" r:id="rId20" name="Button 52">
              <controlPr defaultSize="0" print="0" autoFill="0" autoPict="0" macro="[0]!ChartFixChart">
                <anchor moveWithCells="1" sizeWithCells="1">
                  <from>
                    <xdr:col>18</xdr:col>
                    <xdr:colOff>66675</xdr:colOff>
                    <xdr:row>9</xdr:row>
                    <xdr:rowOff>0</xdr:rowOff>
                  </from>
                  <to>
                    <xdr:col>19</xdr:col>
                    <xdr:colOff>228600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1" r:id="rId21" name="Button 53">
              <controlPr defaultSize="0" print="0" autoFill="0" autoPict="0" macro="[0]!ChartFix">
                <anchor moveWithCells="1" sizeWithCells="1">
                  <from>
                    <xdr:col>38</xdr:col>
                    <xdr:colOff>66675</xdr:colOff>
                    <xdr:row>9</xdr:row>
                    <xdr:rowOff>0</xdr:rowOff>
                  </from>
                  <to>
                    <xdr:col>39</xdr:col>
                    <xdr:colOff>228600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2" r:id="rId22" name="Button 54">
              <controlPr defaultSize="0" print="0" autoFill="0" autoPict="0" macro="[0]!ChartFixChart">
                <anchor moveWithCells="1" sizeWithCells="1">
                  <from>
                    <xdr:col>18</xdr:col>
                    <xdr:colOff>66675</xdr:colOff>
                    <xdr:row>158</xdr:row>
                    <xdr:rowOff>0</xdr:rowOff>
                  </from>
                  <to>
                    <xdr:col>19</xdr:col>
                    <xdr:colOff>228600</xdr:colOff>
                    <xdr:row>163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3" r:id="rId23" name="Button 55">
              <controlPr defaultSize="0" print="0" autoFill="0" autoPict="0" macro="[0]!ChartFix">
                <anchor moveWithCells="1" sizeWithCells="1">
                  <from>
                    <xdr:col>38</xdr:col>
                    <xdr:colOff>66675</xdr:colOff>
                    <xdr:row>107</xdr:row>
                    <xdr:rowOff>0</xdr:rowOff>
                  </from>
                  <to>
                    <xdr:col>39</xdr:col>
                    <xdr:colOff>228600</xdr:colOff>
                    <xdr:row>112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5" r:id="rId24" name="Button 57">
              <controlPr defaultSize="0" print="0" autoFill="0" autoPict="0" macro="[0]!ChartFix">
                <anchor moveWithCells="1" sizeWithCells="1">
                  <from>
                    <xdr:col>38</xdr:col>
                    <xdr:colOff>66675</xdr:colOff>
                    <xdr:row>107</xdr:row>
                    <xdr:rowOff>0</xdr:rowOff>
                  </from>
                  <to>
                    <xdr:col>39</xdr:col>
                    <xdr:colOff>228600</xdr:colOff>
                    <xdr:row>112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9" r:id="rId25" name="Button 61">
              <controlPr defaultSize="0" print="0" autoFill="0" autoPict="0" macro="[0]!ChartFix">
                <anchor moveWithCells="1" sizeWithCells="1">
                  <from>
                    <xdr:col>38</xdr:col>
                    <xdr:colOff>66675</xdr:colOff>
                    <xdr:row>107</xdr:row>
                    <xdr:rowOff>0</xdr:rowOff>
                  </from>
                  <to>
                    <xdr:col>39</xdr:col>
                    <xdr:colOff>228600</xdr:colOff>
                    <xdr:row>112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0" r:id="rId26" name="Button 62">
              <controlPr defaultSize="0" print="0" autoFill="0" autoPict="0" macro="[0]!ChartFix">
                <anchor moveWithCells="1" sizeWithCells="1">
                  <from>
                    <xdr:col>38</xdr:col>
                    <xdr:colOff>66675</xdr:colOff>
                    <xdr:row>107</xdr:row>
                    <xdr:rowOff>0</xdr:rowOff>
                  </from>
                  <to>
                    <xdr:col>39</xdr:col>
                    <xdr:colOff>228600</xdr:colOff>
                    <xdr:row>112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1" r:id="rId27" name="Button 63">
              <controlPr defaultSize="0" print="0" autoFill="0" autoPict="0" macro="[0]!ChartFix">
                <anchor moveWithCells="1" sizeWithCells="1">
                  <from>
                    <xdr:col>38</xdr:col>
                    <xdr:colOff>66675</xdr:colOff>
                    <xdr:row>107</xdr:row>
                    <xdr:rowOff>0</xdr:rowOff>
                  </from>
                  <to>
                    <xdr:col>39</xdr:col>
                    <xdr:colOff>228600</xdr:colOff>
                    <xdr:row>112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indexed="38"/>
  </sheetPr>
  <dimension ref="A1:V446"/>
  <sheetViews>
    <sheetView view="pageBreakPreview" zoomScale="80" zoomScaleNormal="100" zoomScaleSheetLayoutView="80" workbookViewId="0"/>
  </sheetViews>
  <sheetFormatPr defaultRowHeight="11.25" x14ac:dyDescent="0.2"/>
  <cols>
    <col min="11" max="11" width="13" customWidth="1"/>
    <col min="12" max="12" width="8.83203125" customWidth="1"/>
    <col min="13" max="13" width="8.1640625" customWidth="1"/>
    <col min="16" max="16" width="8.1640625" customWidth="1"/>
    <col min="17" max="17" width="9.6640625" customWidth="1"/>
  </cols>
  <sheetData>
    <row r="1" spans="1:20" ht="15.75" x14ac:dyDescent="0.25">
      <c r="A1" s="303" t="str">
        <f>Data!$C$1</f>
        <v>Allied Pacific (APC Commerical)</v>
      </c>
      <c r="T1" t="s">
        <v>750</v>
      </c>
    </row>
    <row r="3" spans="1:20" x14ac:dyDescent="0.2">
      <c r="T3" t="s">
        <v>751</v>
      </c>
    </row>
    <row r="4" spans="1:20" x14ac:dyDescent="0.2">
      <c r="T4" t="s">
        <v>752</v>
      </c>
    </row>
    <row r="50" spans="1:22" x14ac:dyDescent="0.2">
      <c r="L50" s="9" t="s">
        <v>1020</v>
      </c>
      <c r="M50" s="453"/>
      <c r="N50" s="11"/>
      <c r="O50" s="286" t="s">
        <v>1021</v>
      </c>
      <c r="P50" s="453"/>
      <c r="Q50" s="11"/>
    </row>
    <row r="51" spans="1:22" x14ac:dyDescent="0.2">
      <c r="J51" s="50" t="s">
        <v>618</v>
      </c>
      <c r="K51" s="227"/>
      <c r="L51" s="29" t="s">
        <v>260</v>
      </c>
      <c r="M51" s="29" t="s">
        <v>236</v>
      </c>
      <c r="O51" s="29" t="s">
        <v>260</v>
      </c>
      <c r="P51" s="29" t="s">
        <v>236</v>
      </c>
      <c r="T51" s="304" t="s">
        <v>631</v>
      </c>
      <c r="U51" s="29" t="s">
        <v>260</v>
      </c>
      <c r="V51" s="29" t="s">
        <v>236</v>
      </c>
    </row>
    <row r="52" spans="1:22" x14ac:dyDescent="0.2">
      <c r="J52" s="277" t="str">
        <f ca="1">LeastSq!$D$18</f>
        <v xml:space="preserve">36 Mo Lst Sq </v>
      </c>
      <c r="K52" s="277"/>
      <c r="L52" s="278">
        <f ca="1">Charts!$N$45</f>
        <v>-1.4099891847602519E-2</v>
      </c>
      <c r="M52" s="278">
        <f ca="1">Charts!$O$45</f>
        <v>-1.4099891847602519E-2</v>
      </c>
      <c r="N52" s="560"/>
      <c r="O52" s="278">
        <f ca="1">LeastSq!$G$11</f>
        <v>-2.0919267130664165E-2</v>
      </c>
      <c r="P52" s="278">
        <f ca="1">LeastSq!$H$11</f>
        <v>-2.0919267130664165E-2</v>
      </c>
      <c r="T52" s="7" t="s">
        <v>616</v>
      </c>
      <c r="U52" s="147">
        <f ca="1">Trends!G30</f>
        <v>-1.1264288987076782E-2</v>
      </c>
      <c r="V52" s="147">
        <f ca="1">Trends!Y30</f>
        <v>-1.1264288987076782E-2</v>
      </c>
    </row>
    <row r="53" spans="1:22" x14ac:dyDescent="0.2">
      <c r="J53" s="285" t="str">
        <f ca="1">LeastSq!$D$19</f>
        <v>24 Mo Lst Sq</v>
      </c>
      <c r="K53" s="285"/>
      <c r="L53" s="279">
        <f ca="1">Charts!$N$46</f>
        <v>4.525994112568732E-2</v>
      </c>
      <c r="M53" s="279">
        <f ca="1">Charts!$O$46</f>
        <v>4.525994112568732E-2</v>
      </c>
      <c r="N53" s="453"/>
      <c r="O53" s="279">
        <f ca="1">LeastSq!$G$12</f>
        <v>3.333535781468E-2</v>
      </c>
      <c r="P53" s="279">
        <f ca="1">LeastSq!$H$12</f>
        <v>3.333535781468E-2</v>
      </c>
      <c r="T53" s="10" t="s">
        <v>617</v>
      </c>
      <c r="U53" s="148">
        <f ca="1">Trends!F30</f>
        <v>-1.4571234481074622E-2</v>
      </c>
      <c r="V53" s="148">
        <f ca="1">Trends!X30</f>
        <v>-1.4571234481074622E-2</v>
      </c>
    </row>
    <row r="54" spans="1:22" x14ac:dyDescent="0.2">
      <c r="J54" s="285" t="str">
        <f ca="1">LeastSq!$D$20</f>
        <v>18 Mo Lst Sq</v>
      </c>
      <c r="K54" s="285"/>
      <c r="L54" s="279">
        <f ca="1">Charts!$N$47</f>
        <v>1.5244520117340787E-2</v>
      </c>
      <c r="M54" s="279">
        <f ca="1">Charts!$O$47</f>
        <v>1.5244520117340787E-2</v>
      </c>
      <c r="N54" s="453"/>
      <c r="O54" s="279">
        <f ca="1">LeastSq!$G$13</f>
        <v>2.6130065129465363E-2</v>
      </c>
      <c r="P54" s="279">
        <f ca="1">LeastSq!$H$13</f>
        <v>2.6130065129465363E-2</v>
      </c>
      <c r="T54" s="10" t="s">
        <v>234</v>
      </c>
      <c r="U54" s="148">
        <f ca="1">Trends!E30</f>
        <v>-7.1988574007393188E-3</v>
      </c>
      <c r="V54" s="148">
        <f ca="1">Trends!W30</f>
        <v>-7.1988574007393188E-3</v>
      </c>
    </row>
    <row r="55" spans="1:22" x14ac:dyDescent="0.2">
      <c r="J55" s="285" t="str">
        <f ca="1">LeastSq!$D$21</f>
        <v>12 Mo Lst Sq</v>
      </c>
      <c r="K55" s="285"/>
      <c r="L55" s="279">
        <f ca="1">Charts!$N$48</f>
        <v>6.3464240804477656E-2</v>
      </c>
      <c r="M55" s="279">
        <f ca="1">Charts!$O$48</f>
        <v>6.3464240804477656E-2</v>
      </c>
      <c r="N55" s="453"/>
      <c r="O55" s="279">
        <f ca="1">LeastSq!$G$14</f>
        <v>5.7676941854371666E-2</v>
      </c>
      <c r="P55" s="279">
        <f ca="1">LeastSq!$H$14</f>
        <v>5.7676941854371666E-2</v>
      </c>
    </row>
    <row r="56" spans="1:22" ht="15.75" x14ac:dyDescent="0.25">
      <c r="A56" s="303" t="str">
        <f>Data!$C$1</f>
        <v>Allied Pacific (APC Commerical)</v>
      </c>
    </row>
    <row r="105" spans="1:17" x14ac:dyDescent="0.2">
      <c r="L105" s="9" t="s">
        <v>1020</v>
      </c>
      <c r="M105" s="453"/>
      <c r="N105" s="11"/>
      <c r="O105" s="286" t="s">
        <v>1021</v>
      </c>
      <c r="P105" s="453"/>
      <c r="Q105" s="11"/>
    </row>
    <row r="106" spans="1:17" x14ac:dyDescent="0.2">
      <c r="J106" s="50" t="s">
        <v>618</v>
      </c>
      <c r="K106" s="227"/>
      <c r="L106" s="29" t="s">
        <v>260</v>
      </c>
      <c r="M106" s="29" t="s">
        <v>236</v>
      </c>
      <c r="O106" s="29" t="s">
        <v>260</v>
      </c>
      <c r="P106" s="29" t="s">
        <v>236</v>
      </c>
    </row>
    <row r="107" spans="1:17" x14ac:dyDescent="0.2">
      <c r="J107" s="277" t="str">
        <f ca="1">LeastSq!$D$18</f>
        <v xml:space="preserve">36 Mo Lst Sq </v>
      </c>
      <c r="K107" s="277"/>
      <c r="L107" s="278">
        <f ca="1">Charts!$N$45</f>
        <v>-1.4099891847602519E-2</v>
      </c>
      <c r="M107" s="278">
        <f ca="1">Charts!$O$45</f>
        <v>-1.4099891847602519E-2</v>
      </c>
      <c r="N107" s="560"/>
      <c r="O107" s="278">
        <f ca="1">LeastSq!$G$11</f>
        <v>-2.0919267130664165E-2</v>
      </c>
      <c r="P107" s="278">
        <f ca="1">LeastSq!$H$11</f>
        <v>-2.0919267130664165E-2</v>
      </c>
    </row>
    <row r="108" spans="1:17" x14ac:dyDescent="0.2">
      <c r="J108" s="285" t="str">
        <f ca="1">LeastSq!$D$19</f>
        <v>24 Mo Lst Sq</v>
      </c>
      <c r="K108" s="285"/>
      <c r="L108" s="279">
        <f ca="1">Charts!$N$46</f>
        <v>4.525994112568732E-2</v>
      </c>
      <c r="M108" s="279">
        <f ca="1">Charts!$O$46</f>
        <v>4.525994112568732E-2</v>
      </c>
      <c r="N108" s="453"/>
      <c r="O108" s="279">
        <f ca="1">LeastSq!$G$12</f>
        <v>3.333535781468E-2</v>
      </c>
      <c r="P108" s="279">
        <f ca="1">LeastSq!$H$12</f>
        <v>3.333535781468E-2</v>
      </c>
    </row>
    <row r="109" spans="1:17" x14ac:dyDescent="0.2">
      <c r="J109" s="285" t="str">
        <f ca="1">LeastSq!$D$20</f>
        <v>18 Mo Lst Sq</v>
      </c>
      <c r="K109" s="285"/>
      <c r="L109" s="279">
        <f ca="1">Charts!$N$47</f>
        <v>1.5244520117340787E-2</v>
      </c>
      <c r="M109" s="279">
        <f ca="1">Charts!$O$47</f>
        <v>1.5244520117340787E-2</v>
      </c>
      <c r="N109" s="453"/>
      <c r="O109" s="279">
        <f ca="1">LeastSq!$G$13</f>
        <v>2.6130065129465363E-2</v>
      </c>
      <c r="P109" s="279">
        <f ca="1">LeastSq!$H$13</f>
        <v>2.6130065129465363E-2</v>
      </c>
    </row>
    <row r="110" spans="1:17" x14ac:dyDescent="0.2">
      <c r="J110" s="285" t="str">
        <f ca="1">LeastSq!$D$21</f>
        <v>12 Mo Lst Sq</v>
      </c>
      <c r="K110" s="285"/>
      <c r="L110" s="279">
        <f ca="1">Charts!$N$48</f>
        <v>6.3464240804477656E-2</v>
      </c>
      <c r="M110" s="279">
        <f ca="1">Charts!$O$48</f>
        <v>6.3464240804477656E-2</v>
      </c>
      <c r="N110" s="453"/>
      <c r="O110" s="279">
        <f ca="1">LeastSq!$G$14</f>
        <v>5.7676941854371666E-2</v>
      </c>
      <c r="P110" s="279">
        <f ca="1">LeastSq!$H$14</f>
        <v>5.7676941854371666E-2</v>
      </c>
    </row>
    <row r="111" spans="1:17" ht="15.75" x14ac:dyDescent="0.25">
      <c r="A111" s="303" t="str">
        <f>Data!$C$1</f>
        <v>Allied Pacific (APC Commerical)</v>
      </c>
      <c r="J111" s="580"/>
      <c r="K111" s="580"/>
      <c r="L111" s="581"/>
      <c r="M111" s="581"/>
      <c r="N111" s="512"/>
      <c r="O111" s="581"/>
      <c r="P111" s="581"/>
    </row>
    <row r="113" spans="19:19" x14ac:dyDescent="0.2">
      <c r="S113" t="s">
        <v>749</v>
      </c>
    </row>
    <row r="159" spans="10:17" x14ac:dyDescent="0.2">
      <c r="L159" s="9" t="s">
        <v>1020</v>
      </c>
      <c r="M159" s="453"/>
      <c r="N159" s="11"/>
      <c r="O159" s="286" t="s">
        <v>1021</v>
      </c>
      <c r="P159" s="453"/>
      <c r="Q159" s="11"/>
    </row>
    <row r="160" spans="10:17" x14ac:dyDescent="0.2">
      <c r="J160" s="50" t="s">
        <v>618</v>
      </c>
      <c r="K160" s="227"/>
      <c r="L160" s="29" t="s">
        <v>260</v>
      </c>
      <c r="M160" s="29" t="s">
        <v>236</v>
      </c>
      <c r="O160" s="29" t="s">
        <v>260</v>
      </c>
      <c r="P160" s="29" t="s">
        <v>236</v>
      </c>
    </row>
    <row r="161" spans="1:16" x14ac:dyDescent="0.2">
      <c r="A161" s="50"/>
      <c r="B161" s="227"/>
      <c r="C161" s="29"/>
      <c r="D161" s="29"/>
      <c r="F161" s="304"/>
      <c r="G161" s="29"/>
      <c r="H161" s="29"/>
      <c r="J161" s="277" t="str">
        <f ca="1">LeastSq!$D$18</f>
        <v xml:space="preserve">36 Mo Lst Sq </v>
      </c>
      <c r="K161" s="277"/>
      <c r="L161" s="278">
        <f ca="1">Charts!$N$45</f>
        <v>-1.4099891847602519E-2</v>
      </c>
      <c r="M161" s="278">
        <f ca="1">Charts!$O$45</f>
        <v>-1.4099891847602519E-2</v>
      </c>
      <c r="N161" s="560"/>
      <c r="O161" s="278">
        <f ca="1">LeastSq!$G$11</f>
        <v>-2.0919267130664165E-2</v>
      </c>
      <c r="P161" s="278">
        <f ca="1">LeastSq!$H$11</f>
        <v>-2.0919267130664165E-2</v>
      </c>
    </row>
    <row r="162" spans="1:16" x14ac:dyDescent="0.2">
      <c r="A162" s="284"/>
      <c r="B162" s="284"/>
      <c r="C162" s="466"/>
      <c r="D162" s="466"/>
      <c r="G162" s="67"/>
      <c r="H162" s="67"/>
      <c r="J162" s="285" t="str">
        <f ca="1">LeastSq!$D$19</f>
        <v>24 Mo Lst Sq</v>
      </c>
      <c r="K162" s="285"/>
      <c r="L162" s="279">
        <f ca="1">Charts!$N$46</f>
        <v>4.525994112568732E-2</v>
      </c>
      <c r="M162" s="279">
        <f ca="1">Charts!$O$46</f>
        <v>4.525994112568732E-2</v>
      </c>
      <c r="N162" s="453"/>
      <c r="O162" s="279">
        <f ca="1">LeastSq!$G$12</f>
        <v>3.333535781468E-2</v>
      </c>
      <c r="P162" s="279">
        <f ca="1">LeastSq!$H$12</f>
        <v>3.333535781468E-2</v>
      </c>
    </row>
    <row r="163" spans="1:16" x14ac:dyDescent="0.2">
      <c r="A163" s="284"/>
      <c r="B163" s="284"/>
      <c r="C163" s="466"/>
      <c r="D163" s="466"/>
      <c r="G163" s="67"/>
      <c r="H163" s="67"/>
      <c r="J163" s="285" t="str">
        <f ca="1">LeastSq!$D$20</f>
        <v>18 Mo Lst Sq</v>
      </c>
      <c r="K163" s="285"/>
      <c r="L163" s="279">
        <f ca="1">Charts!$N$47</f>
        <v>1.5244520117340787E-2</v>
      </c>
      <c r="M163" s="279">
        <f ca="1">Charts!$O$47</f>
        <v>1.5244520117340787E-2</v>
      </c>
      <c r="N163" s="453"/>
      <c r="O163" s="279">
        <f ca="1">LeastSq!$G$13</f>
        <v>2.6130065129465363E-2</v>
      </c>
      <c r="P163" s="279">
        <f ca="1">LeastSq!$H$13</f>
        <v>2.6130065129465363E-2</v>
      </c>
    </row>
    <row r="164" spans="1:16" x14ac:dyDescent="0.2">
      <c r="A164" s="284"/>
      <c r="B164" s="284"/>
      <c r="C164" s="466"/>
      <c r="D164" s="466"/>
      <c r="G164" s="67"/>
      <c r="H164" s="67"/>
      <c r="J164" s="285" t="str">
        <f ca="1">LeastSq!$D$21</f>
        <v>12 Mo Lst Sq</v>
      </c>
      <c r="K164" s="285"/>
      <c r="L164" s="279">
        <f ca="1">Charts!$N$48</f>
        <v>6.3464240804477656E-2</v>
      </c>
      <c r="M164" s="279">
        <f ca="1">Charts!$O$48</f>
        <v>6.3464240804477656E-2</v>
      </c>
      <c r="N164" s="453"/>
      <c r="O164" s="279">
        <f ca="1">LeastSq!$G$14</f>
        <v>5.7676941854371666E-2</v>
      </c>
      <c r="P164" s="279">
        <f ca="1">LeastSq!$H$14</f>
        <v>5.7676941854371666E-2</v>
      </c>
    </row>
    <row r="166" spans="1:16" ht="15.75" x14ac:dyDescent="0.25">
      <c r="A166" s="303" t="str">
        <f>Data!$C$1</f>
        <v>Allied Pacific (APC Commerical)</v>
      </c>
    </row>
    <row r="215" spans="1:17" x14ac:dyDescent="0.2">
      <c r="L215" s="9" t="s">
        <v>1020</v>
      </c>
      <c r="M215" s="453"/>
      <c r="N215" s="11"/>
      <c r="O215" s="286" t="s">
        <v>1021</v>
      </c>
      <c r="P215" s="453"/>
      <c r="Q215" s="11"/>
    </row>
    <row r="216" spans="1:17" x14ac:dyDescent="0.2">
      <c r="J216" s="50" t="s">
        <v>618</v>
      </c>
      <c r="K216" s="227"/>
      <c r="L216" s="29" t="s">
        <v>260</v>
      </c>
      <c r="M216" s="29" t="s">
        <v>236</v>
      </c>
      <c r="O216" s="29" t="s">
        <v>260</v>
      </c>
      <c r="P216" s="29" t="s">
        <v>236</v>
      </c>
    </row>
    <row r="217" spans="1:17" x14ac:dyDescent="0.2">
      <c r="J217" s="277" t="str">
        <f ca="1">LeastSq!$D$18</f>
        <v xml:space="preserve">36 Mo Lst Sq </v>
      </c>
      <c r="K217" s="277"/>
      <c r="L217" s="278">
        <f ca="1">Charts!$N$45</f>
        <v>-1.4099891847602519E-2</v>
      </c>
      <c r="M217" s="278">
        <f ca="1">Charts!$O$45</f>
        <v>-1.4099891847602519E-2</v>
      </c>
      <c r="N217" s="560"/>
      <c r="O217" s="278">
        <f ca="1">LeastSq!$G$11</f>
        <v>-2.0919267130664165E-2</v>
      </c>
      <c r="P217" s="278">
        <f ca="1">LeastSq!$H$11</f>
        <v>-2.0919267130664165E-2</v>
      </c>
    </row>
    <row r="218" spans="1:17" x14ac:dyDescent="0.2">
      <c r="J218" s="285" t="str">
        <f ca="1">LeastSq!$D$19</f>
        <v>24 Mo Lst Sq</v>
      </c>
      <c r="K218" s="285"/>
      <c r="L218" s="279">
        <f ca="1">Charts!$N$46</f>
        <v>4.525994112568732E-2</v>
      </c>
      <c r="M218" s="279">
        <f ca="1">Charts!$O$46</f>
        <v>4.525994112568732E-2</v>
      </c>
      <c r="N218" s="453"/>
      <c r="O218" s="279">
        <f ca="1">LeastSq!$G$12</f>
        <v>3.333535781468E-2</v>
      </c>
      <c r="P218" s="279">
        <f ca="1">LeastSq!$H$12</f>
        <v>3.333535781468E-2</v>
      </c>
    </row>
    <row r="219" spans="1:17" x14ac:dyDescent="0.2">
      <c r="J219" s="285" t="str">
        <f ca="1">LeastSq!$D$20</f>
        <v>18 Mo Lst Sq</v>
      </c>
      <c r="K219" s="285"/>
      <c r="L219" s="279">
        <f ca="1">Charts!$N$47</f>
        <v>1.5244520117340787E-2</v>
      </c>
      <c r="M219" s="279">
        <f ca="1">Charts!$O$47</f>
        <v>1.5244520117340787E-2</v>
      </c>
      <c r="N219" s="453"/>
      <c r="O219" s="279">
        <f ca="1">LeastSq!$G$13</f>
        <v>2.6130065129465363E-2</v>
      </c>
      <c r="P219" s="279">
        <f ca="1">LeastSq!$H$13</f>
        <v>2.6130065129465363E-2</v>
      </c>
    </row>
    <row r="220" spans="1:17" x14ac:dyDescent="0.2">
      <c r="J220" s="285" t="str">
        <f ca="1">LeastSq!$D$21</f>
        <v>12 Mo Lst Sq</v>
      </c>
      <c r="K220" s="285"/>
      <c r="L220" s="279">
        <f ca="1">Charts!$N$48</f>
        <v>6.3464240804477656E-2</v>
      </c>
      <c r="M220" s="279">
        <f ca="1">Charts!$O$48</f>
        <v>6.3464240804477656E-2</v>
      </c>
      <c r="N220" s="453"/>
      <c r="O220" s="279">
        <f ca="1">LeastSq!$G$14</f>
        <v>5.7676941854371666E-2</v>
      </c>
      <c r="P220" s="279">
        <f ca="1">LeastSq!$H$14</f>
        <v>5.7676941854371666E-2</v>
      </c>
    </row>
    <row r="223" spans="1:17" x14ac:dyDescent="0.2">
      <c r="A223" s="3"/>
    </row>
    <row r="227" spans="1:1" ht="15.75" x14ac:dyDescent="0.25">
      <c r="A227" s="303"/>
    </row>
    <row r="278" spans="1:17" x14ac:dyDescent="0.2">
      <c r="J278" s="50"/>
      <c r="K278" s="227"/>
      <c r="L278" s="29"/>
      <c r="M278" s="29"/>
      <c r="O278" s="304"/>
      <c r="P278" s="29"/>
      <c r="Q278" s="29"/>
    </row>
    <row r="279" spans="1:17" x14ac:dyDescent="0.2">
      <c r="J279" s="277"/>
      <c r="K279" s="277"/>
      <c r="L279" s="278"/>
      <c r="M279" s="278"/>
      <c r="O279" s="7"/>
      <c r="P279" s="147"/>
      <c r="Q279" s="147"/>
    </row>
    <row r="282" spans="1:17" ht="15.75" x14ac:dyDescent="0.25">
      <c r="A282" s="303"/>
    </row>
    <row r="333" spans="10:17" x14ac:dyDescent="0.2">
      <c r="J333" s="50"/>
      <c r="K333" s="227"/>
      <c r="L333" s="29"/>
      <c r="M333" s="29"/>
      <c r="O333" s="304"/>
      <c r="P333" s="29"/>
      <c r="Q333" s="29"/>
    </row>
    <row r="340" spans="1:1" ht="15.75" x14ac:dyDescent="0.25">
      <c r="A340" s="303"/>
    </row>
    <row r="395" spans="1:1" ht="15.75" x14ac:dyDescent="0.25">
      <c r="A395" s="303"/>
    </row>
    <row r="446" spans="10:17" x14ac:dyDescent="0.2">
      <c r="J446" s="50"/>
      <c r="K446" s="227"/>
      <c r="L446" s="29"/>
      <c r="M446" s="29"/>
      <c r="O446" s="304"/>
      <c r="P446" s="29"/>
      <c r="Q446" s="29"/>
    </row>
  </sheetData>
  <phoneticPr fontId="29" type="noConversion"/>
  <pageMargins left="0.5" right="0.5" top="0.25" bottom="0.25" header="0.5" footer="0.25"/>
  <pageSetup firstPageNumber="9" orientation="landscape" useFirstPageNumber="1" horizontalDpi="4294967293" verticalDpi="1200" r:id="rId1"/>
  <headerFooter alignWithMargins="0">
    <oddFooter>&amp;L&amp;D  &amp;F:  &amp;A  Page &amp;P</oddFooter>
  </headerFooter>
  <rowBreaks count="3" manualBreakCount="3">
    <brk id="55" max="16" man="1"/>
    <brk id="165" max="16" man="1"/>
    <brk id="28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9" r:id="rId4" name="Button 19">
              <controlPr defaultSize="0" print="0" autoFill="0" autoPict="0" macro="[0]!ChartFixChart">
                <anchor moveWithCells="1" sizeWithCells="1">
                  <from>
                    <xdr:col>17</xdr:col>
                    <xdr:colOff>523875</xdr:colOff>
                    <xdr:row>6</xdr:row>
                    <xdr:rowOff>57150</xdr:rowOff>
                  </from>
                  <to>
                    <xdr:col>19</xdr:col>
                    <xdr:colOff>209550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0" r:id="rId5" name="Button 20">
              <controlPr defaultSize="0" print="0" autoFill="0" autoPict="0" macro="[0]!PrintBox">
                <anchor moveWithCells="1" sizeWithCells="1">
                  <from>
                    <xdr:col>17</xdr:col>
                    <xdr:colOff>514350</xdr:colOff>
                    <xdr:row>13</xdr:row>
                    <xdr:rowOff>28575</xdr:rowOff>
                  </from>
                  <to>
                    <xdr:col>19</xdr:col>
                    <xdr:colOff>238125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>
    <tabColor rgb="FFFFFF00"/>
  </sheetPr>
  <dimension ref="A1:AB227"/>
  <sheetViews>
    <sheetView zoomScaleNormal="100" workbookViewId="0"/>
  </sheetViews>
  <sheetFormatPr defaultRowHeight="11.25" x14ac:dyDescent="0.2"/>
  <cols>
    <col min="1" max="1" width="12.1640625" customWidth="1"/>
    <col min="2" max="2" width="11.5" customWidth="1"/>
    <col min="3" max="3" width="12.83203125" customWidth="1"/>
    <col min="4" max="4" width="7.6640625" customWidth="1"/>
    <col min="5" max="5" width="13.1640625" customWidth="1"/>
    <col min="6" max="6" width="6.5" customWidth="1"/>
    <col min="7" max="7" width="6.33203125" customWidth="1"/>
    <col min="8" max="8" width="6" customWidth="1"/>
    <col min="11" max="11" width="13" customWidth="1"/>
    <col min="14" max="14" width="8" customWidth="1"/>
  </cols>
  <sheetData>
    <row r="1" spans="1:20" ht="15.75" x14ac:dyDescent="0.25">
      <c r="A1" s="303" t="str">
        <f>Data!$C$1</f>
        <v>Allied Pacific (APC Commerical)</v>
      </c>
      <c r="R1" s="2">
        <v>1</v>
      </c>
      <c r="T1" t="s">
        <v>750</v>
      </c>
    </row>
    <row r="2" spans="1:20" x14ac:dyDescent="0.2">
      <c r="R2" s="2">
        <f>1+R1</f>
        <v>2</v>
      </c>
    </row>
    <row r="3" spans="1:20" ht="12.75" x14ac:dyDescent="0.2">
      <c r="A3" s="198" t="s">
        <v>877</v>
      </c>
      <c r="R3" s="2">
        <f t="shared" ref="R3:R66" si="0">1+R2</f>
        <v>3</v>
      </c>
      <c r="T3" t="s">
        <v>751</v>
      </c>
    </row>
    <row r="4" spans="1:20" x14ac:dyDescent="0.2">
      <c r="A4" s="7" t="s">
        <v>301</v>
      </c>
      <c r="B4" s="113">
        <f>Final!B$110</f>
        <v>45382</v>
      </c>
      <c r="R4" s="2">
        <f t="shared" si="0"/>
        <v>4</v>
      </c>
      <c r="T4" t="s">
        <v>752</v>
      </c>
    </row>
    <row r="5" spans="1:20" x14ac:dyDescent="0.2">
      <c r="A5" s="2"/>
      <c r="B5" s="2"/>
      <c r="C5" s="2" t="s">
        <v>93</v>
      </c>
      <c r="D5" s="2"/>
      <c r="E5" s="2"/>
      <c r="G5" s="2" t="s">
        <v>880</v>
      </c>
      <c r="R5" s="2">
        <f t="shared" si="0"/>
        <v>5</v>
      </c>
    </row>
    <row r="6" spans="1:20" x14ac:dyDescent="0.2">
      <c r="A6" s="2"/>
      <c r="B6" s="2"/>
      <c r="C6" s="2" t="s">
        <v>83</v>
      </c>
      <c r="E6" s="2" t="s">
        <v>92</v>
      </c>
      <c r="G6" s="2" t="s">
        <v>878</v>
      </c>
      <c r="R6" s="2">
        <f t="shared" si="0"/>
        <v>6</v>
      </c>
    </row>
    <row r="7" spans="1:20" x14ac:dyDescent="0.2">
      <c r="A7" s="2" t="s">
        <v>298</v>
      </c>
      <c r="B7" s="2" t="s">
        <v>109</v>
      </c>
      <c r="C7" s="2" t="s">
        <v>299</v>
      </c>
      <c r="E7" s="37" t="s">
        <v>656</v>
      </c>
      <c r="G7" s="37" t="s">
        <v>879</v>
      </c>
      <c r="R7" s="2">
        <f t="shared" si="0"/>
        <v>7</v>
      </c>
    </row>
    <row r="8" spans="1:20" x14ac:dyDescent="0.2">
      <c r="A8" s="29" t="s">
        <v>95</v>
      </c>
      <c r="B8" s="49">
        <f>+B4</f>
        <v>45382</v>
      </c>
      <c r="C8" s="49">
        <f>B8</f>
        <v>45382</v>
      </c>
      <c r="E8" s="29" t="s">
        <v>83</v>
      </c>
      <c r="G8" s="8" t="s">
        <v>323</v>
      </c>
      <c r="R8" s="2">
        <f t="shared" si="0"/>
        <v>8</v>
      </c>
    </row>
    <row r="9" spans="1:20" ht="12" thickBot="1" x14ac:dyDescent="0.25">
      <c r="R9" s="2">
        <f t="shared" si="0"/>
        <v>9</v>
      </c>
    </row>
    <row r="10" spans="1:20" ht="12.75" thickTop="1" thickBot="1" x14ac:dyDescent="0.25">
      <c r="A10" s="467">
        <f>Final!A117</f>
        <v>45382</v>
      </c>
      <c r="B10" s="468">
        <f ca="1">+Final!B117</f>
        <v>0</v>
      </c>
      <c r="C10" s="468">
        <f ca="1">+Final!C117</f>
        <v>11137700.655359512</v>
      </c>
      <c r="D10" s="469"/>
      <c r="E10" s="470">
        <f t="shared" ref="E10:E18" ca="1" si="1">SUM(B10:C10)</f>
        <v>11137700.655359512</v>
      </c>
      <c r="F10" s="7"/>
      <c r="G10" s="452">
        <f ca="1">Final!L117</f>
        <v>1.741787341935668</v>
      </c>
      <c r="R10" s="2">
        <f t="shared" si="0"/>
        <v>10</v>
      </c>
    </row>
    <row r="11" spans="1:20" ht="12" thickTop="1" x14ac:dyDescent="0.2">
      <c r="A11" s="138">
        <f>Final!A118</f>
        <v>45351</v>
      </c>
      <c r="B11" s="53">
        <f ca="1">Final!B118</f>
        <v>4295321.2200000053</v>
      </c>
      <c r="C11" s="53">
        <f ca="1">Final!C118</f>
        <v>5393266.8953595115</v>
      </c>
      <c r="D11" s="30"/>
      <c r="E11" s="53">
        <f t="shared" ca="1" si="1"/>
        <v>9688588.1153595168</v>
      </c>
      <c r="F11" s="453"/>
      <c r="G11" s="454">
        <f ca="1">Final!L118</f>
        <v>1.6161362468547502</v>
      </c>
      <c r="R11" s="2">
        <f t="shared" si="0"/>
        <v>11</v>
      </c>
    </row>
    <row r="12" spans="1:20" x14ac:dyDescent="0.2">
      <c r="A12" s="138">
        <f>Final!A119</f>
        <v>45322</v>
      </c>
      <c r="B12" s="53">
        <f ca="1">Final!B119</f>
        <v>5963486.2499999888</v>
      </c>
      <c r="C12" s="53">
        <f ca="1">Final!C119</f>
        <v>3131600.7753595184</v>
      </c>
      <c r="D12" s="35"/>
      <c r="E12" s="53">
        <f t="shared" ca="1" si="1"/>
        <v>9095087.0253595077</v>
      </c>
      <c r="F12" s="453"/>
      <c r="G12" s="454">
        <f ca="1">Final!L119</f>
        <v>1.531927888859542</v>
      </c>
      <c r="R12" s="2">
        <f t="shared" si="0"/>
        <v>12</v>
      </c>
    </row>
    <row r="13" spans="1:20" x14ac:dyDescent="0.2">
      <c r="A13" s="138">
        <f>Final!A120</f>
        <v>45291</v>
      </c>
      <c r="B13" s="53">
        <f ca="1">Final!B120</f>
        <v>6712663.4799999967</v>
      </c>
      <c r="C13" s="53">
        <f ca="1">Final!C120</f>
        <v>2202967.0453595095</v>
      </c>
      <c r="D13" s="35"/>
      <c r="E13" s="53">
        <f t="shared" ca="1" si="1"/>
        <v>8915630.5253595058</v>
      </c>
      <c r="F13" s="453"/>
      <c r="G13" s="454">
        <f ca="1">Final!L120</f>
        <v>1.4774884999963827</v>
      </c>
      <c r="R13" s="2">
        <f t="shared" si="0"/>
        <v>13</v>
      </c>
    </row>
    <row r="14" spans="1:20" x14ac:dyDescent="0.2">
      <c r="A14" s="138">
        <f>Final!A121</f>
        <v>45260</v>
      </c>
      <c r="B14" s="53">
        <f ca="1">Final!B121</f>
        <v>7195993.0899999812</v>
      </c>
      <c r="C14" s="53">
        <f ca="1">Final!C121</f>
        <v>1794491.4153595068</v>
      </c>
      <c r="D14" s="35"/>
      <c r="E14" s="53">
        <f t="shared" ca="1" si="1"/>
        <v>8990484.5053594876</v>
      </c>
      <c r="F14" s="453"/>
      <c r="G14" s="454">
        <f ca="1">Final!L121</f>
        <v>1.5087953506366367</v>
      </c>
      <c r="R14" s="2">
        <f t="shared" si="0"/>
        <v>14</v>
      </c>
    </row>
    <row r="15" spans="1:20" x14ac:dyDescent="0.2">
      <c r="A15" s="138">
        <f>Final!A122</f>
        <v>45230</v>
      </c>
      <c r="B15" s="53">
        <f ca="1">Final!B122</f>
        <v>7424714.5000000075</v>
      </c>
      <c r="C15" s="53">
        <f ca="1">Final!C122</f>
        <v>1480887.6253594873</v>
      </c>
      <c r="D15" s="35"/>
      <c r="E15" s="53">
        <f t="shared" ca="1" si="1"/>
        <v>8905602.1253594942</v>
      </c>
      <c r="F15" s="453"/>
      <c r="G15" s="454">
        <f ca="1">Final!L122</f>
        <v>1.4942647311357418</v>
      </c>
      <c r="R15" s="2">
        <f t="shared" si="0"/>
        <v>15</v>
      </c>
    </row>
    <row r="16" spans="1:20" x14ac:dyDescent="0.2">
      <c r="A16" s="138">
        <f>Final!A123</f>
        <v>45199</v>
      </c>
      <c r="B16" s="53">
        <f ca="1">Final!B123</f>
        <v>7742430.2399999835</v>
      </c>
      <c r="C16" s="53">
        <f ca="1">Final!C123</f>
        <v>1204988.005359489</v>
      </c>
      <c r="D16" s="35"/>
      <c r="E16" s="53">
        <f t="shared" ca="1" si="1"/>
        <v>8947418.2453594729</v>
      </c>
      <c r="F16" s="453"/>
      <c r="G16" s="454">
        <f ca="1">Final!L123</f>
        <v>1.6067754937802792</v>
      </c>
      <c r="R16" s="2">
        <f t="shared" si="0"/>
        <v>16</v>
      </c>
    </row>
    <row r="17" spans="1:18" x14ac:dyDescent="0.2">
      <c r="A17" s="138">
        <f>Final!A124</f>
        <v>45169</v>
      </c>
      <c r="B17" s="53">
        <f ca="1">Final!B124</f>
        <v>8217707.1799999904</v>
      </c>
      <c r="C17" s="53">
        <f ca="1">Final!C124</f>
        <v>1007742.1753594824</v>
      </c>
      <c r="D17" s="30"/>
      <c r="E17" s="53">
        <f t="shared" ca="1" si="1"/>
        <v>9225449.3553594723</v>
      </c>
      <c r="F17" s="453"/>
      <c r="G17" s="454">
        <f ca="1">Final!L124</f>
        <v>1.6496718350734214</v>
      </c>
      <c r="R17" s="2">
        <f t="shared" si="0"/>
        <v>17</v>
      </c>
    </row>
    <row r="18" spans="1:18" x14ac:dyDescent="0.2">
      <c r="A18" s="138">
        <f>Final!A125</f>
        <v>45138</v>
      </c>
      <c r="B18" s="53">
        <f ca="1">Final!B125</f>
        <v>7651037.6499999836</v>
      </c>
      <c r="C18" s="53">
        <f ca="1">Final!C125</f>
        <v>835458.46535946475</v>
      </c>
      <c r="D18" s="35"/>
      <c r="E18" s="53">
        <f t="shared" ca="1" si="1"/>
        <v>8486496.1153594479</v>
      </c>
      <c r="F18" s="453"/>
      <c r="G18" s="454">
        <f ca="1">Final!L125</f>
        <v>1.5734434213402981</v>
      </c>
      <c r="R18" s="2">
        <f t="shared" si="0"/>
        <v>18</v>
      </c>
    </row>
    <row r="19" spans="1:18" x14ac:dyDescent="0.2">
      <c r="A19" s="138">
        <f>Final!A126</f>
        <v>45107</v>
      </c>
      <c r="B19" s="53">
        <f ca="1">Final!B126</f>
        <v>7583951.6999999937</v>
      </c>
      <c r="C19" s="53">
        <f ca="1">Final!C126</f>
        <v>706065.52535945317</v>
      </c>
      <c r="D19" s="35"/>
      <c r="E19" s="53">
        <f t="shared" ref="E19:E24" ca="1" si="2">SUM(B19:C19)</f>
        <v>8290017.2253594473</v>
      </c>
      <c r="F19" s="453"/>
      <c r="G19" s="454">
        <f ca="1">Final!L126</f>
        <v>1.5741889051927138</v>
      </c>
      <c r="R19" s="2">
        <f t="shared" si="0"/>
        <v>19</v>
      </c>
    </row>
    <row r="20" spans="1:18" x14ac:dyDescent="0.2">
      <c r="A20" s="138">
        <f>Final!A127</f>
        <v>45077</v>
      </c>
      <c r="B20" s="53">
        <f ca="1">Final!B127</f>
        <v>7317055.3799999971</v>
      </c>
      <c r="C20" s="53">
        <f ca="1">Final!C127</f>
        <v>587459.82535943994</v>
      </c>
      <c r="D20" s="35"/>
      <c r="E20" s="53">
        <f t="shared" ca="1" si="2"/>
        <v>7904515.2053594366</v>
      </c>
      <c r="F20" s="453"/>
      <c r="G20" s="454">
        <f ca="1">Final!L127</f>
        <v>1.4741600390032263</v>
      </c>
      <c r="R20" s="2">
        <f t="shared" si="0"/>
        <v>20</v>
      </c>
    </row>
    <row r="21" spans="1:18" x14ac:dyDescent="0.2">
      <c r="A21" s="138">
        <f>Final!A128</f>
        <v>45046</v>
      </c>
      <c r="B21" s="53">
        <f ca="1">Final!B128</f>
        <v>7270526.4799999781</v>
      </c>
      <c r="C21" s="53">
        <f ca="1">Final!C128</f>
        <v>490984.93535943748</v>
      </c>
      <c r="D21" s="35"/>
      <c r="E21" s="53">
        <f t="shared" ca="1" si="2"/>
        <v>7761511.4153594151</v>
      </c>
      <c r="F21" s="453"/>
      <c r="G21" s="454">
        <f ca="1">Final!L128</f>
        <v>1.5026643195432696</v>
      </c>
      <c r="R21" s="2">
        <f t="shared" si="0"/>
        <v>21</v>
      </c>
    </row>
    <row r="22" spans="1:18" x14ac:dyDescent="0.2">
      <c r="A22" s="138">
        <f>Final!A129</f>
        <v>45016</v>
      </c>
      <c r="B22" s="53">
        <f ca="1">Final!B129</f>
        <v>6706181.72999998</v>
      </c>
      <c r="C22" s="53">
        <f ca="1">Final!C129</f>
        <v>415861.83535942668</v>
      </c>
      <c r="D22" s="35"/>
      <c r="E22" s="53">
        <f t="shared" ca="1" si="2"/>
        <v>7122043.5653594062</v>
      </c>
      <c r="F22" s="453"/>
      <c r="G22" s="454">
        <f ca="1">Final!L129</f>
        <v>1.398562731441428</v>
      </c>
      <c r="R22" s="2">
        <f t="shared" si="0"/>
        <v>22</v>
      </c>
    </row>
    <row r="23" spans="1:18" x14ac:dyDescent="0.2">
      <c r="A23" s="138">
        <f>Final!A130</f>
        <v>44985</v>
      </c>
      <c r="B23" s="53">
        <f ca="1">Final!B130</f>
        <v>6724581.9799999762</v>
      </c>
      <c r="C23" s="53">
        <f ca="1">Final!C130</f>
        <v>342545.21129218256</v>
      </c>
      <c r="D23" s="35"/>
      <c r="E23" s="53">
        <f t="shared" ca="1" si="2"/>
        <v>7067127.1912921593</v>
      </c>
      <c r="F23" s="453"/>
      <c r="G23" s="454">
        <f ca="1">Final!L130</f>
        <v>1.4558669300546283</v>
      </c>
      <c r="R23" s="2">
        <f t="shared" si="0"/>
        <v>23</v>
      </c>
    </row>
    <row r="24" spans="1:18" x14ac:dyDescent="0.2">
      <c r="A24" s="138">
        <f>Final!A131</f>
        <v>44957</v>
      </c>
      <c r="B24" s="53">
        <f ca="1">Final!B131</f>
        <v>6539258.4399999753</v>
      </c>
      <c r="C24" s="53">
        <f ca="1">Final!C131</f>
        <v>292367.2327810456</v>
      </c>
      <c r="D24" s="35"/>
      <c r="E24" s="53">
        <f t="shared" ca="1" si="2"/>
        <v>6831625.6727810204</v>
      </c>
      <c r="F24" s="453"/>
      <c r="G24" s="454">
        <f ca="1">Final!L131</f>
        <v>1.3859194020593004</v>
      </c>
      <c r="R24" s="2">
        <f t="shared" si="0"/>
        <v>24</v>
      </c>
    </row>
    <row r="25" spans="1:18" x14ac:dyDescent="0.2">
      <c r="R25" s="2">
        <f t="shared" si="0"/>
        <v>25</v>
      </c>
    </row>
    <row r="26" spans="1:18" x14ac:dyDescent="0.2">
      <c r="R26" s="2">
        <f t="shared" si="0"/>
        <v>26</v>
      </c>
    </row>
    <row r="27" spans="1:18" x14ac:dyDescent="0.2">
      <c r="R27" s="2">
        <f t="shared" si="0"/>
        <v>27</v>
      </c>
    </row>
    <row r="28" spans="1:18" x14ac:dyDescent="0.2">
      <c r="R28" s="2">
        <f t="shared" si="0"/>
        <v>28</v>
      </c>
    </row>
    <row r="29" spans="1:18" x14ac:dyDescent="0.2">
      <c r="R29" s="2">
        <f t="shared" si="0"/>
        <v>29</v>
      </c>
    </row>
    <row r="30" spans="1:18" x14ac:dyDescent="0.2">
      <c r="R30" s="2">
        <f t="shared" si="0"/>
        <v>30</v>
      </c>
    </row>
    <row r="31" spans="1:18" x14ac:dyDescent="0.2">
      <c r="R31" s="2">
        <f t="shared" si="0"/>
        <v>31</v>
      </c>
    </row>
    <row r="32" spans="1:18" x14ac:dyDescent="0.2">
      <c r="R32" s="2">
        <f t="shared" si="0"/>
        <v>32</v>
      </c>
    </row>
    <row r="33" spans="18:18" x14ac:dyDescent="0.2">
      <c r="R33" s="2">
        <f t="shared" si="0"/>
        <v>33</v>
      </c>
    </row>
    <row r="34" spans="18:18" x14ac:dyDescent="0.2">
      <c r="R34" s="2">
        <f t="shared" si="0"/>
        <v>34</v>
      </c>
    </row>
    <row r="35" spans="18:18" x14ac:dyDescent="0.2">
      <c r="R35" s="2">
        <f t="shared" si="0"/>
        <v>35</v>
      </c>
    </row>
    <row r="36" spans="18:18" x14ac:dyDescent="0.2">
      <c r="R36" s="2">
        <f t="shared" si="0"/>
        <v>36</v>
      </c>
    </row>
    <row r="37" spans="18:18" x14ac:dyDescent="0.2">
      <c r="R37" s="2">
        <f t="shared" si="0"/>
        <v>37</v>
      </c>
    </row>
    <row r="38" spans="18:18" x14ac:dyDescent="0.2">
      <c r="R38" s="2">
        <f t="shared" si="0"/>
        <v>38</v>
      </c>
    </row>
    <row r="39" spans="18:18" x14ac:dyDescent="0.2">
      <c r="R39" s="2">
        <f t="shared" si="0"/>
        <v>39</v>
      </c>
    </row>
    <row r="40" spans="18:18" x14ac:dyDescent="0.2">
      <c r="R40" s="2">
        <f t="shared" si="0"/>
        <v>40</v>
      </c>
    </row>
    <row r="41" spans="18:18" x14ac:dyDescent="0.2">
      <c r="R41" s="2">
        <f t="shared" si="0"/>
        <v>41</v>
      </c>
    </row>
    <row r="42" spans="18:18" x14ac:dyDescent="0.2">
      <c r="R42" s="2">
        <f t="shared" si="0"/>
        <v>42</v>
      </c>
    </row>
    <row r="43" spans="18:18" x14ac:dyDescent="0.2">
      <c r="R43" s="2">
        <f t="shared" si="0"/>
        <v>43</v>
      </c>
    </row>
    <row r="44" spans="18:18" x14ac:dyDescent="0.2">
      <c r="R44" s="2">
        <f t="shared" si="0"/>
        <v>44</v>
      </c>
    </row>
    <row r="45" spans="18:18" x14ac:dyDescent="0.2">
      <c r="R45" s="2">
        <f t="shared" si="0"/>
        <v>45</v>
      </c>
    </row>
    <row r="46" spans="18:18" x14ac:dyDescent="0.2">
      <c r="R46" s="2">
        <f t="shared" si="0"/>
        <v>46</v>
      </c>
    </row>
    <row r="47" spans="18:18" x14ac:dyDescent="0.2">
      <c r="R47" s="2">
        <f t="shared" si="0"/>
        <v>47</v>
      </c>
    </row>
    <row r="48" spans="18:18" x14ac:dyDescent="0.2">
      <c r="R48" s="2">
        <f t="shared" si="0"/>
        <v>48</v>
      </c>
    </row>
    <row r="49" spans="1:28" x14ac:dyDescent="0.2">
      <c r="R49" s="2">
        <f t="shared" si="0"/>
        <v>49</v>
      </c>
    </row>
    <row r="50" spans="1:28" x14ac:dyDescent="0.2">
      <c r="R50" s="2">
        <f t="shared" si="0"/>
        <v>50</v>
      </c>
    </row>
    <row r="51" spans="1:28" x14ac:dyDescent="0.2">
      <c r="R51" s="2">
        <f t="shared" si="0"/>
        <v>51</v>
      </c>
    </row>
    <row r="52" spans="1:28" x14ac:dyDescent="0.2">
      <c r="R52" s="2">
        <f t="shared" si="0"/>
        <v>52</v>
      </c>
      <c r="T52" s="447"/>
      <c r="U52" s="455" t="s">
        <v>618</v>
      </c>
      <c r="V52" s="446"/>
      <c r="W52" s="456" t="s">
        <v>260</v>
      </c>
      <c r="X52" s="456" t="s">
        <v>236</v>
      </c>
      <c r="Y52" s="447"/>
      <c r="Z52" s="457" t="s">
        <v>631</v>
      </c>
      <c r="AA52" s="456" t="s">
        <v>260</v>
      </c>
      <c r="AB52" s="456" t="s">
        <v>236</v>
      </c>
    </row>
    <row r="53" spans="1:28" x14ac:dyDescent="0.2">
      <c r="R53" s="2">
        <f t="shared" si="0"/>
        <v>53</v>
      </c>
      <c r="T53" s="447"/>
      <c r="U53" s="458" t="str">
        <f ca="1">LeastSq!A18</f>
        <v>36 Mo Lst Sq An Trend</v>
      </c>
      <c r="V53" s="458"/>
      <c r="W53" s="459">
        <f ca="1">Charts!N45</f>
        <v>-1.4099891847602519E-2</v>
      </c>
      <c r="X53" s="459">
        <f ca="1">Charts!O45</f>
        <v>-1.4099891847602519E-2</v>
      </c>
      <c r="Y53" s="447"/>
      <c r="Z53" s="460" t="s">
        <v>616</v>
      </c>
      <c r="AA53" s="461">
        <f ca="1">Trends!G30</f>
        <v>-1.1264288987076782E-2</v>
      </c>
      <c r="AB53" s="461">
        <f ca="1">Trends!Y30</f>
        <v>-1.1264288987076782E-2</v>
      </c>
    </row>
    <row r="54" spans="1:28" x14ac:dyDescent="0.2">
      <c r="R54" s="2">
        <f t="shared" si="0"/>
        <v>54</v>
      </c>
      <c r="T54" s="447"/>
      <c r="U54" s="462" t="str">
        <f ca="1">LeastSq!A19</f>
        <v>24 Mo Lst Sq An Trend</v>
      </c>
      <c r="V54" s="462"/>
      <c r="W54" s="463">
        <f ca="1">Charts!N46</f>
        <v>4.525994112568732E-2</v>
      </c>
      <c r="X54" s="463">
        <f ca="1">Charts!O46</f>
        <v>4.525994112568732E-2</v>
      </c>
      <c r="Y54" s="447"/>
      <c r="Z54" s="464" t="s">
        <v>617</v>
      </c>
      <c r="AA54" s="465">
        <f ca="1">Trends!F30</f>
        <v>-1.4571234481074622E-2</v>
      </c>
      <c r="AB54" s="465">
        <f ca="1">Trends!X30</f>
        <v>-1.4571234481074622E-2</v>
      </c>
    </row>
    <row r="55" spans="1:28" x14ac:dyDescent="0.2">
      <c r="R55" s="2">
        <f t="shared" si="0"/>
        <v>55</v>
      </c>
      <c r="T55" s="447"/>
      <c r="U55" s="462" t="str">
        <f ca="1">LeastSq!A20</f>
        <v>18 Mo Lst Sq An Trend</v>
      </c>
      <c r="V55" s="462"/>
      <c r="W55" s="463">
        <f ca="1">Charts!N47</f>
        <v>1.5244520117340787E-2</v>
      </c>
      <c r="X55" s="463">
        <f ca="1">Charts!O47</f>
        <v>1.5244520117340787E-2</v>
      </c>
      <c r="Y55" s="447"/>
      <c r="Z55" s="464" t="s">
        <v>234</v>
      </c>
      <c r="AA55" s="465">
        <f ca="1">Trends!E30</f>
        <v>-7.1988574007393188E-3</v>
      </c>
      <c r="AB55" s="465">
        <f ca="1">Trends!W30</f>
        <v>-7.1988574007393188E-3</v>
      </c>
    </row>
    <row r="56" spans="1:28" ht="15.75" x14ac:dyDescent="0.25">
      <c r="A56" s="303" t="str">
        <f>Data!$C$1</f>
        <v>Allied Pacific (APC Commerical)</v>
      </c>
      <c r="R56" s="2">
        <f t="shared" si="0"/>
        <v>56</v>
      </c>
    </row>
    <row r="57" spans="1:28" x14ac:dyDescent="0.2">
      <c r="R57" s="2">
        <f t="shared" si="0"/>
        <v>57</v>
      </c>
    </row>
    <row r="58" spans="1:28" x14ac:dyDescent="0.2">
      <c r="R58" s="2">
        <f t="shared" si="0"/>
        <v>58</v>
      </c>
      <c r="S58" s="2">
        <v>1</v>
      </c>
    </row>
    <row r="59" spans="1:28" x14ac:dyDescent="0.2">
      <c r="R59" s="2">
        <f t="shared" si="0"/>
        <v>59</v>
      </c>
      <c r="S59" s="2">
        <f>1+S58</f>
        <v>2</v>
      </c>
    </row>
    <row r="60" spans="1:28" x14ac:dyDescent="0.2">
      <c r="R60" s="2">
        <f t="shared" si="0"/>
        <v>60</v>
      </c>
      <c r="S60" s="2">
        <f t="shared" ref="S60:S110" si="3">1+S59</f>
        <v>3</v>
      </c>
    </row>
    <row r="61" spans="1:28" x14ac:dyDescent="0.2">
      <c r="R61" s="2">
        <f t="shared" si="0"/>
        <v>61</v>
      </c>
      <c r="S61" s="2">
        <f t="shared" si="3"/>
        <v>4</v>
      </c>
    </row>
    <row r="62" spans="1:28" x14ac:dyDescent="0.2">
      <c r="R62" s="2">
        <f t="shared" si="0"/>
        <v>62</v>
      </c>
      <c r="S62" s="2">
        <f t="shared" si="3"/>
        <v>5</v>
      </c>
    </row>
    <row r="63" spans="1:28" x14ac:dyDescent="0.2">
      <c r="R63" s="2">
        <f t="shared" si="0"/>
        <v>63</v>
      </c>
      <c r="S63" s="2">
        <f t="shared" si="3"/>
        <v>6</v>
      </c>
    </row>
    <row r="64" spans="1:28" x14ac:dyDescent="0.2">
      <c r="R64" s="2">
        <f t="shared" si="0"/>
        <v>64</v>
      </c>
      <c r="S64" s="2">
        <f t="shared" si="3"/>
        <v>7</v>
      </c>
    </row>
    <row r="65" spans="18:19" x14ac:dyDescent="0.2">
      <c r="R65" s="2">
        <f t="shared" si="0"/>
        <v>65</v>
      </c>
      <c r="S65" s="2">
        <f t="shared" si="3"/>
        <v>8</v>
      </c>
    </row>
    <row r="66" spans="18:19" x14ac:dyDescent="0.2">
      <c r="R66" s="2">
        <f t="shared" si="0"/>
        <v>66</v>
      </c>
      <c r="S66" s="2">
        <f t="shared" si="3"/>
        <v>9</v>
      </c>
    </row>
    <row r="67" spans="18:19" x14ac:dyDescent="0.2">
      <c r="R67" s="2">
        <f t="shared" ref="R67:R110" si="4">1+R66</f>
        <v>67</v>
      </c>
      <c r="S67" s="2">
        <f t="shared" si="3"/>
        <v>10</v>
      </c>
    </row>
    <row r="68" spans="18:19" x14ac:dyDescent="0.2">
      <c r="R68" s="2">
        <f t="shared" si="4"/>
        <v>68</v>
      </c>
      <c r="S68" s="2">
        <f t="shared" si="3"/>
        <v>11</v>
      </c>
    </row>
    <row r="69" spans="18:19" x14ac:dyDescent="0.2">
      <c r="R69" s="2">
        <f t="shared" si="4"/>
        <v>69</v>
      </c>
      <c r="S69" s="2">
        <f t="shared" si="3"/>
        <v>12</v>
      </c>
    </row>
    <row r="70" spans="18:19" x14ac:dyDescent="0.2">
      <c r="R70" s="2">
        <f t="shared" si="4"/>
        <v>70</v>
      </c>
      <c r="S70" s="2">
        <f t="shared" si="3"/>
        <v>13</v>
      </c>
    </row>
    <row r="71" spans="18:19" x14ac:dyDescent="0.2">
      <c r="R71" s="2">
        <f t="shared" si="4"/>
        <v>71</v>
      </c>
      <c r="S71" s="2">
        <f t="shared" si="3"/>
        <v>14</v>
      </c>
    </row>
    <row r="72" spans="18:19" x14ac:dyDescent="0.2">
      <c r="R72" s="2">
        <f t="shared" si="4"/>
        <v>72</v>
      </c>
      <c r="S72" s="2">
        <f t="shared" si="3"/>
        <v>15</v>
      </c>
    </row>
    <row r="73" spans="18:19" x14ac:dyDescent="0.2">
      <c r="R73" s="2">
        <f t="shared" si="4"/>
        <v>73</v>
      </c>
      <c r="S73" s="2">
        <f t="shared" si="3"/>
        <v>16</v>
      </c>
    </row>
    <row r="74" spans="18:19" x14ac:dyDescent="0.2">
      <c r="R74" s="2">
        <f t="shared" si="4"/>
        <v>74</v>
      </c>
      <c r="S74" s="2">
        <f t="shared" si="3"/>
        <v>17</v>
      </c>
    </row>
    <row r="75" spans="18:19" x14ac:dyDescent="0.2">
      <c r="R75" s="2">
        <f t="shared" si="4"/>
        <v>75</v>
      </c>
      <c r="S75" s="2">
        <f t="shared" si="3"/>
        <v>18</v>
      </c>
    </row>
    <row r="76" spans="18:19" x14ac:dyDescent="0.2">
      <c r="R76" s="2">
        <f t="shared" si="4"/>
        <v>76</v>
      </c>
      <c r="S76" s="2">
        <f t="shared" si="3"/>
        <v>19</v>
      </c>
    </row>
    <row r="77" spans="18:19" x14ac:dyDescent="0.2">
      <c r="R77" s="2">
        <f t="shared" si="4"/>
        <v>77</v>
      </c>
      <c r="S77" s="2">
        <f t="shared" si="3"/>
        <v>20</v>
      </c>
    </row>
    <row r="78" spans="18:19" x14ac:dyDescent="0.2">
      <c r="R78" s="2">
        <f t="shared" si="4"/>
        <v>78</v>
      </c>
      <c r="S78" s="2">
        <f t="shared" si="3"/>
        <v>21</v>
      </c>
    </row>
    <row r="79" spans="18:19" x14ac:dyDescent="0.2">
      <c r="R79" s="2">
        <f t="shared" si="4"/>
        <v>79</v>
      </c>
      <c r="S79" s="2">
        <f t="shared" si="3"/>
        <v>22</v>
      </c>
    </row>
    <row r="80" spans="18:19" x14ac:dyDescent="0.2">
      <c r="R80" s="2">
        <f t="shared" si="4"/>
        <v>80</v>
      </c>
      <c r="S80" s="2">
        <f t="shared" si="3"/>
        <v>23</v>
      </c>
    </row>
    <row r="81" spans="18:19" x14ac:dyDescent="0.2">
      <c r="R81" s="2">
        <f t="shared" si="4"/>
        <v>81</v>
      </c>
      <c r="S81" s="2">
        <f t="shared" si="3"/>
        <v>24</v>
      </c>
    </row>
    <row r="82" spans="18:19" x14ac:dyDescent="0.2">
      <c r="R82" s="2">
        <f t="shared" si="4"/>
        <v>82</v>
      </c>
      <c r="S82" s="2">
        <f t="shared" si="3"/>
        <v>25</v>
      </c>
    </row>
    <row r="83" spans="18:19" x14ac:dyDescent="0.2">
      <c r="R83" s="2">
        <f t="shared" si="4"/>
        <v>83</v>
      </c>
      <c r="S83" s="2">
        <f t="shared" si="3"/>
        <v>26</v>
      </c>
    </row>
    <row r="84" spans="18:19" x14ac:dyDescent="0.2">
      <c r="R84" s="2">
        <f t="shared" si="4"/>
        <v>84</v>
      </c>
      <c r="S84" s="2">
        <v>1</v>
      </c>
    </row>
    <row r="85" spans="18:19" x14ac:dyDescent="0.2">
      <c r="R85" s="2">
        <f t="shared" si="4"/>
        <v>85</v>
      </c>
      <c r="S85" s="2">
        <f t="shared" si="3"/>
        <v>2</v>
      </c>
    </row>
    <row r="86" spans="18:19" x14ac:dyDescent="0.2">
      <c r="R86" s="2">
        <f t="shared" si="4"/>
        <v>86</v>
      </c>
      <c r="S86" s="2">
        <f t="shared" si="3"/>
        <v>3</v>
      </c>
    </row>
    <row r="87" spans="18:19" x14ac:dyDescent="0.2">
      <c r="R87" s="2">
        <f t="shared" si="4"/>
        <v>87</v>
      </c>
      <c r="S87" s="2">
        <f t="shared" si="3"/>
        <v>4</v>
      </c>
    </row>
    <row r="88" spans="18:19" x14ac:dyDescent="0.2">
      <c r="R88" s="2">
        <f t="shared" si="4"/>
        <v>88</v>
      </c>
      <c r="S88" s="2">
        <f t="shared" si="3"/>
        <v>5</v>
      </c>
    </row>
    <row r="89" spans="18:19" x14ac:dyDescent="0.2">
      <c r="R89" s="2">
        <f t="shared" si="4"/>
        <v>89</v>
      </c>
      <c r="S89" s="2">
        <f t="shared" si="3"/>
        <v>6</v>
      </c>
    </row>
    <row r="90" spans="18:19" x14ac:dyDescent="0.2">
      <c r="R90" s="2">
        <f t="shared" si="4"/>
        <v>90</v>
      </c>
      <c r="S90" s="2">
        <f t="shared" si="3"/>
        <v>7</v>
      </c>
    </row>
    <row r="91" spans="18:19" x14ac:dyDescent="0.2">
      <c r="R91" s="2">
        <f t="shared" si="4"/>
        <v>91</v>
      </c>
      <c r="S91" s="2">
        <f t="shared" si="3"/>
        <v>8</v>
      </c>
    </row>
    <row r="92" spans="18:19" x14ac:dyDescent="0.2">
      <c r="R92" s="2">
        <f t="shared" si="4"/>
        <v>92</v>
      </c>
      <c r="S92" s="2">
        <f t="shared" si="3"/>
        <v>9</v>
      </c>
    </row>
    <row r="93" spans="18:19" x14ac:dyDescent="0.2">
      <c r="R93" s="2">
        <f t="shared" si="4"/>
        <v>93</v>
      </c>
      <c r="S93" s="2">
        <f t="shared" si="3"/>
        <v>10</v>
      </c>
    </row>
    <row r="94" spans="18:19" x14ac:dyDescent="0.2">
      <c r="R94" s="2">
        <f t="shared" si="4"/>
        <v>94</v>
      </c>
      <c r="S94" s="2">
        <f t="shared" si="3"/>
        <v>11</v>
      </c>
    </row>
    <row r="95" spans="18:19" x14ac:dyDescent="0.2">
      <c r="R95" s="2">
        <f t="shared" si="4"/>
        <v>95</v>
      </c>
      <c r="S95" s="2">
        <f t="shared" si="3"/>
        <v>12</v>
      </c>
    </row>
    <row r="96" spans="18:19" x14ac:dyDescent="0.2">
      <c r="R96" s="2">
        <f t="shared" si="4"/>
        <v>96</v>
      </c>
      <c r="S96" s="2">
        <f t="shared" si="3"/>
        <v>13</v>
      </c>
    </row>
    <row r="97" spans="1:19" x14ac:dyDescent="0.2">
      <c r="R97" s="2">
        <f t="shared" si="4"/>
        <v>97</v>
      </c>
      <c r="S97" s="2">
        <f t="shared" si="3"/>
        <v>14</v>
      </c>
    </row>
    <row r="98" spans="1:19" x14ac:dyDescent="0.2">
      <c r="R98" s="2">
        <f t="shared" si="4"/>
        <v>98</v>
      </c>
      <c r="S98" s="2">
        <f t="shared" si="3"/>
        <v>15</v>
      </c>
    </row>
    <row r="99" spans="1:19" x14ac:dyDescent="0.2">
      <c r="R99" s="2">
        <f t="shared" si="4"/>
        <v>99</v>
      </c>
      <c r="S99" s="2">
        <f t="shared" si="3"/>
        <v>16</v>
      </c>
    </row>
    <row r="100" spans="1:19" x14ac:dyDescent="0.2">
      <c r="R100" s="2">
        <f t="shared" si="4"/>
        <v>100</v>
      </c>
      <c r="S100" s="2">
        <f t="shared" si="3"/>
        <v>17</v>
      </c>
    </row>
    <row r="101" spans="1:19" x14ac:dyDescent="0.2">
      <c r="R101" s="2">
        <f t="shared" si="4"/>
        <v>101</v>
      </c>
      <c r="S101" s="2">
        <f t="shared" si="3"/>
        <v>18</v>
      </c>
    </row>
    <row r="102" spans="1:19" x14ac:dyDescent="0.2">
      <c r="R102" s="2">
        <f t="shared" si="4"/>
        <v>102</v>
      </c>
      <c r="S102" s="2">
        <f t="shared" si="3"/>
        <v>19</v>
      </c>
    </row>
    <row r="103" spans="1:19" x14ac:dyDescent="0.2">
      <c r="R103" s="2">
        <f t="shared" si="4"/>
        <v>103</v>
      </c>
      <c r="S103" s="2">
        <f t="shared" si="3"/>
        <v>20</v>
      </c>
    </row>
    <row r="104" spans="1:19" x14ac:dyDescent="0.2">
      <c r="R104" s="2">
        <f t="shared" si="4"/>
        <v>104</v>
      </c>
      <c r="S104" s="2">
        <f t="shared" si="3"/>
        <v>21</v>
      </c>
    </row>
    <row r="105" spans="1:19" x14ac:dyDescent="0.2">
      <c r="L105" s="9" t="s">
        <v>1020</v>
      </c>
      <c r="M105" s="453"/>
      <c r="N105" s="11"/>
      <c r="O105" s="286" t="s">
        <v>1021</v>
      </c>
      <c r="P105" s="453"/>
      <c r="Q105" s="11"/>
      <c r="R105" s="2">
        <f t="shared" si="4"/>
        <v>105</v>
      </c>
      <c r="S105" s="2">
        <f t="shared" si="3"/>
        <v>22</v>
      </c>
    </row>
    <row r="106" spans="1:19" x14ac:dyDescent="0.2">
      <c r="J106" s="50" t="s">
        <v>618</v>
      </c>
      <c r="K106" s="227"/>
      <c r="L106" s="29" t="s">
        <v>260</v>
      </c>
      <c r="M106" s="29" t="s">
        <v>236</v>
      </c>
      <c r="O106" s="29" t="s">
        <v>260</v>
      </c>
      <c r="P106" s="29" t="s">
        <v>236</v>
      </c>
      <c r="R106" s="2">
        <f t="shared" si="4"/>
        <v>106</v>
      </c>
      <c r="S106" s="2">
        <f t="shared" si="3"/>
        <v>23</v>
      </c>
    </row>
    <row r="107" spans="1:19" x14ac:dyDescent="0.2">
      <c r="J107" s="277" t="str">
        <f ca="1">LeastSq!$D$18</f>
        <v xml:space="preserve">36 Mo Lst Sq </v>
      </c>
      <c r="K107" s="277"/>
      <c r="L107" s="278">
        <f ca="1">Charts!$N$45</f>
        <v>-1.4099891847602519E-2</v>
      </c>
      <c r="M107" s="278">
        <f ca="1">Charts!$O$45</f>
        <v>-1.4099891847602519E-2</v>
      </c>
      <c r="N107" s="560"/>
      <c r="O107" s="278">
        <f ca="1">LeastSq!$G$11</f>
        <v>-2.0919267130664165E-2</v>
      </c>
      <c r="P107" s="278">
        <f ca="1">LeastSq!$H$11</f>
        <v>-2.0919267130664165E-2</v>
      </c>
      <c r="R107" s="2">
        <f t="shared" si="4"/>
        <v>107</v>
      </c>
      <c r="S107" s="2">
        <f t="shared" si="3"/>
        <v>24</v>
      </c>
    </row>
    <row r="108" spans="1:19" x14ac:dyDescent="0.2">
      <c r="J108" s="285" t="str">
        <f ca="1">LeastSq!$D$19</f>
        <v>24 Mo Lst Sq</v>
      </c>
      <c r="K108" s="285"/>
      <c r="L108" s="279">
        <f ca="1">Charts!$N$46</f>
        <v>4.525994112568732E-2</v>
      </c>
      <c r="M108" s="279">
        <f ca="1">Charts!$O$46</f>
        <v>4.525994112568732E-2</v>
      </c>
      <c r="N108" s="453"/>
      <c r="O108" s="279">
        <f ca="1">LeastSq!$G$12</f>
        <v>3.333535781468E-2</v>
      </c>
      <c r="P108" s="279">
        <f ca="1">LeastSq!$H$12</f>
        <v>3.333535781468E-2</v>
      </c>
      <c r="R108" s="2">
        <f t="shared" si="4"/>
        <v>108</v>
      </c>
      <c r="S108" s="2">
        <f t="shared" si="3"/>
        <v>25</v>
      </c>
    </row>
    <row r="109" spans="1:19" x14ac:dyDescent="0.2">
      <c r="J109" s="285" t="str">
        <f ca="1">LeastSq!$D$20</f>
        <v>18 Mo Lst Sq</v>
      </c>
      <c r="K109" s="285"/>
      <c r="L109" s="279">
        <f ca="1">Charts!$N$47</f>
        <v>1.5244520117340787E-2</v>
      </c>
      <c r="M109" s="279">
        <f ca="1">Charts!$O$47</f>
        <v>1.5244520117340787E-2</v>
      </c>
      <c r="N109" s="453"/>
      <c r="O109" s="279">
        <f ca="1">LeastSq!$G$13</f>
        <v>2.6130065129465363E-2</v>
      </c>
      <c r="P109" s="279">
        <f ca="1">LeastSq!$H$13</f>
        <v>2.6130065129465363E-2</v>
      </c>
      <c r="R109" s="2">
        <f t="shared" si="4"/>
        <v>109</v>
      </c>
      <c r="S109" s="2">
        <f t="shared" si="3"/>
        <v>26</v>
      </c>
    </row>
    <row r="110" spans="1:19" x14ac:dyDescent="0.2">
      <c r="J110" s="285" t="str">
        <f ca="1">LeastSq!$D$21</f>
        <v>12 Mo Lst Sq</v>
      </c>
      <c r="K110" s="285"/>
      <c r="L110" s="279">
        <f ca="1">Charts!$N$48</f>
        <v>6.3464240804477656E-2</v>
      </c>
      <c r="M110" s="279">
        <f ca="1">Charts!$O$48</f>
        <v>6.3464240804477656E-2</v>
      </c>
      <c r="N110" s="453"/>
      <c r="O110" s="279">
        <f ca="1">LeastSq!$G$14</f>
        <v>5.7676941854371666E-2</v>
      </c>
      <c r="P110" s="279">
        <f ca="1">LeastSq!$H$14</f>
        <v>5.7676941854371666E-2</v>
      </c>
      <c r="R110" s="2">
        <f t="shared" si="4"/>
        <v>110</v>
      </c>
      <c r="S110" s="2">
        <f t="shared" si="3"/>
        <v>27</v>
      </c>
    </row>
    <row r="111" spans="1:19" ht="15.75" x14ac:dyDescent="0.25">
      <c r="A111" s="303" t="str">
        <f>Data!$C$1</f>
        <v>Allied Pacific (APC Commerical)</v>
      </c>
      <c r="R111" s="2">
        <v>1</v>
      </c>
    </row>
    <row r="112" spans="1:19" x14ac:dyDescent="0.2">
      <c r="R112" s="2">
        <f>1+R111</f>
        <v>2</v>
      </c>
    </row>
    <row r="113" spans="1:19" ht="12.75" x14ac:dyDescent="0.2">
      <c r="A113" s="198" t="s">
        <v>877</v>
      </c>
      <c r="R113" s="2">
        <f t="shared" ref="R113:R176" si="5">1+R112</f>
        <v>3</v>
      </c>
      <c r="S113" t="s">
        <v>749</v>
      </c>
    </row>
    <row r="114" spans="1:19" x14ac:dyDescent="0.2">
      <c r="A114" s="7" t="s">
        <v>301</v>
      </c>
      <c r="B114" s="113">
        <f>Final!$B$110</f>
        <v>45382</v>
      </c>
      <c r="R114" s="2">
        <f t="shared" si="5"/>
        <v>4</v>
      </c>
    </row>
    <row r="115" spans="1:19" x14ac:dyDescent="0.2">
      <c r="A115" s="2"/>
      <c r="B115" s="2"/>
      <c r="C115" s="2" t="s">
        <v>93</v>
      </c>
      <c r="D115" s="2"/>
      <c r="E115" s="2"/>
      <c r="G115" s="2" t="s">
        <v>880</v>
      </c>
      <c r="R115" s="2">
        <f t="shared" si="5"/>
        <v>5</v>
      </c>
    </row>
    <row r="116" spans="1:19" x14ac:dyDescent="0.2">
      <c r="A116" s="2"/>
      <c r="B116" s="2"/>
      <c r="C116" s="2" t="s">
        <v>83</v>
      </c>
      <c r="E116" s="2" t="s">
        <v>92</v>
      </c>
      <c r="G116" s="2" t="s">
        <v>878</v>
      </c>
      <c r="R116" s="2">
        <f t="shared" si="5"/>
        <v>6</v>
      </c>
    </row>
    <row r="117" spans="1:19" x14ac:dyDescent="0.2">
      <c r="A117" s="2" t="s">
        <v>298</v>
      </c>
      <c r="B117" s="2" t="s">
        <v>109</v>
      </c>
      <c r="C117" s="2" t="s">
        <v>299</v>
      </c>
      <c r="E117" s="37" t="s">
        <v>656</v>
      </c>
      <c r="G117" s="37" t="s">
        <v>879</v>
      </c>
      <c r="R117" s="2">
        <f t="shared" si="5"/>
        <v>7</v>
      </c>
    </row>
    <row r="118" spans="1:19" x14ac:dyDescent="0.2">
      <c r="A118" s="29" t="s">
        <v>95</v>
      </c>
      <c r="B118" s="49">
        <f>+B114</f>
        <v>45382</v>
      </c>
      <c r="C118" s="49">
        <f>B118</f>
        <v>45382</v>
      </c>
      <c r="E118" s="29" t="s">
        <v>83</v>
      </c>
      <c r="G118" s="8" t="s">
        <v>323</v>
      </c>
      <c r="R118" s="2">
        <f t="shared" si="5"/>
        <v>8</v>
      </c>
    </row>
    <row r="119" spans="1:19" ht="12" thickBot="1" x14ac:dyDescent="0.25">
      <c r="R119" s="2">
        <f t="shared" si="5"/>
        <v>9</v>
      </c>
    </row>
    <row r="120" spans="1:19" ht="12.75" thickTop="1" thickBot="1" x14ac:dyDescent="0.25">
      <c r="A120" s="467">
        <f t="shared" ref="A120:C134" si="6">A10</f>
        <v>45382</v>
      </c>
      <c r="B120" s="468">
        <f t="shared" ca="1" si="6"/>
        <v>0</v>
      </c>
      <c r="C120" s="468">
        <f t="shared" ca="1" si="6"/>
        <v>11137700.655359512</v>
      </c>
      <c r="D120" s="469"/>
      <c r="E120" s="470">
        <f t="shared" ref="E120:E134" ca="1" si="7">SUM(B120:C120)</f>
        <v>11137700.655359512</v>
      </c>
      <c r="F120" s="7"/>
      <c r="G120" s="452">
        <f t="shared" ref="G120:G134" ca="1" si="8">G10</f>
        <v>1.741787341935668</v>
      </c>
      <c r="R120" s="2">
        <f t="shared" si="5"/>
        <v>10</v>
      </c>
    </row>
    <row r="121" spans="1:19" ht="12" thickTop="1" x14ac:dyDescent="0.2">
      <c r="A121" s="138">
        <f t="shared" si="6"/>
        <v>45351</v>
      </c>
      <c r="B121" s="53">
        <f t="shared" ca="1" si="6"/>
        <v>4295321.2200000053</v>
      </c>
      <c r="C121" s="53">
        <f t="shared" ca="1" si="6"/>
        <v>5393266.8953595115</v>
      </c>
      <c r="D121" s="30"/>
      <c r="E121" s="53">
        <f t="shared" ca="1" si="7"/>
        <v>9688588.1153595168</v>
      </c>
      <c r="F121" s="453"/>
      <c r="G121" s="454">
        <f t="shared" ca="1" si="8"/>
        <v>1.6161362468547502</v>
      </c>
      <c r="R121" s="2">
        <f t="shared" si="5"/>
        <v>11</v>
      </c>
    </row>
    <row r="122" spans="1:19" x14ac:dyDescent="0.2">
      <c r="A122" s="138">
        <f t="shared" si="6"/>
        <v>45322</v>
      </c>
      <c r="B122" s="53">
        <f t="shared" ca="1" si="6"/>
        <v>5963486.2499999888</v>
      </c>
      <c r="C122" s="53">
        <f t="shared" ca="1" si="6"/>
        <v>3131600.7753595184</v>
      </c>
      <c r="D122" s="35"/>
      <c r="E122" s="53">
        <f t="shared" ca="1" si="7"/>
        <v>9095087.0253595077</v>
      </c>
      <c r="F122" s="453"/>
      <c r="G122" s="454">
        <f t="shared" ca="1" si="8"/>
        <v>1.531927888859542</v>
      </c>
      <c r="R122" s="2">
        <f t="shared" si="5"/>
        <v>12</v>
      </c>
    </row>
    <row r="123" spans="1:19" x14ac:dyDescent="0.2">
      <c r="A123" s="138">
        <f t="shared" si="6"/>
        <v>45291</v>
      </c>
      <c r="B123" s="53">
        <f t="shared" ca="1" si="6"/>
        <v>6712663.4799999967</v>
      </c>
      <c r="C123" s="53">
        <f t="shared" ca="1" si="6"/>
        <v>2202967.0453595095</v>
      </c>
      <c r="D123" s="35"/>
      <c r="E123" s="53">
        <f t="shared" ca="1" si="7"/>
        <v>8915630.5253595058</v>
      </c>
      <c r="F123" s="453"/>
      <c r="G123" s="454">
        <f t="shared" ca="1" si="8"/>
        <v>1.4774884999963827</v>
      </c>
      <c r="R123" s="2">
        <f t="shared" si="5"/>
        <v>13</v>
      </c>
    </row>
    <row r="124" spans="1:19" x14ac:dyDescent="0.2">
      <c r="A124" s="138">
        <f t="shared" si="6"/>
        <v>45260</v>
      </c>
      <c r="B124" s="53">
        <f t="shared" ca="1" si="6"/>
        <v>7195993.0899999812</v>
      </c>
      <c r="C124" s="53">
        <f t="shared" ca="1" si="6"/>
        <v>1794491.4153595068</v>
      </c>
      <c r="D124" s="35"/>
      <c r="E124" s="53">
        <f t="shared" ca="1" si="7"/>
        <v>8990484.5053594876</v>
      </c>
      <c r="F124" s="453"/>
      <c r="G124" s="454">
        <f t="shared" ca="1" si="8"/>
        <v>1.5087953506366367</v>
      </c>
      <c r="R124" s="2">
        <f t="shared" si="5"/>
        <v>14</v>
      </c>
    </row>
    <row r="125" spans="1:19" x14ac:dyDescent="0.2">
      <c r="A125" s="138">
        <f t="shared" si="6"/>
        <v>45230</v>
      </c>
      <c r="B125" s="53">
        <f t="shared" ca="1" si="6"/>
        <v>7424714.5000000075</v>
      </c>
      <c r="C125" s="53">
        <f t="shared" ca="1" si="6"/>
        <v>1480887.6253594873</v>
      </c>
      <c r="D125" s="35"/>
      <c r="E125" s="53">
        <f t="shared" ca="1" si="7"/>
        <v>8905602.1253594942</v>
      </c>
      <c r="F125" s="453"/>
      <c r="G125" s="454">
        <f t="shared" ca="1" si="8"/>
        <v>1.4942647311357418</v>
      </c>
      <c r="R125" s="2">
        <f t="shared" si="5"/>
        <v>15</v>
      </c>
    </row>
    <row r="126" spans="1:19" x14ac:dyDescent="0.2">
      <c r="A126" s="138">
        <f t="shared" si="6"/>
        <v>45199</v>
      </c>
      <c r="B126" s="53">
        <f t="shared" ca="1" si="6"/>
        <v>7742430.2399999835</v>
      </c>
      <c r="C126" s="53">
        <f t="shared" ca="1" si="6"/>
        <v>1204988.005359489</v>
      </c>
      <c r="D126" s="35"/>
      <c r="E126" s="53">
        <f t="shared" ca="1" si="7"/>
        <v>8947418.2453594729</v>
      </c>
      <c r="F126" s="453"/>
      <c r="G126" s="454">
        <f t="shared" ca="1" si="8"/>
        <v>1.6067754937802792</v>
      </c>
      <c r="R126" s="2">
        <f t="shared" si="5"/>
        <v>16</v>
      </c>
    </row>
    <row r="127" spans="1:19" x14ac:dyDescent="0.2">
      <c r="A127" s="138">
        <f t="shared" si="6"/>
        <v>45169</v>
      </c>
      <c r="B127" s="53">
        <f t="shared" ca="1" si="6"/>
        <v>8217707.1799999904</v>
      </c>
      <c r="C127" s="53">
        <f t="shared" ca="1" si="6"/>
        <v>1007742.1753594824</v>
      </c>
      <c r="D127" s="30"/>
      <c r="E127" s="53">
        <f t="shared" ca="1" si="7"/>
        <v>9225449.3553594723</v>
      </c>
      <c r="F127" s="453"/>
      <c r="G127" s="454">
        <f t="shared" ca="1" si="8"/>
        <v>1.6496718350734214</v>
      </c>
      <c r="R127" s="2">
        <f t="shared" si="5"/>
        <v>17</v>
      </c>
    </row>
    <row r="128" spans="1:19" x14ac:dyDescent="0.2">
      <c r="A128" s="138">
        <f t="shared" si="6"/>
        <v>45138</v>
      </c>
      <c r="B128" s="53">
        <f t="shared" ca="1" si="6"/>
        <v>7651037.6499999836</v>
      </c>
      <c r="C128" s="53">
        <f t="shared" ca="1" si="6"/>
        <v>835458.46535946475</v>
      </c>
      <c r="D128" s="35"/>
      <c r="E128" s="53">
        <f t="shared" ca="1" si="7"/>
        <v>8486496.1153594479</v>
      </c>
      <c r="F128" s="453"/>
      <c r="G128" s="454">
        <f t="shared" ca="1" si="8"/>
        <v>1.5734434213402981</v>
      </c>
      <c r="R128" s="2">
        <f t="shared" si="5"/>
        <v>18</v>
      </c>
    </row>
    <row r="129" spans="1:18" x14ac:dyDescent="0.2">
      <c r="A129" s="138">
        <f t="shared" si="6"/>
        <v>45107</v>
      </c>
      <c r="B129" s="53">
        <f t="shared" ca="1" si="6"/>
        <v>7583951.6999999937</v>
      </c>
      <c r="C129" s="53">
        <f t="shared" ca="1" si="6"/>
        <v>706065.52535945317</v>
      </c>
      <c r="D129" s="35"/>
      <c r="E129" s="53">
        <f t="shared" ca="1" si="7"/>
        <v>8290017.2253594473</v>
      </c>
      <c r="F129" s="453"/>
      <c r="G129" s="454">
        <f t="shared" ca="1" si="8"/>
        <v>1.5741889051927138</v>
      </c>
      <c r="R129" s="2">
        <f t="shared" si="5"/>
        <v>19</v>
      </c>
    </row>
    <row r="130" spans="1:18" x14ac:dyDescent="0.2">
      <c r="A130" s="138">
        <f t="shared" si="6"/>
        <v>45077</v>
      </c>
      <c r="B130" s="53">
        <f t="shared" ca="1" si="6"/>
        <v>7317055.3799999971</v>
      </c>
      <c r="C130" s="53">
        <f t="shared" ca="1" si="6"/>
        <v>587459.82535943994</v>
      </c>
      <c r="D130" s="35"/>
      <c r="E130" s="53">
        <f t="shared" ca="1" si="7"/>
        <v>7904515.2053594366</v>
      </c>
      <c r="F130" s="453"/>
      <c r="G130" s="454">
        <f t="shared" ca="1" si="8"/>
        <v>1.4741600390032263</v>
      </c>
      <c r="R130" s="2">
        <f t="shared" si="5"/>
        <v>20</v>
      </c>
    </row>
    <row r="131" spans="1:18" x14ac:dyDescent="0.2">
      <c r="A131" s="138">
        <f t="shared" si="6"/>
        <v>45046</v>
      </c>
      <c r="B131" s="53">
        <f t="shared" ca="1" si="6"/>
        <v>7270526.4799999781</v>
      </c>
      <c r="C131" s="53">
        <f t="shared" ca="1" si="6"/>
        <v>490984.93535943748</v>
      </c>
      <c r="D131" s="35"/>
      <c r="E131" s="53">
        <f t="shared" ca="1" si="7"/>
        <v>7761511.4153594151</v>
      </c>
      <c r="F131" s="453"/>
      <c r="G131" s="454">
        <f t="shared" ca="1" si="8"/>
        <v>1.5026643195432696</v>
      </c>
      <c r="R131" s="2">
        <f t="shared" si="5"/>
        <v>21</v>
      </c>
    </row>
    <row r="132" spans="1:18" x14ac:dyDescent="0.2">
      <c r="A132" s="138">
        <f t="shared" si="6"/>
        <v>45016</v>
      </c>
      <c r="B132" s="53">
        <f t="shared" ca="1" si="6"/>
        <v>6706181.72999998</v>
      </c>
      <c r="C132" s="53">
        <f t="shared" ca="1" si="6"/>
        <v>415861.83535942668</v>
      </c>
      <c r="D132" s="35"/>
      <c r="E132" s="53">
        <f t="shared" ca="1" si="7"/>
        <v>7122043.5653594062</v>
      </c>
      <c r="F132" s="453"/>
      <c r="G132" s="454">
        <f t="shared" ca="1" si="8"/>
        <v>1.398562731441428</v>
      </c>
      <c r="R132" s="2">
        <f t="shared" si="5"/>
        <v>22</v>
      </c>
    </row>
    <row r="133" spans="1:18" x14ac:dyDescent="0.2">
      <c r="A133" s="138">
        <f t="shared" si="6"/>
        <v>44985</v>
      </c>
      <c r="B133" s="53">
        <f t="shared" ca="1" si="6"/>
        <v>6724581.9799999762</v>
      </c>
      <c r="C133" s="53">
        <f t="shared" ca="1" si="6"/>
        <v>342545.21129218256</v>
      </c>
      <c r="D133" s="35"/>
      <c r="E133" s="53">
        <f t="shared" ca="1" si="7"/>
        <v>7067127.1912921593</v>
      </c>
      <c r="F133" s="453"/>
      <c r="G133" s="454">
        <f t="shared" ca="1" si="8"/>
        <v>1.4558669300546283</v>
      </c>
      <c r="R133" s="2">
        <f t="shared" si="5"/>
        <v>23</v>
      </c>
    </row>
    <row r="134" spans="1:18" x14ac:dyDescent="0.2">
      <c r="A134" s="138">
        <f t="shared" si="6"/>
        <v>44957</v>
      </c>
      <c r="B134" s="53">
        <f t="shared" ca="1" si="6"/>
        <v>6539258.4399999753</v>
      </c>
      <c r="C134" s="53">
        <f t="shared" ca="1" si="6"/>
        <v>292367.2327810456</v>
      </c>
      <c r="D134" s="35"/>
      <c r="E134" s="53">
        <f t="shared" ca="1" si="7"/>
        <v>6831625.6727810204</v>
      </c>
      <c r="F134" s="453"/>
      <c r="G134" s="454">
        <f t="shared" ca="1" si="8"/>
        <v>1.3859194020593004</v>
      </c>
      <c r="R134" s="2">
        <f t="shared" si="5"/>
        <v>24</v>
      </c>
    </row>
    <row r="135" spans="1:18" x14ac:dyDescent="0.2">
      <c r="R135" s="2">
        <f t="shared" si="5"/>
        <v>25</v>
      </c>
    </row>
    <row r="136" spans="1:18" x14ac:dyDescent="0.2">
      <c r="R136" s="2">
        <f t="shared" si="5"/>
        <v>26</v>
      </c>
    </row>
    <row r="137" spans="1:18" x14ac:dyDescent="0.2">
      <c r="R137" s="2">
        <f t="shared" si="5"/>
        <v>27</v>
      </c>
    </row>
    <row r="138" spans="1:18" x14ac:dyDescent="0.2">
      <c r="R138" s="2">
        <f t="shared" si="5"/>
        <v>28</v>
      </c>
    </row>
    <row r="139" spans="1:18" x14ac:dyDescent="0.2">
      <c r="R139" s="2">
        <f t="shared" si="5"/>
        <v>29</v>
      </c>
    </row>
    <row r="140" spans="1:18" x14ac:dyDescent="0.2">
      <c r="R140" s="2">
        <f t="shared" si="5"/>
        <v>30</v>
      </c>
    </row>
    <row r="141" spans="1:18" x14ac:dyDescent="0.2">
      <c r="R141" s="2">
        <f t="shared" si="5"/>
        <v>31</v>
      </c>
    </row>
    <row r="142" spans="1:18" x14ac:dyDescent="0.2">
      <c r="R142" s="2">
        <f t="shared" si="5"/>
        <v>32</v>
      </c>
    </row>
    <row r="143" spans="1:18" x14ac:dyDescent="0.2">
      <c r="R143" s="2">
        <f t="shared" si="5"/>
        <v>33</v>
      </c>
    </row>
    <row r="144" spans="1:18" x14ac:dyDescent="0.2">
      <c r="R144" s="2">
        <f t="shared" si="5"/>
        <v>34</v>
      </c>
    </row>
    <row r="145" spans="18:18" x14ac:dyDescent="0.2">
      <c r="R145" s="2">
        <f t="shared" si="5"/>
        <v>35</v>
      </c>
    </row>
    <row r="146" spans="18:18" x14ac:dyDescent="0.2">
      <c r="R146" s="2">
        <f t="shared" si="5"/>
        <v>36</v>
      </c>
    </row>
    <row r="147" spans="18:18" x14ac:dyDescent="0.2">
      <c r="R147" s="2">
        <f t="shared" si="5"/>
        <v>37</v>
      </c>
    </row>
    <row r="148" spans="18:18" x14ac:dyDescent="0.2">
      <c r="R148" s="2">
        <f t="shared" si="5"/>
        <v>38</v>
      </c>
    </row>
    <row r="149" spans="18:18" x14ac:dyDescent="0.2">
      <c r="R149" s="2">
        <f t="shared" si="5"/>
        <v>39</v>
      </c>
    </row>
    <row r="150" spans="18:18" x14ac:dyDescent="0.2">
      <c r="R150" s="2">
        <f t="shared" si="5"/>
        <v>40</v>
      </c>
    </row>
    <row r="151" spans="18:18" x14ac:dyDescent="0.2">
      <c r="R151" s="2">
        <f t="shared" si="5"/>
        <v>41</v>
      </c>
    </row>
    <row r="152" spans="18:18" x14ac:dyDescent="0.2">
      <c r="R152" s="2">
        <f t="shared" si="5"/>
        <v>42</v>
      </c>
    </row>
    <row r="153" spans="18:18" x14ac:dyDescent="0.2">
      <c r="R153" s="2">
        <f t="shared" si="5"/>
        <v>43</v>
      </c>
    </row>
    <row r="154" spans="18:18" x14ac:dyDescent="0.2">
      <c r="R154" s="2">
        <f t="shared" si="5"/>
        <v>44</v>
      </c>
    </row>
    <row r="155" spans="18:18" x14ac:dyDescent="0.2">
      <c r="R155" s="2">
        <f t="shared" si="5"/>
        <v>45</v>
      </c>
    </row>
    <row r="156" spans="18:18" x14ac:dyDescent="0.2">
      <c r="R156" s="2">
        <f t="shared" si="5"/>
        <v>46</v>
      </c>
    </row>
    <row r="157" spans="18:18" x14ac:dyDescent="0.2">
      <c r="R157" s="2">
        <f t="shared" si="5"/>
        <v>47</v>
      </c>
    </row>
    <row r="158" spans="18:18" x14ac:dyDescent="0.2">
      <c r="R158" s="2">
        <f t="shared" si="5"/>
        <v>48</v>
      </c>
    </row>
    <row r="159" spans="18:18" x14ac:dyDescent="0.2">
      <c r="R159" s="2">
        <f t="shared" si="5"/>
        <v>49</v>
      </c>
    </row>
    <row r="160" spans="18:18" x14ac:dyDescent="0.2">
      <c r="R160" s="2">
        <f t="shared" si="5"/>
        <v>50</v>
      </c>
    </row>
    <row r="161" spans="1:18" x14ac:dyDescent="0.2">
      <c r="A161" s="50"/>
      <c r="B161" s="227"/>
      <c r="C161" s="29"/>
      <c r="D161" s="29"/>
      <c r="F161" s="304"/>
      <c r="G161" s="29"/>
      <c r="H161" s="29"/>
      <c r="R161" s="2">
        <f t="shared" si="5"/>
        <v>51</v>
      </c>
    </row>
    <row r="162" spans="1:18" x14ac:dyDescent="0.2">
      <c r="A162" s="284"/>
      <c r="B162" s="284"/>
      <c r="C162" s="466"/>
      <c r="D162" s="466"/>
      <c r="G162" s="67"/>
      <c r="H162" s="67"/>
      <c r="R162" s="2">
        <f t="shared" si="5"/>
        <v>52</v>
      </c>
    </row>
    <row r="163" spans="1:18" x14ac:dyDescent="0.2">
      <c r="A163" s="284"/>
      <c r="B163" s="284"/>
      <c r="C163" s="466"/>
      <c r="D163" s="466"/>
      <c r="G163" s="67"/>
      <c r="H163" s="67"/>
      <c r="R163" s="2">
        <f t="shared" si="5"/>
        <v>53</v>
      </c>
    </row>
    <row r="164" spans="1:18" x14ac:dyDescent="0.2">
      <c r="A164" s="284"/>
      <c r="B164" s="284"/>
      <c r="C164" s="466"/>
      <c r="D164" s="466"/>
      <c r="G164" s="67"/>
      <c r="H164" s="67"/>
      <c r="R164" s="2">
        <f t="shared" si="5"/>
        <v>54</v>
      </c>
    </row>
    <row r="165" spans="1:18" x14ac:dyDescent="0.2">
      <c r="R165" s="2">
        <f t="shared" si="5"/>
        <v>55</v>
      </c>
    </row>
    <row r="166" spans="1:18" ht="15.75" x14ac:dyDescent="0.25">
      <c r="A166" s="303" t="str">
        <f>Data!$C$1</f>
        <v>Allied Pacific (APC Commerical)</v>
      </c>
      <c r="R166" s="2">
        <f t="shared" si="5"/>
        <v>56</v>
      </c>
    </row>
    <row r="167" spans="1:18" x14ac:dyDescent="0.2">
      <c r="R167" s="2">
        <f t="shared" si="5"/>
        <v>57</v>
      </c>
    </row>
    <row r="168" spans="1:18" x14ac:dyDescent="0.2">
      <c r="R168" s="2">
        <f t="shared" si="5"/>
        <v>58</v>
      </c>
    </row>
    <row r="169" spans="1:18" x14ac:dyDescent="0.2">
      <c r="R169" s="2">
        <f t="shared" si="5"/>
        <v>59</v>
      </c>
    </row>
    <row r="170" spans="1:18" x14ac:dyDescent="0.2">
      <c r="R170" s="2">
        <f t="shared" si="5"/>
        <v>60</v>
      </c>
    </row>
    <row r="171" spans="1:18" x14ac:dyDescent="0.2">
      <c r="R171" s="2">
        <f t="shared" si="5"/>
        <v>61</v>
      </c>
    </row>
    <row r="172" spans="1:18" x14ac:dyDescent="0.2">
      <c r="R172" s="2">
        <f t="shared" si="5"/>
        <v>62</v>
      </c>
    </row>
    <row r="173" spans="1:18" x14ac:dyDescent="0.2">
      <c r="R173" s="2">
        <f t="shared" si="5"/>
        <v>63</v>
      </c>
    </row>
    <row r="174" spans="1:18" x14ac:dyDescent="0.2">
      <c r="R174" s="2">
        <f t="shared" si="5"/>
        <v>64</v>
      </c>
    </row>
    <row r="175" spans="1:18" x14ac:dyDescent="0.2">
      <c r="R175" s="2">
        <f t="shared" si="5"/>
        <v>65</v>
      </c>
    </row>
    <row r="176" spans="1:18" x14ac:dyDescent="0.2">
      <c r="R176" s="2">
        <f t="shared" si="5"/>
        <v>66</v>
      </c>
    </row>
    <row r="177" spans="18:18" x14ac:dyDescent="0.2">
      <c r="R177" s="2">
        <f t="shared" ref="R177:R220" si="9">1+R176</f>
        <v>67</v>
      </c>
    </row>
    <row r="178" spans="18:18" x14ac:dyDescent="0.2">
      <c r="R178" s="2">
        <f t="shared" si="9"/>
        <v>68</v>
      </c>
    </row>
    <row r="179" spans="18:18" x14ac:dyDescent="0.2">
      <c r="R179" s="2">
        <f t="shared" si="9"/>
        <v>69</v>
      </c>
    </row>
    <row r="180" spans="18:18" x14ac:dyDescent="0.2">
      <c r="R180" s="2">
        <f t="shared" si="9"/>
        <v>70</v>
      </c>
    </row>
    <row r="181" spans="18:18" x14ac:dyDescent="0.2">
      <c r="R181" s="2">
        <f t="shared" si="9"/>
        <v>71</v>
      </c>
    </row>
    <row r="182" spans="18:18" x14ac:dyDescent="0.2">
      <c r="R182" s="2">
        <f t="shared" si="9"/>
        <v>72</v>
      </c>
    </row>
    <row r="183" spans="18:18" x14ac:dyDescent="0.2">
      <c r="R183" s="2">
        <f t="shared" si="9"/>
        <v>73</v>
      </c>
    </row>
    <row r="184" spans="18:18" x14ac:dyDescent="0.2">
      <c r="R184" s="2">
        <f t="shared" si="9"/>
        <v>74</v>
      </c>
    </row>
    <row r="185" spans="18:18" x14ac:dyDescent="0.2">
      <c r="R185" s="2">
        <f t="shared" si="9"/>
        <v>75</v>
      </c>
    </row>
    <row r="186" spans="18:18" x14ac:dyDescent="0.2">
      <c r="R186" s="2">
        <f t="shared" si="9"/>
        <v>76</v>
      </c>
    </row>
    <row r="187" spans="18:18" x14ac:dyDescent="0.2">
      <c r="R187" s="2">
        <f t="shared" si="9"/>
        <v>77</v>
      </c>
    </row>
    <row r="188" spans="18:18" x14ac:dyDescent="0.2">
      <c r="R188" s="2">
        <f t="shared" si="9"/>
        <v>78</v>
      </c>
    </row>
    <row r="189" spans="18:18" x14ac:dyDescent="0.2">
      <c r="R189" s="2">
        <f t="shared" si="9"/>
        <v>79</v>
      </c>
    </row>
    <row r="190" spans="18:18" x14ac:dyDescent="0.2">
      <c r="R190" s="2">
        <f t="shared" si="9"/>
        <v>80</v>
      </c>
    </row>
    <row r="191" spans="18:18" x14ac:dyDescent="0.2">
      <c r="R191" s="2">
        <f t="shared" si="9"/>
        <v>81</v>
      </c>
    </row>
    <row r="192" spans="18:18" x14ac:dyDescent="0.2">
      <c r="R192" s="2">
        <f t="shared" si="9"/>
        <v>82</v>
      </c>
    </row>
    <row r="193" spans="18:18" x14ac:dyDescent="0.2">
      <c r="R193" s="2">
        <f t="shared" si="9"/>
        <v>83</v>
      </c>
    </row>
    <row r="194" spans="18:18" x14ac:dyDescent="0.2">
      <c r="R194" s="2">
        <f t="shared" si="9"/>
        <v>84</v>
      </c>
    </row>
    <row r="195" spans="18:18" x14ac:dyDescent="0.2">
      <c r="R195" s="2">
        <f t="shared" si="9"/>
        <v>85</v>
      </c>
    </row>
    <row r="196" spans="18:18" x14ac:dyDescent="0.2">
      <c r="R196" s="2">
        <f t="shared" si="9"/>
        <v>86</v>
      </c>
    </row>
    <row r="197" spans="18:18" x14ac:dyDescent="0.2">
      <c r="R197" s="2">
        <f t="shared" si="9"/>
        <v>87</v>
      </c>
    </row>
    <row r="198" spans="18:18" x14ac:dyDescent="0.2">
      <c r="R198" s="2">
        <f t="shared" si="9"/>
        <v>88</v>
      </c>
    </row>
    <row r="199" spans="18:18" x14ac:dyDescent="0.2">
      <c r="R199" s="2">
        <f t="shared" si="9"/>
        <v>89</v>
      </c>
    </row>
    <row r="200" spans="18:18" x14ac:dyDescent="0.2">
      <c r="R200" s="2">
        <f t="shared" si="9"/>
        <v>90</v>
      </c>
    </row>
    <row r="201" spans="18:18" x14ac:dyDescent="0.2">
      <c r="R201" s="2">
        <f t="shared" si="9"/>
        <v>91</v>
      </c>
    </row>
    <row r="202" spans="18:18" x14ac:dyDescent="0.2">
      <c r="R202" s="2">
        <f t="shared" si="9"/>
        <v>92</v>
      </c>
    </row>
    <row r="203" spans="18:18" x14ac:dyDescent="0.2">
      <c r="R203" s="2">
        <f t="shared" si="9"/>
        <v>93</v>
      </c>
    </row>
    <row r="204" spans="18:18" x14ac:dyDescent="0.2">
      <c r="R204" s="2">
        <f t="shared" si="9"/>
        <v>94</v>
      </c>
    </row>
    <row r="205" spans="18:18" x14ac:dyDescent="0.2">
      <c r="R205" s="2">
        <f t="shared" si="9"/>
        <v>95</v>
      </c>
    </row>
    <row r="206" spans="18:18" x14ac:dyDescent="0.2">
      <c r="R206" s="2">
        <f t="shared" si="9"/>
        <v>96</v>
      </c>
    </row>
    <row r="207" spans="18:18" x14ac:dyDescent="0.2">
      <c r="R207" s="2">
        <f t="shared" si="9"/>
        <v>97</v>
      </c>
    </row>
    <row r="208" spans="18:18" x14ac:dyDescent="0.2">
      <c r="R208" s="2">
        <f t="shared" si="9"/>
        <v>98</v>
      </c>
    </row>
    <row r="209" spans="1:18" x14ac:dyDescent="0.2">
      <c r="R209" s="2">
        <f t="shared" si="9"/>
        <v>99</v>
      </c>
    </row>
    <row r="210" spans="1:18" x14ac:dyDescent="0.2">
      <c r="R210" s="2">
        <f t="shared" si="9"/>
        <v>100</v>
      </c>
    </row>
    <row r="211" spans="1:18" x14ac:dyDescent="0.2">
      <c r="R211" s="2">
        <f t="shared" si="9"/>
        <v>101</v>
      </c>
    </row>
    <row r="212" spans="1:18" x14ac:dyDescent="0.2">
      <c r="R212" s="2">
        <f t="shared" si="9"/>
        <v>102</v>
      </c>
    </row>
    <row r="213" spans="1:18" x14ac:dyDescent="0.2">
      <c r="R213" s="2">
        <f t="shared" si="9"/>
        <v>103</v>
      </c>
    </row>
    <row r="214" spans="1:18" x14ac:dyDescent="0.2">
      <c r="R214" s="2">
        <f t="shared" si="9"/>
        <v>104</v>
      </c>
    </row>
    <row r="215" spans="1:18" x14ac:dyDescent="0.2">
      <c r="L215" s="9" t="s">
        <v>1020</v>
      </c>
      <c r="M215" s="453"/>
      <c r="N215" s="11"/>
      <c r="O215" s="286" t="s">
        <v>1021</v>
      </c>
      <c r="P215" s="453"/>
      <c r="Q215" s="11"/>
      <c r="R215" s="2">
        <f t="shared" si="9"/>
        <v>105</v>
      </c>
    </row>
    <row r="216" spans="1:18" x14ac:dyDescent="0.2">
      <c r="J216" s="50" t="s">
        <v>618</v>
      </c>
      <c r="K216" s="227"/>
      <c r="L216" s="29" t="s">
        <v>260</v>
      </c>
      <c r="M216" s="29" t="s">
        <v>236</v>
      </c>
      <c r="O216" s="29" t="s">
        <v>260</v>
      </c>
      <c r="P216" s="29" t="s">
        <v>236</v>
      </c>
      <c r="R216" s="2">
        <f t="shared" si="9"/>
        <v>106</v>
      </c>
    </row>
    <row r="217" spans="1:18" x14ac:dyDescent="0.2">
      <c r="J217" s="277" t="str">
        <f ca="1">LeastSq!$D$18</f>
        <v xml:space="preserve">36 Mo Lst Sq </v>
      </c>
      <c r="K217" s="277"/>
      <c r="L217" s="278">
        <f ca="1">Charts!$N$45</f>
        <v>-1.4099891847602519E-2</v>
      </c>
      <c r="M217" s="278">
        <f ca="1">Charts!$O$45</f>
        <v>-1.4099891847602519E-2</v>
      </c>
      <c r="N217" s="560"/>
      <c r="O217" s="278">
        <f ca="1">LeastSq!$G$11</f>
        <v>-2.0919267130664165E-2</v>
      </c>
      <c r="P217" s="278">
        <f ca="1">LeastSq!$H$11</f>
        <v>-2.0919267130664165E-2</v>
      </c>
      <c r="R217" s="2">
        <f t="shared" si="9"/>
        <v>107</v>
      </c>
    </row>
    <row r="218" spans="1:18" x14ac:dyDescent="0.2">
      <c r="J218" s="285" t="str">
        <f ca="1">LeastSq!$D$19</f>
        <v>24 Mo Lst Sq</v>
      </c>
      <c r="K218" s="285"/>
      <c r="L218" s="279">
        <f ca="1">Charts!$N$46</f>
        <v>4.525994112568732E-2</v>
      </c>
      <c r="M218" s="279">
        <f ca="1">Charts!$O$46</f>
        <v>4.525994112568732E-2</v>
      </c>
      <c r="N218" s="453"/>
      <c r="O218" s="279">
        <f ca="1">LeastSq!$G$12</f>
        <v>3.333535781468E-2</v>
      </c>
      <c r="P218" s="279">
        <f ca="1">LeastSq!$H$12</f>
        <v>3.333535781468E-2</v>
      </c>
      <c r="R218" s="2">
        <f t="shared" si="9"/>
        <v>108</v>
      </c>
    </row>
    <row r="219" spans="1:18" x14ac:dyDescent="0.2">
      <c r="J219" s="285" t="str">
        <f ca="1">LeastSq!$D$20</f>
        <v>18 Mo Lst Sq</v>
      </c>
      <c r="K219" s="285"/>
      <c r="L219" s="279">
        <f ca="1">Charts!$N$47</f>
        <v>1.5244520117340787E-2</v>
      </c>
      <c r="M219" s="279">
        <f ca="1">Charts!$O$47</f>
        <v>1.5244520117340787E-2</v>
      </c>
      <c r="N219" s="453"/>
      <c r="O219" s="279">
        <f ca="1">LeastSq!$G$13</f>
        <v>2.6130065129465363E-2</v>
      </c>
      <c r="P219" s="279">
        <f ca="1">LeastSq!$H$13</f>
        <v>2.6130065129465363E-2</v>
      </c>
      <c r="R219" s="2">
        <f t="shared" si="9"/>
        <v>109</v>
      </c>
    </row>
    <row r="220" spans="1:18" x14ac:dyDescent="0.2">
      <c r="J220" s="285" t="str">
        <f ca="1">LeastSq!$D$21</f>
        <v>12 Mo Lst Sq</v>
      </c>
      <c r="K220" s="285"/>
      <c r="L220" s="279">
        <f ca="1">Charts!$N$48</f>
        <v>6.3464240804477656E-2</v>
      </c>
      <c r="M220" s="279">
        <f ca="1">Charts!$O$48</f>
        <v>6.3464240804477656E-2</v>
      </c>
      <c r="N220" s="453"/>
      <c r="O220" s="279">
        <f ca="1">LeastSq!$G$14</f>
        <v>5.7676941854371666E-2</v>
      </c>
      <c r="P220" s="279">
        <f ca="1">LeastSq!$H$14</f>
        <v>5.7676941854371666E-2</v>
      </c>
      <c r="R220" s="2">
        <f t="shared" si="9"/>
        <v>110</v>
      </c>
    </row>
    <row r="223" spans="1:18" x14ac:dyDescent="0.2">
      <c r="A223" s="3"/>
    </row>
    <row r="227" spans="1:1" ht="15.75" x14ac:dyDescent="0.25">
      <c r="A227" s="303"/>
    </row>
  </sheetData>
  <pageMargins left="0.5" right="0.5" top="0.25" bottom="0.25" header="0.5" footer="0.25"/>
  <pageSetup firstPageNumber="10" orientation="landscape" useFirstPageNumber="1" r:id="rId1"/>
  <headerFooter>
    <oddFooter>&amp;L&amp;D  &amp;F:  &amp;A     Page &amp;P</oddFooter>
  </headerFooter>
  <rowBreaks count="2" manualBreakCount="2">
    <brk id="55" max="16383" man="1"/>
    <brk id="165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4113" r:id="rId4" name="Button 1">
              <controlPr defaultSize="0" print="0" autoFill="0" autoPict="0" macro="[0]!ChartFixChart">
                <anchor moveWithCells="1" sizeWithCells="1">
                  <from>
                    <xdr:col>18</xdr:col>
                    <xdr:colOff>0</xdr:colOff>
                    <xdr:row>6</xdr:row>
                    <xdr:rowOff>57150</xdr:rowOff>
                  </from>
                  <to>
                    <xdr:col>19</xdr:col>
                    <xdr:colOff>209550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14" r:id="rId5" name="Button 2">
              <controlPr defaultSize="0" print="0" autoFill="0" autoPict="0" macro="[0]!PrintBox">
                <anchor moveWithCells="1" sizeWithCells="1">
                  <from>
                    <xdr:col>18</xdr:col>
                    <xdr:colOff>0</xdr:colOff>
                    <xdr:row>13</xdr:row>
                    <xdr:rowOff>28575</xdr:rowOff>
                  </from>
                  <to>
                    <xdr:col>19</xdr:col>
                    <xdr:colOff>238125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>
    <tabColor indexed="29"/>
  </sheetPr>
  <dimension ref="A1:BL75"/>
  <sheetViews>
    <sheetView topLeftCell="A4" workbookViewId="0">
      <selection activeCell="A15" sqref="A15"/>
    </sheetView>
  </sheetViews>
  <sheetFormatPr defaultRowHeight="11.25" x14ac:dyDescent="0.2"/>
  <cols>
    <col min="1" max="7" width="9.83203125" customWidth="1"/>
    <col min="8" max="8" width="6" customWidth="1"/>
    <col min="9" max="9" width="8" customWidth="1"/>
    <col min="10" max="10" width="13.1640625" customWidth="1"/>
    <col min="26" max="53" width="8.83203125" customWidth="1"/>
  </cols>
  <sheetData>
    <row r="1" spans="1:64" ht="12.75" x14ac:dyDescent="0.2">
      <c r="A1" s="34" t="str">
        <f>Data!$C$1</f>
        <v>Allied Pacific (APC Commerical)</v>
      </c>
      <c r="B1" s="227"/>
      <c r="C1" s="227"/>
      <c r="D1" s="227"/>
      <c r="E1" s="227"/>
      <c r="F1" s="227"/>
      <c r="G1" s="227"/>
      <c r="H1" s="227"/>
      <c r="I1" s="227"/>
      <c r="J1" s="227"/>
      <c r="K1" s="227"/>
      <c r="L1" s="227"/>
      <c r="M1" s="227"/>
      <c r="Q1" s="376" t="s">
        <v>761</v>
      </c>
      <c r="S1" t="s">
        <v>550</v>
      </c>
      <c r="V1" s="3" t="s">
        <v>1059</v>
      </c>
      <c r="BD1" t="s">
        <v>775</v>
      </c>
    </row>
    <row r="2" spans="1:64" x14ac:dyDescent="0.2">
      <c r="A2" s="3" t="s">
        <v>529</v>
      </c>
      <c r="B2" s="227"/>
      <c r="C2" s="227"/>
      <c r="D2" s="227"/>
      <c r="E2" s="227"/>
      <c r="F2" s="227"/>
      <c r="G2" s="227"/>
      <c r="H2" s="227"/>
      <c r="I2" s="227"/>
      <c r="J2" s="227"/>
      <c r="K2" s="227"/>
      <c r="L2" s="227"/>
      <c r="M2" s="227"/>
      <c r="V2" s="315" t="str">
        <f>IF(AQ5=0,"--",AQ5)</f>
        <v>--</v>
      </c>
      <c r="BD2" t="s">
        <v>776</v>
      </c>
    </row>
    <row r="3" spans="1:64" x14ac:dyDescent="0.2">
      <c r="A3" s="7" t="str">
        <f>Final!A3</f>
        <v>Reserve Date:</v>
      </c>
      <c r="B3" s="7"/>
      <c r="C3" s="160">
        <f>Final!C3</f>
        <v>45382</v>
      </c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1"/>
    </row>
    <row r="4" spans="1:64" x14ac:dyDescent="0.2">
      <c r="D4" s="227"/>
      <c r="E4" s="227"/>
      <c r="F4" s="227"/>
      <c r="G4" s="227"/>
      <c r="H4" s="227"/>
      <c r="I4" s="227"/>
      <c r="J4" s="227"/>
      <c r="L4" s="227"/>
      <c r="M4" s="16" t="s">
        <v>542</v>
      </c>
      <c r="N4" s="7"/>
      <c r="O4" s="253">
        <v>0.5</v>
      </c>
      <c r="BD4" s="129"/>
      <c r="BE4" s="227"/>
      <c r="BG4" s="227"/>
      <c r="BH4" s="16" t="s">
        <v>542</v>
      </c>
      <c r="BI4" s="7"/>
      <c r="BJ4" s="253">
        <v>0.5</v>
      </c>
    </row>
    <row r="5" spans="1:64" x14ac:dyDescent="0.2">
      <c r="A5" s="227"/>
      <c r="B5" s="286" t="s">
        <v>578</v>
      </c>
      <c r="C5" s="11"/>
      <c r="D5" s="238" t="s">
        <v>554</v>
      </c>
      <c r="E5" s="239"/>
      <c r="F5" s="248">
        <f>+C3</f>
        <v>45382</v>
      </c>
      <c r="G5" s="254" t="s">
        <v>556</v>
      </c>
      <c r="J5" s="227"/>
      <c r="BE5" s="227"/>
    </row>
    <row r="6" spans="1:64" x14ac:dyDescent="0.2">
      <c r="A6" s="227"/>
      <c r="B6" s="228" t="s">
        <v>96</v>
      </c>
      <c r="C6" s="232" t="s">
        <v>511</v>
      </c>
      <c r="E6" s="228" t="s">
        <v>96</v>
      </c>
      <c r="F6" s="232" t="s">
        <v>511</v>
      </c>
      <c r="G6" s="250" t="s">
        <v>555</v>
      </c>
      <c r="I6" s="227"/>
      <c r="J6" s="9"/>
      <c r="K6" s="229" t="s">
        <v>536</v>
      </c>
      <c r="L6" s="251"/>
      <c r="O6" s="47" t="s">
        <v>540</v>
      </c>
      <c r="Q6" s="2" t="s">
        <v>167</v>
      </c>
      <c r="S6" t="s">
        <v>551</v>
      </c>
      <c r="BD6" s="227"/>
      <c r="BE6" s="9"/>
      <c r="BF6" s="229" t="s">
        <v>536</v>
      </c>
      <c r="BG6" s="251"/>
      <c r="BJ6" s="47" t="s">
        <v>540</v>
      </c>
      <c r="BL6" s="2" t="s">
        <v>167</v>
      </c>
    </row>
    <row r="7" spans="1:64" ht="12" thickBot="1" x14ac:dyDescent="0.25">
      <c r="A7" s="210" t="s">
        <v>41</v>
      </c>
      <c r="B7" s="29" t="s">
        <v>101</v>
      </c>
      <c r="C7" s="69" t="s">
        <v>510</v>
      </c>
      <c r="D7" s="69" t="s">
        <v>138</v>
      </c>
      <c r="E7" s="29" t="s">
        <v>101</v>
      </c>
      <c r="F7" s="69" t="s">
        <v>510</v>
      </c>
      <c r="G7" s="103" t="s">
        <v>535</v>
      </c>
      <c r="I7" s="163" t="s">
        <v>41</v>
      </c>
      <c r="J7" s="69" t="s">
        <v>537</v>
      </c>
      <c r="K7" s="69" t="s">
        <v>538</v>
      </c>
      <c r="L7" s="69" t="s">
        <v>539</v>
      </c>
      <c r="M7" s="69" t="s">
        <v>180</v>
      </c>
      <c r="O7" s="69" t="s">
        <v>541</v>
      </c>
      <c r="Q7" s="8" t="s">
        <v>541</v>
      </c>
      <c r="S7" s="163" t="s">
        <v>41</v>
      </c>
      <c r="T7" s="69" t="s">
        <v>537</v>
      </c>
      <c r="U7" s="69" t="s">
        <v>538</v>
      </c>
      <c r="V7" s="69" t="s">
        <v>539</v>
      </c>
      <c r="W7" s="69" t="s">
        <v>167</v>
      </c>
      <c r="X7" s="592" t="s">
        <v>540</v>
      </c>
      <c r="Y7" s="69"/>
      <c r="Z7" s="227" t="s">
        <v>514</v>
      </c>
      <c r="AA7" s="227"/>
      <c r="AB7" s="227"/>
      <c r="AC7" s="227"/>
      <c r="AD7" s="227"/>
      <c r="AE7" s="227"/>
      <c r="AF7" s="233"/>
      <c r="AG7" s="227"/>
      <c r="AH7" s="227"/>
      <c r="AI7" s="227"/>
      <c r="AJ7" s="227"/>
      <c r="AK7" s="227"/>
      <c r="BB7" s="69"/>
      <c r="BD7" s="163" t="s">
        <v>41</v>
      </c>
      <c r="BE7" s="69" t="s">
        <v>537</v>
      </c>
      <c r="BF7" s="69" t="s">
        <v>538</v>
      </c>
      <c r="BG7" s="69" t="s">
        <v>539</v>
      </c>
      <c r="BH7" s="69" t="s">
        <v>180</v>
      </c>
      <c r="BJ7" s="69" t="s">
        <v>541</v>
      </c>
      <c r="BL7" s="8" t="s">
        <v>541</v>
      </c>
    </row>
    <row r="8" spans="1:64" ht="12" thickTop="1" x14ac:dyDescent="0.2">
      <c r="A8" s="227"/>
      <c r="B8" s="227"/>
      <c r="D8" s="227"/>
      <c r="E8" s="227"/>
      <c r="Z8" t="s">
        <v>532</v>
      </c>
      <c r="AA8">
        <f>MONTH(A9)</f>
        <v>4</v>
      </c>
      <c r="AB8" s="227"/>
      <c r="AC8" s="227"/>
      <c r="AD8" s="232" t="s">
        <v>515</v>
      </c>
      <c r="AE8" s="232" t="s">
        <v>513</v>
      </c>
      <c r="AF8" s="232" t="s">
        <v>17</v>
      </c>
      <c r="AG8" s="227"/>
      <c r="AH8" s="249" t="s">
        <v>165</v>
      </c>
      <c r="AI8" s="227"/>
      <c r="AJ8" s="227"/>
      <c r="AK8" s="227"/>
      <c r="AL8" s="255"/>
      <c r="AM8" s="256" t="s">
        <v>520</v>
      </c>
      <c r="AN8" s="256"/>
      <c r="AO8" s="257"/>
      <c r="AP8" s="255"/>
      <c r="AQ8" s="256" t="s">
        <v>526</v>
      </c>
      <c r="AR8" s="256"/>
      <c r="AS8" s="257"/>
      <c r="AT8" s="255"/>
      <c r="AU8" s="256" t="s">
        <v>527</v>
      </c>
      <c r="AV8" s="256"/>
      <c r="AW8" s="257"/>
      <c r="AX8" s="255"/>
      <c r="AY8" s="256" t="s">
        <v>528</v>
      </c>
      <c r="AZ8" s="256"/>
      <c r="BA8" s="257"/>
    </row>
    <row r="9" spans="1:64" x14ac:dyDescent="0.2">
      <c r="A9" s="240">
        <f>Transport!A20</f>
        <v>44287</v>
      </c>
      <c r="B9" s="241">
        <f>Transport!$F20</f>
        <v>35.869891317541402</v>
      </c>
      <c r="C9" s="245">
        <f ca="1">LeastSq!$AF7</f>
        <v>40.362900103574347</v>
      </c>
      <c r="D9" s="242">
        <f>Transport!I20</f>
        <v>1</v>
      </c>
      <c r="E9" s="241">
        <f t="shared" ref="E9:E44" si="0">B9*D9</f>
        <v>35.869891317541402</v>
      </c>
      <c r="F9" s="245">
        <f ca="1">LeastSq!$AF69</f>
        <v>40.362900103574347</v>
      </c>
      <c r="G9" s="315">
        <f ca="1">IF(E9=0,"NA",+E9/F9)</f>
        <v>0.88868468879828921</v>
      </c>
      <c r="I9" s="252" t="s">
        <v>498</v>
      </c>
      <c r="J9" s="315">
        <f t="shared" ref="J9:J20" ca="1" si="1">AH11</f>
        <v>0.81594031896228447</v>
      </c>
      <c r="K9" s="315">
        <f t="shared" ref="K9:K20" ca="1" si="2">AI11</f>
        <v>0.86232630853002479</v>
      </c>
      <c r="L9" s="315" t="str">
        <f t="shared" ref="L9:L20" si="3">IF(AJ11=0,"--",AJ11)</f>
        <v>--</v>
      </c>
      <c r="M9" s="316">
        <f t="shared" ref="M9:M20" ca="1" si="4">AVERAGE(J9:L9)</f>
        <v>0.83913331374615463</v>
      </c>
      <c r="N9" s="15"/>
      <c r="O9" s="585">
        <f t="shared" ref="O9:O20" ca="1" si="5">(M9*12/M$22)*O$4+(1-O$4)</f>
        <v>0.91999236490763958</v>
      </c>
      <c r="P9" s="15"/>
      <c r="Q9" s="96">
        <f>PMPM!C112</f>
        <v>1.02</v>
      </c>
      <c r="S9" s="252" t="s">
        <v>498</v>
      </c>
      <c r="T9" s="246">
        <f t="shared" ref="T9:T19" ca="1" si="6">IF(J9="NA","",ROUND(J9,2))</f>
        <v>0.82</v>
      </c>
      <c r="U9" s="246">
        <f t="shared" ref="U9:U20" ca="1" si="7">IF(K9="NA","",ROUND(K9,2))</f>
        <v>0.86</v>
      </c>
      <c r="V9" s="246" t="str">
        <f t="shared" ref="V9:V14" si="8">IF(OR(L9="NA",L9="--"),"",ROUND(L9,2))</f>
        <v/>
      </c>
      <c r="W9" s="246">
        <f>+PMPM!C112</f>
        <v>1.02</v>
      </c>
      <c r="X9" s="246">
        <f ca="1">+O9</f>
        <v>0.91999236490763958</v>
      </c>
      <c r="Y9" s="237"/>
      <c r="Z9" s="1" t="s">
        <v>534</v>
      </c>
      <c r="AB9" s="69" t="s">
        <v>497</v>
      </c>
      <c r="AC9" s="2" t="s">
        <v>531</v>
      </c>
      <c r="AD9" s="69" t="s">
        <v>512</v>
      </c>
      <c r="AE9" s="69" t="s">
        <v>512</v>
      </c>
      <c r="AF9" s="69" t="s">
        <v>512</v>
      </c>
      <c r="AG9" s="232"/>
      <c r="AH9" s="232" t="s">
        <v>516</v>
      </c>
      <c r="AI9" s="232" t="s">
        <v>517</v>
      </c>
      <c r="AJ9" s="232" t="s">
        <v>518</v>
      </c>
      <c r="AK9" s="227"/>
      <c r="AL9" s="258" t="s">
        <v>176</v>
      </c>
      <c r="AM9" s="227" t="s">
        <v>518</v>
      </c>
      <c r="AN9" s="227"/>
      <c r="AO9" s="259"/>
      <c r="AP9" s="258"/>
      <c r="AQ9" s="227"/>
      <c r="AR9" s="227"/>
      <c r="AS9" s="259"/>
      <c r="AT9" s="258"/>
      <c r="AU9" s="227"/>
      <c r="AV9" s="227"/>
      <c r="AW9" s="259"/>
      <c r="AX9" s="258"/>
      <c r="AY9" s="227"/>
      <c r="AZ9" s="227"/>
      <c r="BA9" s="259"/>
      <c r="BB9" s="246"/>
      <c r="BD9" s="252" t="s">
        <v>498</v>
      </c>
      <c r="BE9" s="315">
        <v>1.038406368324162</v>
      </c>
      <c r="BF9" s="315">
        <v>1.1406123394010368</v>
      </c>
      <c r="BG9" s="315" t="s">
        <v>1067</v>
      </c>
      <c r="BH9" s="315">
        <v>1.0895093538625993</v>
      </c>
      <c r="BI9" s="15"/>
      <c r="BJ9" s="315">
        <v>1.0295852202478231</v>
      </c>
      <c r="BL9" s="96">
        <v>1.02</v>
      </c>
    </row>
    <row r="10" spans="1:64" x14ac:dyDescent="0.2">
      <c r="A10" s="243">
        <f>Transport!A21</f>
        <v>44317</v>
      </c>
      <c r="B10" s="241">
        <f>Transport!$F21</f>
        <v>36.591966235234068</v>
      </c>
      <c r="C10" s="247">
        <f ca="1">LeastSq!$AF8</f>
        <v>40.34356793165415</v>
      </c>
      <c r="D10" s="244">
        <f>Transport!I21</f>
        <v>1</v>
      </c>
      <c r="E10" s="241">
        <f t="shared" si="0"/>
        <v>36.591966235234068</v>
      </c>
      <c r="F10" s="247">
        <f ca="1">LeastSq!$AF70</f>
        <v>40.34356793165415</v>
      </c>
      <c r="G10" s="315">
        <f t="shared" ref="G10:G41" ca="1" si="9">IF(E10=0,"NA",+E10/F10)</f>
        <v>0.9070086784893282</v>
      </c>
      <c r="I10" s="252" t="s">
        <v>499</v>
      </c>
      <c r="J10" s="315">
        <f t="shared" ca="1" si="1"/>
        <v>0.77595468265441192</v>
      </c>
      <c r="K10" s="315">
        <f t="shared" ca="1" si="2"/>
        <v>0.89110629873578173</v>
      </c>
      <c r="L10" s="315" t="str">
        <f t="shared" si="3"/>
        <v>--</v>
      </c>
      <c r="M10" s="316">
        <f t="shared" ca="1" si="4"/>
        <v>0.83353049069509688</v>
      </c>
      <c r="N10" s="15"/>
      <c r="O10" s="15">
        <f t="shared" ca="1" si="5"/>
        <v>0.91718811096511932</v>
      </c>
      <c r="P10" s="15"/>
      <c r="Q10" s="96">
        <f>PMPM!C113</f>
        <v>0.97</v>
      </c>
      <c r="S10" s="252" t="s">
        <v>499</v>
      </c>
      <c r="T10" s="246">
        <f t="shared" ca="1" si="6"/>
        <v>0.78</v>
      </c>
      <c r="U10" s="246">
        <f t="shared" ca="1" si="7"/>
        <v>0.89</v>
      </c>
      <c r="V10" s="246" t="str">
        <f t="shared" si="8"/>
        <v/>
      </c>
      <c r="W10" s="246">
        <f>+PMPM!C113</f>
        <v>0.97</v>
      </c>
      <c r="X10" s="246">
        <f t="shared" ref="X10:X20" ca="1" si="10">+O10</f>
        <v>0.91718811096511932</v>
      </c>
      <c r="Y10" s="237"/>
      <c r="Z10" t="s">
        <v>533</v>
      </c>
      <c r="AB10" s="232"/>
      <c r="AD10" s="232"/>
      <c r="AE10" s="232"/>
      <c r="AF10" s="232"/>
      <c r="AG10" s="227"/>
      <c r="AH10" s="227"/>
      <c r="AI10" s="227"/>
      <c r="AJ10" s="227"/>
      <c r="AK10" s="227"/>
      <c r="AL10" s="260" t="s">
        <v>519</v>
      </c>
      <c r="AM10" s="232"/>
      <c r="AN10" s="227"/>
      <c r="AO10" s="259"/>
      <c r="AP10" s="260" t="s">
        <v>516</v>
      </c>
      <c r="AQ10" s="232" t="s">
        <v>180</v>
      </c>
      <c r="AR10" s="227"/>
      <c r="AS10" s="259"/>
      <c r="AT10" s="260" t="s">
        <v>517</v>
      </c>
      <c r="AU10" s="232" t="s">
        <v>180</v>
      </c>
      <c r="AV10" s="227"/>
      <c r="AW10" s="259"/>
      <c r="AX10" s="260" t="s">
        <v>518</v>
      </c>
      <c r="AY10" s="232" t="s">
        <v>180</v>
      </c>
      <c r="AZ10" s="227"/>
      <c r="BA10" s="259"/>
      <c r="BB10" s="246"/>
      <c r="BD10" s="252" t="s">
        <v>499</v>
      </c>
      <c r="BE10" s="315">
        <v>0.94893865009113776</v>
      </c>
      <c r="BF10" s="315">
        <v>1.0464945021674645</v>
      </c>
      <c r="BG10" s="315" t="s">
        <v>1067</v>
      </c>
      <c r="BH10" s="315">
        <v>0.9977165761293012</v>
      </c>
      <c r="BI10" s="15"/>
      <c r="BJ10" s="315">
        <v>0.98496688058813564</v>
      </c>
      <c r="BL10" s="96">
        <v>0.97</v>
      </c>
    </row>
    <row r="11" spans="1:64" x14ac:dyDescent="0.2">
      <c r="A11" s="243">
        <f>Transport!A22</f>
        <v>44348</v>
      </c>
      <c r="B11" s="241">
        <f>Transport!$F22</f>
        <v>38.790531392615186</v>
      </c>
      <c r="C11" s="247">
        <f ca="1">LeastSq!$AF9</f>
        <v>40.324245019050558</v>
      </c>
      <c r="D11" s="244">
        <f>Transport!I22</f>
        <v>1</v>
      </c>
      <c r="E11" s="241">
        <f t="shared" si="0"/>
        <v>38.790531392615186</v>
      </c>
      <c r="F11" s="247">
        <f ca="1">LeastSq!$AF71</f>
        <v>40.324245019050558</v>
      </c>
      <c r="G11" s="315">
        <f t="shared" ca="1" si="9"/>
        <v>0.96196547199555027</v>
      </c>
      <c r="I11" s="252" t="s">
        <v>500</v>
      </c>
      <c r="J11" s="315">
        <f t="shared" ca="1" si="1"/>
        <v>0.97248805123793669</v>
      </c>
      <c r="K11" s="315">
        <f t="shared" ca="1" si="2"/>
        <v>1.0839540122620051</v>
      </c>
      <c r="L11" s="315" t="str">
        <f t="shared" si="3"/>
        <v>--</v>
      </c>
      <c r="M11" s="316">
        <f t="shared" ca="1" si="4"/>
        <v>1.0282210317499709</v>
      </c>
      <c r="N11" s="15"/>
      <c r="O11" s="15">
        <f t="shared" ca="1" si="5"/>
        <v>1.0146321516476946</v>
      </c>
      <c r="P11" s="15"/>
      <c r="Q11" s="96">
        <f>PMPM!C114</f>
        <v>1.03</v>
      </c>
      <c r="S11" s="252" t="s">
        <v>500</v>
      </c>
      <c r="T11" s="246">
        <f t="shared" ca="1" si="6"/>
        <v>0.97</v>
      </c>
      <c r="U11" s="246">
        <f t="shared" ca="1" si="7"/>
        <v>1.08</v>
      </c>
      <c r="V11" s="246" t="str">
        <f t="shared" si="8"/>
        <v/>
      </c>
      <c r="W11" s="246">
        <f>+PMPM!C114</f>
        <v>1.03</v>
      </c>
      <c r="X11" s="246">
        <f t="shared" ca="1" si="10"/>
        <v>1.0146321516476946</v>
      </c>
      <c r="Y11" s="237"/>
      <c r="Z11">
        <v>1</v>
      </c>
      <c r="AA11">
        <f>IF(AA8=1,101,114-AA8)</f>
        <v>110</v>
      </c>
      <c r="AB11" s="227">
        <f t="shared" ref="AB11:AB22" si="11">MONTH(A9)</f>
        <v>4</v>
      </c>
      <c r="AC11">
        <v>101</v>
      </c>
      <c r="AD11" s="237">
        <f t="shared" ref="AD11:AD22" ca="1" si="12">+G9</f>
        <v>0.88868468879828921</v>
      </c>
      <c r="AE11" s="237">
        <f t="shared" ref="AE11:AE22" ca="1" si="13">+G21</f>
        <v>0.93340082816979419</v>
      </c>
      <c r="AF11" s="237">
        <f t="shared" ref="AF11:AF22" ca="1" si="14">+G33</f>
        <v>0.90180407185245792</v>
      </c>
      <c r="AG11" s="227"/>
      <c r="AH11" s="237">
        <f t="shared" ref="AH11:AH22" ca="1" si="15">VLOOKUP($AA11,$AC$11:$AF$22,2)</f>
        <v>0.81594031896228447</v>
      </c>
      <c r="AI11" s="237">
        <f t="shared" ref="AI11:AI22" ca="1" si="16">VLOOKUP($AA11,$AC$11:$AF$22,3)</f>
        <v>0.86232630853002479</v>
      </c>
      <c r="AJ11" s="237">
        <f t="shared" ref="AJ11:AJ22" si="17">VLOOKUP($AA11,$AC$11:$AF$22,4)</f>
        <v>0</v>
      </c>
      <c r="AK11" s="227"/>
      <c r="AL11" s="261">
        <f t="shared" ref="AL11:AL22" ca="1" si="18">AVERAGE(AH11:AI11)</f>
        <v>0.83913331374615463</v>
      </c>
      <c r="AM11" s="237">
        <f t="shared" ref="AM11:AM22" si="19">AJ11</f>
        <v>0</v>
      </c>
      <c r="AN11" s="227"/>
      <c r="AO11" s="259"/>
      <c r="AP11" s="261">
        <f t="shared" ref="AP11:AP22" ca="1" si="20">AH11</f>
        <v>0.81594031896228447</v>
      </c>
      <c r="AQ11" s="237">
        <f t="shared" ref="AQ11:AQ22" ca="1" si="21">AVERAGE(AH11:AJ11)</f>
        <v>0.55942220916410312</v>
      </c>
      <c r="AR11" s="227"/>
      <c r="AS11" s="259"/>
      <c r="AT11" s="261">
        <f t="shared" ref="AT11:AT22" ca="1" si="22">AI11</f>
        <v>0.86232630853002479</v>
      </c>
      <c r="AU11" s="237">
        <f t="shared" ref="AU11:AU22" ca="1" si="23">AVERAGE(AH11:AJ11)</f>
        <v>0.55942220916410312</v>
      </c>
      <c r="AV11" s="227"/>
      <c r="AW11" s="259"/>
      <c r="AX11" s="261">
        <f t="shared" ref="AX11:AX22" si="24">AJ11</f>
        <v>0</v>
      </c>
      <c r="AY11" s="237">
        <f t="shared" ref="AY11:AY22" ca="1" si="25">AVERAGE(AH11:AJ11)</f>
        <v>0.55942220916410312</v>
      </c>
      <c r="AZ11" s="227"/>
      <c r="BA11" s="259"/>
      <c r="BB11" s="246"/>
      <c r="BD11" s="252" t="s">
        <v>500</v>
      </c>
      <c r="BE11" s="315">
        <v>1.0778169473688128</v>
      </c>
      <c r="BF11" s="315">
        <v>0.92509854663748547</v>
      </c>
      <c r="BG11" s="315" t="s">
        <v>1067</v>
      </c>
      <c r="BH11" s="315">
        <v>1.0014577470031492</v>
      </c>
      <c r="BI11" s="15"/>
      <c r="BJ11" s="315">
        <v>0.98678537695458468</v>
      </c>
      <c r="BL11" s="96">
        <v>1.03</v>
      </c>
    </row>
    <row r="12" spans="1:64" x14ac:dyDescent="0.2">
      <c r="A12" s="243">
        <f>Transport!A23</f>
        <v>44378</v>
      </c>
      <c r="B12" s="241">
        <f>Transport!$F23</f>
        <v>40.350388620093234</v>
      </c>
      <c r="C12" s="247">
        <f ca="1">LeastSq!$AF10</f>
        <v>40.304931361328741</v>
      </c>
      <c r="D12" s="244">
        <f>Transport!I23</f>
        <v>1</v>
      </c>
      <c r="E12" s="241">
        <f t="shared" si="0"/>
        <v>40.350388620093234</v>
      </c>
      <c r="F12" s="247">
        <f ca="1">LeastSq!$AF72</f>
        <v>40.304931361328741</v>
      </c>
      <c r="G12" s="315">
        <f t="shared" ca="1" si="9"/>
        <v>1.0011278336726832</v>
      </c>
      <c r="I12" s="252" t="s">
        <v>501</v>
      </c>
      <c r="J12" s="315">
        <f t="shared" ca="1" si="1"/>
        <v>0.88868468879828921</v>
      </c>
      <c r="K12" s="315">
        <f t="shared" ca="1" si="2"/>
        <v>0.93340082816979419</v>
      </c>
      <c r="L12" s="315">
        <f t="shared" ca="1" si="3"/>
        <v>0.90180407185245792</v>
      </c>
      <c r="M12" s="316">
        <f t="shared" ca="1" si="4"/>
        <v>0.90796319627351385</v>
      </c>
      <c r="N12" s="15"/>
      <c r="O12" s="15">
        <f t="shared" ca="1" si="5"/>
        <v>0.9544422248588863</v>
      </c>
      <c r="P12" s="15"/>
      <c r="Q12" s="96">
        <f>PMPM!C115</f>
        <v>1.01</v>
      </c>
      <c r="S12" s="252" t="s">
        <v>501</v>
      </c>
      <c r="T12" s="246">
        <f t="shared" ca="1" si="6"/>
        <v>0.89</v>
      </c>
      <c r="U12" s="246">
        <f t="shared" ca="1" si="7"/>
        <v>0.93</v>
      </c>
      <c r="V12" s="246">
        <f t="shared" ca="1" si="8"/>
        <v>0.9</v>
      </c>
      <c r="W12" s="246">
        <f>+PMPM!C115</f>
        <v>1.01</v>
      </c>
      <c r="X12" s="246">
        <f t="shared" ca="1" si="10"/>
        <v>0.9544422248588863</v>
      </c>
      <c r="Y12" s="237"/>
      <c r="Z12">
        <v>2</v>
      </c>
      <c r="AA12">
        <f>IF(AA11=112,101,1+AA11)</f>
        <v>111</v>
      </c>
      <c r="AB12" s="227">
        <f t="shared" si="11"/>
        <v>5</v>
      </c>
      <c r="AC12">
        <v>102</v>
      </c>
      <c r="AD12" s="237">
        <f t="shared" ca="1" si="12"/>
        <v>0.9070086784893282</v>
      </c>
      <c r="AE12" s="237">
        <f t="shared" ca="1" si="13"/>
        <v>0.97777974516806565</v>
      </c>
      <c r="AF12" s="237">
        <f t="shared" ca="1" si="14"/>
        <v>1.0092677647107027</v>
      </c>
      <c r="AG12" s="227"/>
      <c r="AH12" s="237">
        <f t="shared" ca="1" si="15"/>
        <v>0.77595468265441192</v>
      </c>
      <c r="AI12" s="237">
        <f t="shared" ca="1" si="16"/>
        <v>0.89110629873578173</v>
      </c>
      <c r="AJ12" s="237">
        <f t="shared" si="17"/>
        <v>0</v>
      </c>
      <c r="AK12" s="227"/>
      <c r="AL12" s="261">
        <f t="shared" ca="1" si="18"/>
        <v>0.83353049069509688</v>
      </c>
      <c r="AM12" s="237">
        <f t="shared" si="19"/>
        <v>0</v>
      </c>
      <c r="AN12" s="232" t="s">
        <v>245</v>
      </c>
      <c r="AO12" s="262">
        <f ca="1">AVERAGE(AL11:AL22)</f>
        <v>1.0027274778808641</v>
      </c>
      <c r="AP12" s="261">
        <f t="shared" ca="1" si="20"/>
        <v>0.77595468265441192</v>
      </c>
      <c r="AQ12" s="237">
        <f t="shared" ca="1" si="21"/>
        <v>0.55568699379673125</v>
      </c>
      <c r="AR12" s="232" t="s">
        <v>245</v>
      </c>
      <c r="AS12" s="262">
        <f ca="1">AVERAGE(AP11:AP22)</f>
        <v>1.0194216219768091</v>
      </c>
      <c r="AT12" s="261">
        <f t="shared" ca="1" si="22"/>
        <v>0.89110629873578173</v>
      </c>
      <c r="AU12" s="237">
        <f t="shared" ca="1" si="23"/>
        <v>0.55568699379673125</v>
      </c>
      <c r="AV12" s="232" t="s">
        <v>245</v>
      </c>
      <c r="AW12" s="262">
        <f ca="1">AVERAGE(AT11:AT22)</f>
        <v>0.98603333378491909</v>
      </c>
      <c r="AX12" s="261">
        <f t="shared" si="24"/>
        <v>0</v>
      </c>
      <c r="AY12" s="237">
        <f t="shared" ca="1" si="25"/>
        <v>0.55568699379673125</v>
      </c>
      <c r="AZ12" s="232" t="s">
        <v>245</v>
      </c>
      <c r="BA12" s="262">
        <f ca="1">AVERAGE(AX11:AX22)</f>
        <v>0.76643048093499999</v>
      </c>
      <c r="BB12" s="246"/>
      <c r="BD12" s="252" t="s">
        <v>501</v>
      </c>
      <c r="BE12" s="315">
        <v>0.9155052960261032</v>
      </c>
      <c r="BF12" s="315">
        <v>1.0655556094184815</v>
      </c>
      <c r="BG12" s="315"/>
      <c r="BH12" s="315">
        <v>0.99053045272229234</v>
      </c>
      <c r="BI12" s="15"/>
      <c r="BJ12" s="315">
        <v>0.98147387271836672</v>
      </c>
      <c r="BL12" s="96">
        <v>1.01</v>
      </c>
    </row>
    <row r="13" spans="1:64" x14ac:dyDescent="0.2">
      <c r="A13" s="243">
        <f>Transport!A24</f>
        <v>44409</v>
      </c>
      <c r="B13" s="241">
        <f>Transport!$F24</f>
        <v>47.798624963803547</v>
      </c>
      <c r="C13" s="247">
        <f ca="1">LeastSq!$AF11</f>
        <v>40.285626954055992</v>
      </c>
      <c r="D13" s="244">
        <f>Transport!I24</f>
        <v>1</v>
      </c>
      <c r="E13" s="241">
        <f t="shared" si="0"/>
        <v>47.798624963803547</v>
      </c>
      <c r="F13" s="247">
        <f ca="1">LeastSq!$AF73</f>
        <v>40.285626954055992</v>
      </c>
      <c r="G13" s="315">
        <f t="shared" ca="1" si="9"/>
        <v>1.1864932626794118</v>
      </c>
      <c r="I13" s="252" t="s">
        <v>502</v>
      </c>
      <c r="J13" s="315">
        <f t="shared" ca="1" si="1"/>
        <v>0.9070086784893282</v>
      </c>
      <c r="K13" s="315">
        <f t="shared" ca="1" si="2"/>
        <v>0.97777974516806565</v>
      </c>
      <c r="L13" s="315">
        <f t="shared" ca="1" si="3"/>
        <v>1.0092677647107027</v>
      </c>
      <c r="M13" s="316">
        <f t="shared" ca="1" si="4"/>
        <v>0.96468539612269888</v>
      </c>
      <c r="N13" s="15"/>
      <c r="O13" s="15">
        <f t="shared" ca="1" si="5"/>
        <v>0.98283210101702634</v>
      </c>
      <c r="P13" s="15"/>
      <c r="Q13" s="96">
        <f>PMPM!C116</f>
        <v>1.02</v>
      </c>
      <c r="S13" s="252" t="s">
        <v>502</v>
      </c>
      <c r="T13" s="246">
        <f t="shared" ca="1" si="6"/>
        <v>0.91</v>
      </c>
      <c r="U13" s="246">
        <f t="shared" ca="1" si="7"/>
        <v>0.98</v>
      </c>
      <c r="V13" s="246">
        <f t="shared" ca="1" si="8"/>
        <v>1.01</v>
      </c>
      <c r="W13" s="246">
        <f>+PMPM!C116</f>
        <v>1.02</v>
      </c>
      <c r="X13" s="246">
        <f t="shared" ca="1" si="10"/>
        <v>0.98283210101702634</v>
      </c>
      <c r="Y13" s="237"/>
      <c r="Z13">
        <v>3</v>
      </c>
      <c r="AA13">
        <f t="shared" ref="AA13:AA22" si="26">IF(AA12=112,101,1+AA12)</f>
        <v>112</v>
      </c>
      <c r="AB13" s="227">
        <f t="shared" si="11"/>
        <v>6</v>
      </c>
      <c r="AC13">
        <v>103</v>
      </c>
      <c r="AD13" s="237">
        <f t="shared" ca="1" si="12"/>
        <v>0.96196547199555027</v>
      </c>
      <c r="AE13" s="237">
        <f t="shared" ca="1" si="13"/>
        <v>0.98239449302454529</v>
      </c>
      <c r="AF13" s="237">
        <f t="shared" ca="1" si="14"/>
        <v>1.0276769439709599</v>
      </c>
      <c r="AG13" s="227"/>
      <c r="AH13" s="237">
        <f t="shared" ca="1" si="15"/>
        <v>0.97248805123793669</v>
      </c>
      <c r="AI13" s="237">
        <f t="shared" ca="1" si="16"/>
        <v>1.0839540122620051</v>
      </c>
      <c r="AJ13" s="237">
        <f t="shared" si="17"/>
        <v>0</v>
      </c>
      <c r="AK13" s="227"/>
      <c r="AL13" s="261">
        <f t="shared" ca="1" si="18"/>
        <v>1.0282210317499709</v>
      </c>
      <c r="AM13" s="237">
        <f t="shared" si="19"/>
        <v>0</v>
      </c>
      <c r="AN13" s="232" t="s">
        <v>521</v>
      </c>
      <c r="AO13" s="262">
        <f ca="1">SUMPRODUCT(AL11:AL22,AL11:AL22)/12</f>
        <v>1.0160338029607188</v>
      </c>
      <c r="AP13" s="261">
        <f t="shared" ca="1" si="20"/>
        <v>0.97248805123793669</v>
      </c>
      <c r="AQ13" s="237">
        <f t="shared" ca="1" si="21"/>
        <v>0.68548068783331395</v>
      </c>
      <c r="AR13" s="232" t="s">
        <v>521</v>
      </c>
      <c r="AS13" s="262">
        <f ca="1">SUMPRODUCT(AP11:AP22,AP11:AP22)/12</f>
        <v>1.0617936195045732</v>
      </c>
      <c r="AT13" s="261">
        <f t="shared" ca="1" si="22"/>
        <v>1.0839540122620051</v>
      </c>
      <c r="AU13" s="237">
        <f t="shared" ca="1" si="23"/>
        <v>0.68548068783331395</v>
      </c>
      <c r="AV13" s="232" t="s">
        <v>521</v>
      </c>
      <c r="AW13" s="262">
        <f ca="1">SUMPRODUCT(AT11:AT22,AT11:AT22)/12</f>
        <v>0.97717878933324698</v>
      </c>
      <c r="AX13" s="261">
        <f t="shared" si="24"/>
        <v>0</v>
      </c>
      <c r="AY13" s="237">
        <f t="shared" ca="1" si="25"/>
        <v>0.68548068783331395</v>
      </c>
      <c r="AZ13" s="232" t="s">
        <v>521</v>
      </c>
      <c r="BA13" s="262">
        <f ca="1">SUMPRODUCT(AX11:AX22,AX11:AX22)/12</f>
        <v>0.78665500081207185</v>
      </c>
      <c r="BB13" s="246"/>
      <c r="BD13" s="252" t="s">
        <v>502</v>
      </c>
      <c r="BE13" s="315">
        <v>0.96618789594469701</v>
      </c>
      <c r="BF13" s="315">
        <v>1.1138941833334188</v>
      </c>
      <c r="BG13" s="315"/>
      <c r="BH13" s="315">
        <v>1.0400410396390578</v>
      </c>
      <c r="BI13" s="15"/>
      <c r="BJ13" s="315">
        <v>1.005539820370819</v>
      </c>
      <c r="BL13" s="96">
        <v>1.02</v>
      </c>
    </row>
    <row r="14" spans="1:64" x14ac:dyDescent="0.2">
      <c r="A14" s="243">
        <f>Transport!A25</f>
        <v>44440</v>
      </c>
      <c r="B14" s="241">
        <f>Transport!$F25</f>
        <v>46.237790728679677</v>
      </c>
      <c r="C14" s="247">
        <f ca="1">LeastSq!$AF12</f>
        <v>40.266331792801736</v>
      </c>
      <c r="D14" s="244">
        <f>Transport!I25</f>
        <v>1</v>
      </c>
      <c r="E14" s="241">
        <f t="shared" si="0"/>
        <v>46.237790728679677</v>
      </c>
      <c r="F14" s="247">
        <f ca="1">LeastSq!$AF74</f>
        <v>40.266331792801736</v>
      </c>
      <c r="G14" s="315">
        <f t="shared" ca="1" si="9"/>
        <v>1.1482990545700871</v>
      </c>
      <c r="I14" s="252" t="s">
        <v>503</v>
      </c>
      <c r="J14" s="315">
        <f t="shared" ca="1" si="1"/>
        <v>0.96196547199555027</v>
      </c>
      <c r="K14" s="315">
        <f t="shared" ca="1" si="2"/>
        <v>0.98239449302454529</v>
      </c>
      <c r="L14" s="315">
        <f t="shared" ca="1" si="3"/>
        <v>1.0276769439709599</v>
      </c>
      <c r="M14" s="316">
        <f t="shared" ca="1" si="4"/>
        <v>0.99067896966368518</v>
      </c>
      <c r="N14" s="15"/>
      <c r="O14" s="15">
        <f t="shared" ca="1" si="5"/>
        <v>0.99584207481385023</v>
      </c>
      <c r="P14" s="15"/>
      <c r="Q14" s="96">
        <f>PMPM!C117</f>
        <v>1.02</v>
      </c>
      <c r="S14" s="252" t="s">
        <v>503</v>
      </c>
      <c r="T14" s="246">
        <f t="shared" ca="1" si="6"/>
        <v>0.96</v>
      </c>
      <c r="U14" s="246">
        <f t="shared" ca="1" si="7"/>
        <v>0.98</v>
      </c>
      <c r="V14" s="246">
        <f t="shared" ca="1" si="8"/>
        <v>1.03</v>
      </c>
      <c r="W14" s="246">
        <f>+PMPM!C117</f>
        <v>1.02</v>
      </c>
      <c r="X14" s="246">
        <f t="shared" ca="1" si="10"/>
        <v>0.99584207481385023</v>
      </c>
      <c r="Y14" s="237"/>
      <c r="Z14">
        <v>4</v>
      </c>
      <c r="AA14">
        <f t="shared" si="26"/>
        <v>101</v>
      </c>
      <c r="AB14" s="227">
        <f t="shared" si="11"/>
        <v>7</v>
      </c>
      <c r="AC14">
        <v>104</v>
      </c>
      <c r="AD14" s="237">
        <f t="shared" ca="1" si="12"/>
        <v>1.0011278336726832</v>
      </c>
      <c r="AE14" s="237">
        <f t="shared" ca="1" si="13"/>
        <v>0.94790412531346857</v>
      </c>
      <c r="AF14" s="237">
        <f t="shared" ca="1" si="14"/>
        <v>0.96179314750935807</v>
      </c>
      <c r="AG14" s="227"/>
      <c r="AH14" s="237">
        <f t="shared" ca="1" si="15"/>
        <v>0.88868468879828921</v>
      </c>
      <c r="AI14" s="237">
        <f t="shared" ca="1" si="16"/>
        <v>0.93340082816979419</v>
      </c>
      <c r="AJ14" s="237">
        <f t="shared" ca="1" si="17"/>
        <v>0.90180407185245792</v>
      </c>
      <c r="AK14" s="227"/>
      <c r="AL14" s="261">
        <f t="shared" ca="1" si="18"/>
        <v>0.9110427584840417</v>
      </c>
      <c r="AM14" s="237">
        <f t="shared" ca="1" si="19"/>
        <v>0.90180407185245792</v>
      </c>
      <c r="AN14" s="232" t="s">
        <v>522</v>
      </c>
      <c r="AO14" s="262">
        <f ca="1">AVERAGE(AM11:AM22)</f>
        <v>0.76643048093499999</v>
      </c>
      <c r="AP14" s="261">
        <f t="shared" ca="1" si="20"/>
        <v>0.88868468879828921</v>
      </c>
      <c r="AQ14" s="237">
        <f t="shared" ca="1" si="21"/>
        <v>0.90796319627351385</v>
      </c>
      <c r="AR14" s="232" t="s">
        <v>522</v>
      </c>
      <c r="AS14" s="262">
        <f ca="1">AVERAGE(AQ11:AQ22)</f>
        <v>0.92396181223224272</v>
      </c>
      <c r="AT14" s="261">
        <f t="shared" ca="1" si="22"/>
        <v>0.93340082816979419</v>
      </c>
      <c r="AU14" s="237">
        <f t="shared" ca="1" si="23"/>
        <v>0.90796319627351385</v>
      </c>
      <c r="AV14" s="232" t="s">
        <v>522</v>
      </c>
      <c r="AW14" s="262">
        <f ca="1">AVERAGE(AU11:AU22)</f>
        <v>0.92396181223224272</v>
      </c>
      <c r="AX14" s="261">
        <f t="shared" ca="1" si="24"/>
        <v>0.90180407185245792</v>
      </c>
      <c r="AY14" s="237">
        <f t="shared" ca="1" si="25"/>
        <v>0.90796319627351385</v>
      </c>
      <c r="AZ14" s="232" t="s">
        <v>522</v>
      </c>
      <c r="BA14" s="262">
        <f ca="1">AVERAGE(AY11:AY22)</f>
        <v>0.92396181223224272</v>
      </c>
      <c r="BB14" s="246"/>
      <c r="BD14" s="252" t="s">
        <v>503</v>
      </c>
      <c r="BE14" s="315">
        <v>0.93117593513937236</v>
      </c>
      <c r="BF14" s="315">
        <v>1.0624732202058051</v>
      </c>
      <c r="BG14" s="315">
        <v>0.93226824179689272</v>
      </c>
      <c r="BH14" s="315">
        <v>0.97530579904735681</v>
      </c>
      <c r="BI14" s="15"/>
      <c r="BJ14" s="315">
        <v>0.97407352177961348</v>
      </c>
      <c r="BL14" s="96">
        <v>1.02</v>
      </c>
    </row>
    <row r="15" spans="1:64" x14ac:dyDescent="0.2">
      <c r="A15" s="243">
        <f>Transport!A26</f>
        <v>44470</v>
      </c>
      <c r="B15" s="241">
        <f>Transport!$F26</f>
        <v>47.622125569631088</v>
      </c>
      <c r="C15" s="247">
        <f ca="1">LeastSq!$AF13</f>
        <v>40.247045873137473</v>
      </c>
      <c r="D15" s="244">
        <f>Transport!I26</f>
        <v>1</v>
      </c>
      <c r="E15" s="241">
        <f t="shared" si="0"/>
        <v>47.622125569631088</v>
      </c>
      <c r="F15" s="247">
        <f ca="1">LeastSq!$AF75</f>
        <v>40.247045873137473</v>
      </c>
      <c r="G15" s="315">
        <f t="shared" ca="1" si="9"/>
        <v>1.1832452428866598</v>
      </c>
      <c r="I15" s="252" t="s">
        <v>504</v>
      </c>
      <c r="J15" s="315">
        <f t="shared" ca="1" si="1"/>
        <v>1.0011278336726832</v>
      </c>
      <c r="K15" s="315">
        <f t="shared" ca="1" si="2"/>
        <v>0.94790412531346857</v>
      </c>
      <c r="L15" s="315">
        <f t="shared" ca="1" si="3"/>
        <v>0.96179314750935807</v>
      </c>
      <c r="M15" s="316">
        <f t="shared" ca="1" si="4"/>
        <v>0.97027503549850325</v>
      </c>
      <c r="N15" s="15"/>
      <c r="O15" s="15">
        <f t="shared" ca="1" si="5"/>
        <v>0.98562975643359474</v>
      </c>
      <c r="P15" s="15"/>
      <c r="Q15" s="96">
        <f>PMPM!C118</f>
        <v>0.98</v>
      </c>
      <c r="S15" s="252" t="s">
        <v>504</v>
      </c>
      <c r="T15" s="246">
        <f t="shared" ca="1" si="6"/>
        <v>1</v>
      </c>
      <c r="U15" s="246">
        <f t="shared" ca="1" si="7"/>
        <v>0.95</v>
      </c>
      <c r="V15" s="246">
        <f ca="1">IF(OR(L15="NA",L15="--"),"",ROUND(L15,2))</f>
        <v>0.96</v>
      </c>
      <c r="W15" s="246">
        <f>+PMPM!C118</f>
        <v>0.98</v>
      </c>
      <c r="X15" s="246">
        <f t="shared" ca="1" si="10"/>
        <v>0.98562975643359474</v>
      </c>
      <c r="Y15" s="237"/>
      <c r="Z15">
        <v>5</v>
      </c>
      <c r="AA15">
        <f t="shared" si="26"/>
        <v>102</v>
      </c>
      <c r="AB15" s="227">
        <f t="shared" si="11"/>
        <v>8</v>
      </c>
      <c r="AC15">
        <v>105</v>
      </c>
      <c r="AD15" s="237">
        <f t="shared" ca="1" si="12"/>
        <v>1.1864932626794118</v>
      </c>
      <c r="AE15" s="237">
        <f t="shared" ca="1" si="13"/>
        <v>1.1163073316680456</v>
      </c>
      <c r="AF15" s="237">
        <f t="shared" ca="1" si="14"/>
        <v>1.102542395919814</v>
      </c>
      <c r="AG15" s="227"/>
      <c r="AH15" s="237">
        <f t="shared" ca="1" si="15"/>
        <v>0.9070086784893282</v>
      </c>
      <c r="AI15" s="237">
        <f t="shared" ca="1" si="16"/>
        <v>0.97777974516806565</v>
      </c>
      <c r="AJ15" s="237">
        <f t="shared" ca="1" si="17"/>
        <v>1.0092677647107027</v>
      </c>
      <c r="AK15" s="227"/>
      <c r="AL15" s="261">
        <f t="shared" ca="1" si="18"/>
        <v>0.94239421182869698</v>
      </c>
      <c r="AM15" s="237">
        <f t="shared" ca="1" si="19"/>
        <v>1.0092677647107027</v>
      </c>
      <c r="AN15" s="232" t="s">
        <v>523</v>
      </c>
      <c r="AO15" s="262">
        <f ca="1">SUMPRODUCT(AM11:AM22,AM11:AM22)/12</f>
        <v>0.78665500081207185</v>
      </c>
      <c r="AP15" s="261">
        <f t="shared" ca="1" si="20"/>
        <v>0.9070086784893282</v>
      </c>
      <c r="AQ15" s="237">
        <f t="shared" ca="1" si="21"/>
        <v>0.96468539612269888</v>
      </c>
      <c r="AR15" s="232" t="s">
        <v>523</v>
      </c>
      <c r="AS15" s="262">
        <f ca="1">SUMPRODUCT(AQ11:AQ22,AQ11:AQ22)/12</f>
        <v>0.893514594655341</v>
      </c>
      <c r="AT15" s="261">
        <f t="shared" ca="1" si="22"/>
        <v>0.97777974516806565</v>
      </c>
      <c r="AU15" s="237">
        <f t="shared" ca="1" si="23"/>
        <v>0.96468539612269888</v>
      </c>
      <c r="AV15" s="232" t="s">
        <v>523</v>
      </c>
      <c r="AW15" s="262">
        <f ca="1">SUMPRODUCT(AU11:AU22,AU11:AU22)/12</f>
        <v>0.893514594655341</v>
      </c>
      <c r="AX15" s="261">
        <f t="shared" ca="1" si="24"/>
        <v>1.0092677647107027</v>
      </c>
      <c r="AY15" s="237">
        <f t="shared" ca="1" si="25"/>
        <v>0.96468539612269888</v>
      </c>
      <c r="AZ15" s="232" t="s">
        <v>523</v>
      </c>
      <c r="BA15" s="262">
        <f ca="1">SUMPRODUCT(AY11:AY22,AY11:AY22)/12</f>
        <v>0.893514594655341</v>
      </c>
      <c r="BB15" s="246"/>
      <c r="BD15" s="252" t="s">
        <v>504</v>
      </c>
      <c r="BE15" s="315">
        <v>0.95867419194862979</v>
      </c>
      <c r="BF15" s="315">
        <v>1.1727558751617302</v>
      </c>
      <c r="BG15" s="315">
        <v>1.0151176453804742</v>
      </c>
      <c r="BH15" s="315">
        <v>1.0488492374969447</v>
      </c>
      <c r="BI15" s="15"/>
      <c r="BJ15" s="315">
        <v>1.0098212809989611</v>
      </c>
      <c r="BL15" s="96">
        <v>0.98</v>
      </c>
    </row>
    <row r="16" spans="1:64" x14ac:dyDescent="0.2">
      <c r="A16" s="243">
        <f>Transport!A27</f>
        <v>44501</v>
      </c>
      <c r="B16" s="241">
        <f>Transport!$F27</f>
        <v>47.227304643709218</v>
      </c>
      <c r="C16" s="247">
        <f ca="1">LeastSq!$AF14</f>
        <v>40.227769190636891</v>
      </c>
      <c r="D16" s="244">
        <f>Transport!I27</f>
        <v>1</v>
      </c>
      <c r="E16" s="241">
        <f t="shared" si="0"/>
        <v>47.227304643709218</v>
      </c>
      <c r="F16" s="247">
        <f ca="1">LeastSq!$AF76</f>
        <v>40.227769190636891</v>
      </c>
      <c r="G16" s="315">
        <f t="shared" ca="1" si="9"/>
        <v>1.1739976039909636</v>
      </c>
      <c r="I16" s="252" t="s">
        <v>505</v>
      </c>
      <c r="J16" s="315">
        <f t="shared" ca="1" si="1"/>
        <v>1.1864932626794118</v>
      </c>
      <c r="K16" s="315">
        <f t="shared" ca="1" si="2"/>
        <v>1.1163073316680456</v>
      </c>
      <c r="L16" s="315">
        <f t="shared" ca="1" si="3"/>
        <v>1.102542395919814</v>
      </c>
      <c r="M16" s="316">
        <f t="shared" ca="1" si="4"/>
        <v>1.1351143300890905</v>
      </c>
      <c r="N16" s="15"/>
      <c r="O16" s="15">
        <f t="shared" ca="1" si="5"/>
        <v>1.0681330297880249</v>
      </c>
      <c r="P16" s="15"/>
      <c r="Q16" s="96">
        <f>PMPM!C119</f>
        <v>1.02</v>
      </c>
      <c r="S16" s="252" t="s">
        <v>505</v>
      </c>
      <c r="T16" s="246">
        <f t="shared" ca="1" si="6"/>
        <v>1.19</v>
      </c>
      <c r="U16" s="246">
        <f t="shared" ca="1" si="7"/>
        <v>1.1200000000000001</v>
      </c>
      <c r="V16" s="246">
        <f t="shared" ref="V16:V20" ca="1" si="27">IF(OR(L16="NA",L16="--"),"",ROUND(L16,2))</f>
        <v>1.1000000000000001</v>
      </c>
      <c r="W16" s="246">
        <f>+PMPM!C119</f>
        <v>1.02</v>
      </c>
      <c r="X16" s="246">
        <f t="shared" ca="1" si="10"/>
        <v>1.0681330297880249</v>
      </c>
      <c r="Y16" s="237"/>
      <c r="Z16">
        <v>6</v>
      </c>
      <c r="AA16">
        <f t="shared" si="26"/>
        <v>103</v>
      </c>
      <c r="AB16" s="227">
        <f t="shared" si="11"/>
        <v>9</v>
      </c>
      <c r="AC16">
        <v>106</v>
      </c>
      <c r="AD16" s="237">
        <f t="shared" ca="1" si="12"/>
        <v>1.1482990545700871</v>
      </c>
      <c r="AE16" s="237">
        <f t="shared" ca="1" si="13"/>
        <v>1.0187751454423932</v>
      </c>
      <c r="AF16" s="237">
        <f t="shared" ca="1" si="14"/>
        <v>0.9957295209495014</v>
      </c>
      <c r="AG16" s="227"/>
      <c r="AH16" s="237">
        <f t="shared" ca="1" si="15"/>
        <v>0.96196547199555027</v>
      </c>
      <c r="AI16" s="237">
        <f t="shared" ca="1" si="16"/>
        <v>0.98239449302454529</v>
      </c>
      <c r="AJ16" s="237">
        <f t="shared" ca="1" si="17"/>
        <v>1.0276769439709599</v>
      </c>
      <c r="AK16" s="227"/>
      <c r="AL16" s="261">
        <f t="shared" ca="1" si="18"/>
        <v>0.97217998251004778</v>
      </c>
      <c r="AM16" s="237">
        <f t="shared" ca="1" si="19"/>
        <v>1.0276769439709599</v>
      </c>
      <c r="AN16" s="232" t="s">
        <v>524</v>
      </c>
      <c r="AO16" s="262">
        <f ca="1">SUMPRODUCT(AL11:AL22,AM11:AM22)/12</f>
        <v>0.79771028481078066</v>
      </c>
      <c r="AP16" s="261">
        <f t="shared" ca="1" si="20"/>
        <v>0.96196547199555027</v>
      </c>
      <c r="AQ16" s="237">
        <f t="shared" ca="1" si="21"/>
        <v>0.99067896966368518</v>
      </c>
      <c r="AR16" s="232" t="s">
        <v>524</v>
      </c>
      <c r="AS16" s="262">
        <f ca="1">SUMPRODUCT(AP11:AP22,AQ11:AQ22)/12</f>
        <v>0.96726651659191276</v>
      </c>
      <c r="AT16" s="261">
        <f t="shared" ca="1" si="22"/>
        <v>0.98239449302454529</v>
      </c>
      <c r="AU16" s="237">
        <f t="shared" ca="1" si="23"/>
        <v>0.99067896966368518</v>
      </c>
      <c r="AV16" s="232" t="s">
        <v>524</v>
      </c>
      <c r="AW16" s="262">
        <f ca="1">SUMPRODUCT(AT11:AT22,AU11:AU22)/12</f>
        <v>0.91925207722956592</v>
      </c>
      <c r="AX16" s="261">
        <f t="shared" ca="1" si="24"/>
        <v>1.0276769439709599</v>
      </c>
      <c r="AY16" s="237">
        <f t="shared" ca="1" si="25"/>
        <v>0.99067896966368518</v>
      </c>
      <c r="AZ16" s="232" t="s">
        <v>524</v>
      </c>
      <c r="BA16" s="262">
        <f ca="1">SUMPRODUCT(AX11:AX22,AY11:AY22)/12</f>
        <v>0.79402519014454442</v>
      </c>
      <c r="BB16" s="246"/>
      <c r="BD16" s="252" t="s">
        <v>505</v>
      </c>
      <c r="BE16" s="315">
        <v>1.0351644389907984</v>
      </c>
      <c r="BF16" s="315">
        <v>1.1654501232381496</v>
      </c>
      <c r="BG16" s="315">
        <v>0.97682373571351366</v>
      </c>
      <c r="BH16" s="315">
        <v>1.0591460993141537</v>
      </c>
      <c r="BI16" s="15"/>
      <c r="BJ16" s="315">
        <v>1.0148263466406608</v>
      </c>
      <c r="BL16" s="96">
        <v>1.02</v>
      </c>
    </row>
    <row r="17" spans="1:64" x14ac:dyDescent="0.2">
      <c r="A17" s="243">
        <f>Transport!A28</f>
        <v>44531</v>
      </c>
      <c r="B17" s="241">
        <f>Transport!$F28</f>
        <v>48.96810775013158</v>
      </c>
      <c r="C17" s="247">
        <f ca="1">LeastSq!$AF15</f>
        <v>40.208501740875754</v>
      </c>
      <c r="D17" s="244">
        <f>Transport!I28</f>
        <v>1</v>
      </c>
      <c r="E17" s="241">
        <f t="shared" si="0"/>
        <v>48.96810775013158</v>
      </c>
      <c r="F17" s="247">
        <f ca="1">LeastSq!$AF77</f>
        <v>40.208501740875754</v>
      </c>
      <c r="G17" s="315">
        <f t="shared" ca="1" si="9"/>
        <v>1.2178545737841024</v>
      </c>
      <c r="I17" s="252" t="s">
        <v>506</v>
      </c>
      <c r="J17" s="315">
        <f t="shared" ca="1" si="1"/>
        <v>1.1482990545700871</v>
      </c>
      <c r="K17" s="315">
        <f t="shared" ca="1" si="2"/>
        <v>1.0187751454423932</v>
      </c>
      <c r="L17" s="315">
        <f t="shared" ca="1" si="3"/>
        <v>0.9957295209495014</v>
      </c>
      <c r="M17" s="316">
        <f t="shared" ca="1" si="4"/>
        <v>1.0542679069873273</v>
      </c>
      <c r="N17" s="15"/>
      <c r="O17" s="15">
        <f t="shared" ca="1" si="5"/>
        <v>1.0276688033336514</v>
      </c>
      <c r="P17" s="15"/>
      <c r="Q17" s="96">
        <f>PMPM!C120</f>
        <v>0.99</v>
      </c>
      <c r="S17" s="252" t="s">
        <v>506</v>
      </c>
      <c r="T17" s="246">
        <f t="shared" ca="1" si="6"/>
        <v>1.1499999999999999</v>
      </c>
      <c r="U17" s="246">
        <f t="shared" ca="1" si="7"/>
        <v>1.02</v>
      </c>
      <c r="V17" s="246">
        <f t="shared" ca="1" si="27"/>
        <v>1</v>
      </c>
      <c r="W17" s="246">
        <f>+PMPM!C120</f>
        <v>0.99</v>
      </c>
      <c r="X17" s="246">
        <f t="shared" ca="1" si="10"/>
        <v>1.0276688033336514</v>
      </c>
      <c r="Y17" s="237"/>
      <c r="Z17">
        <v>7</v>
      </c>
      <c r="AA17">
        <f t="shared" si="26"/>
        <v>104</v>
      </c>
      <c r="AB17" s="227">
        <f t="shared" si="11"/>
        <v>10</v>
      </c>
      <c r="AC17">
        <v>107</v>
      </c>
      <c r="AD17" s="237">
        <f t="shared" ca="1" si="12"/>
        <v>1.1832452428866598</v>
      </c>
      <c r="AE17" s="237">
        <f t="shared" ca="1" si="13"/>
        <v>1.0366317157374532</v>
      </c>
      <c r="AF17" s="237">
        <f t="shared" ca="1" si="14"/>
        <v>1.1399280954077851</v>
      </c>
      <c r="AG17" s="227"/>
      <c r="AH17" s="237">
        <f t="shared" ca="1" si="15"/>
        <v>1.0011278336726832</v>
      </c>
      <c r="AI17" s="237">
        <f t="shared" ca="1" si="16"/>
        <v>0.94790412531346857</v>
      </c>
      <c r="AJ17" s="237">
        <f t="shared" ca="1" si="17"/>
        <v>0.96179314750935807</v>
      </c>
      <c r="AK17" s="227"/>
      <c r="AL17" s="261">
        <f t="shared" ca="1" si="18"/>
        <v>0.97451597949307589</v>
      </c>
      <c r="AM17" s="237">
        <f t="shared" ca="1" si="19"/>
        <v>0.96179314750935807</v>
      </c>
      <c r="AN17" s="232" t="s">
        <v>525</v>
      </c>
      <c r="AO17" s="262">
        <f ca="1">(AO16-AO12*AO14)/SQRT((AO13-AO12^2)*(AO15-AO14^2))</f>
        <v>0.63602026431644321</v>
      </c>
      <c r="AP17" s="261">
        <f t="shared" ca="1" si="20"/>
        <v>1.0011278336726832</v>
      </c>
      <c r="AQ17" s="237">
        <f t="shared" ca="1" si="21"/>
        <v>0.97027503549850325</v>
      </c>
      <c r="AR17" s="232" t="s">
        <v>525</v>
      </c>
      <c r="AS17" s="262">
        <f ca="1">(AS16-AS12*AS14)/SQRT((AS13-AS12^2)*(AS15-AS14^2))</f>
        <v>0.84597808339362113</v>
      </c>
      <c r="AT17" s="261">
        <f t="shared" ca="1" si="22"/>
        <v>0.94790412531346857</v>
      </c>
      <c r="AU17" s="237">
        <f t="shared" ca="1" si="23"/>
        <v>0.97027503549850325</v>
      </c>
      <c r="AV17" s="232" t="s">
        <v>525</v>
      </c>
      <c r="AW17" s="262">
        <f ca="1">(AW16-AW12*AW14)/SQRT((AW13-AW12^2)*(AW15-AW14^2))</f>
        <v>0.58573516036438844</v>
      </c>
      <c r="AX17" s="261">
        <f t="shared" ca="1" si="24"/>
        <v>0.96179314750935807</v>
      </c>
      <c r="AY17" s="237">
        <f t="shared" ca="1" si="25"/>
        <v>0.97027503549850325</v>
      </c>
      <c r="AZ17" s="232" t="s">
        <v>525</v>
      </c>
      <c r="BA17" s="262">
        <f ca="1">(BA16-BA12*BA14)/SQRT((BA13-BA12^2)*(BA15-BA14^2))</f>
        <v>0.96421977522886282</v>
      </c>
      <c r="BB17" s="246"/>
      <c r="BD17" s="252" t="s">
        <v>506</v>
      </c>
      <c r="BE17" s="315">
        <v>0.91623299066622566</v>
      </c>
      <c r="BF17" s="315">
        <v>1.0746052271686846</v>
      </c>
      <c r="BG17" s="315">
        <v>1.0351708804870157</v>
      </c>
      <c r="BH17" s="315">
        <v>1.0086696994406419</v>
      </c>
      <c r="BI17" s="15"/>
      <c r="BJ17" s="315">
        <v>0.99029093971683724</v>
      </c>
      <c r="BL17" s="96">
        <v>0.99</v>
      </c>
    </row>
    <row r="18" spans="1:64" x14ac:dyDescent="0.2">
      <c r="A18" s="243">
        <f>Transport!A29</f>
        <v>44562</v>
      </c>
      <c r="B18" s="241">
        <f>Transport!$F29</f>
        <v>32.792024176098245</v>
      </c>
      <c r="C18" s="247">
        <f ca="1">LeastSq!$AF16</f>
        <v>40.189243519431969</v>
      </c>
      <c r="D18" s="244">
        <f>Transport!I29</f>
        <v>1</v>
      </c>
      <c r="E18" s="241">
        <f t="shared" si="0"/>
        <v>32.792024176098245</v>
      </c>
      <c r="F18" s="247">
        <f ca="1">LeastSq!$AF78</f>
        <v>40.189243519431969</v>
      </c>
      <c r="G18" s="315">
        <f t="shared" ca="1" si="9"/>
        <v>0.81594031896228447</v>
      </c>
      <c r="I18" s="252" t="s">
        <v>507</v>
      </c>
      <c r="J18" s="315">
        <f t="shared" ca="1" si="1"/>
        <v>1.1832452428866598</v>
      </c>
      <c r="K18" s="315">
        <f t="shared" ca="1" si="2"/>
        <v>1.0366317157374532</v>
      </c>
      <c r="L18" s="315">
        <f t="shared" ca="1" si="3"/>
        <v>1.1399280954077851</v>
      </c>
      <c r="M18" s="316">
        <f t="shared" ca="1" si="4"/>
        <v>1.1199350180106327</v>
      </c>
      <c r="N18" s="15"/>
      <c r="O18" s="15">
        <f t="shared" ca="1" si="5"/>
        <v>1.0605356729996958</v>
      </c>
      <c r="P18" s="15"/>
      <c r="Q18" s="96">
        <f>PMPM!C121</f>
        <v>1.01</v>
      </c>
      <c r="S18" s="252" t="s">
        <v>507</v>
      </c>
      <c r="T18" s="246">
        <f t="shared" ca="1" si="6"/>
        <v>1.18</v>
      </c>
      <c r="U18" s="246">
        <f t="shared" ca="1" si="7"/>
        <v>1.04</v>
      </c>
      <c r="V18" s="246">
        <f t="shared" ca="1" si="27"/>
        <v>1.1399999999999999</v>
      </c>
      <c r="W18" s="246">
        <f>+PMPM!C121</f>
        <v>1.01</v>
      </c>
      <c r="X18" s="246">
        <f t="shared" ca="1" si="10"/>
        <v>1.0605356729996958</v>
      </c>
      <c r="Y18" s="237"/>
      <c r="Z18">
        <v>8</v>
      </c>
      <c r="AA18">
        <f t="shared" si="26"/>
        <v>105</v>
      </c>
      <c r="AB18" s="227">
        <f t="shared" si="11"/>
        <v>11</v>
      </c>
      <c r="AC18">
        <v>108</v>
      </c>
      <c r="AD18" s="237">
        <f t="shared" ca="1" si="12"/>
        <v>1.1739976039909636</v>
      </c>
      <c r="AE18" s="237">
        <f t="shared" ca="1" si="13"/>
        <v>0.98239126308920033</v>
      </c>
      <c r="AF18" s="237">
        <f t="shared" ca="1" si="14"/>
        <v>1.0588314604101969</v>
      </c>
      <c r="AG18" s="227"/>
      <c r="AH18" s="237">
        <f t="shared" ca="1" si="15"/>
        <v>1.1864932626794118</v>
      </c>
      <c r="AI18" s="237">
        <f t="shared" ca="1" si="16"/>
        <v>1.1163073316680456</v>
      </c>
      <c r="AJ18" s="237">
        <f t="shared" ca="1" si="17"/>
        <v>1.102542395919814</v>
      </c>
      <c r="AK18" s="227"/>
      <c r="AL18" s="261">
        <f t="shared" ca="1" si="18"/>
        <v>1.1514002971737287</v>
      </c>
      <c r="AM18" s="237">
        <f t="shared" ca="1" si="19"/>
        <v>1.102542395919814</v>
      </c>
      <c r="AN18" s="227"/>
      <c r="AO18" s="263"/>
      <c r="AP18" s="261">
        <f t="shared" ca="1" si="20"/>
        <v>1.1864932626794118</v>
      </c>
      <c r="AQ18" s="237">
        <f t="shared" ca="1" si="21"/>
        <v>1.1351143300890905</v>
      </c>
      <c r="AR18" s="227"/>
      <c r="AS18" s="263"/>
      <c r="AT18" s="261">
        <f t="shared" ca="1" si="22"/>
        <v>1.1163073316680456</v>
      </c>
      <c r="AU18" s="237">
        <f t="shared" ca="1" si="23"/>
        <v>1.1351143300890905</v>
      </c>
      <c r="AV18" s="227"/>
      <c r="AW18" s="263"/>
      <c r="AX18" s="261">
        <f t="shared" ca="1" si="24"/>
        <v>1.102542395919814</v>
      </c>
      <c r="AY18" s="237">
        <f t="shared" ca="1" si="25"/>
        <v>1.1351143300890905</v>
      </c>
      <c r="AZ18" s="227"/>
      <c r="BA18" s="263"/>
      <c r="BB18" s="246"/>
      <c r="BD18" s="252" t="s">
        <v>507</v>
      </c>
      <c r="BE18" s="315">
        <v>1.0659470686520951</v>
      </c>
      <c r="BF18" s="315">
        <v>1.1698224372440675</v>
      </c>
      <c r="BG18" s="315">
        <v>1.1329198996779348</v>
      </c>
      <c r="BH18" s="315">
        <v>1.1228964685246992</v>
      </c>
      <c r="BI18" s="15"/>
      <c r="BJ18" s="315">
        <v>1.0458139221025458</v>
      </c>
      <c r="BL18" s="96">
        <v>1.01</v>
      </c>
    </row>
    <row r="19" spans="1:64" x14ac:dyDescent="0.2">
      <c r="A19" s="243">
        <f>Transport!A30</f>
        <v>44593</v>
      </c>
      <c r="B19" s="241">
        <f>Transport!$F30</f>
        <v>31.17009535145916</v>
      </c>
      <c r="C19" s="247">
        <f ca="1">LeastSq!$AF17</f>
        <v>40.169994521885542</v>
      </c>
      <c r="D19" s="244">
        <f>Transport!I30</f>
        <v>1</v>
      </c>
      <c r="E19" s="241">
        <f t="shared" si="0"/>
        <v>31.17009535145916</v>
      </c>
      <c r="F19" s="247">
        <f ca="1">LeastSq!$AF79</f>
        <v>40.169994521885542</v>
      </c>
      <c r="G19" s="315">
        <f t="shared" ca="1" si="9"/>
        <v>0.77595468265441192</v>
      </c>
      <c r="I19" s="252" t="s">
        <v>508</v>
      </c>
      <c r="J19" s="315">
        <f t="shared" ca="1" si="1"/>
        <v>1.1739976039909636</v>
      </c>
      <c r="K19" s="315">
        <f t="shared" ca="1" si="2"/>
        <v>0.98239126308920033</v>
      </c>
      <c r="L19" s="315">
        <f t="shared" ca="1" si="3"/>
        <v>1.0588314604101969</v>
      </c>
      <c r="M19" s="316">
        <f t="shared" ca="1" si="4"/>
        <v>1.0717401091634535</v>
      </c>
      <c r="N19" s="15"/>
      <c r="O19" s="15">
        <f t="shared" ca="1" si="5"/>
        <v>1.0364137683968733</v>
      </c>
      <c r="P19" s="15"/>
      <c r="Q19" s="96">
        <f>PMPM!C122</f>
        <v>0.98</v>
      </c>
      <c r="S19" s="252" t="s">
        <v>508</v>
      </c>
      <c r="T19" s="246">
        <f t="shared" ca="1" si="6"/>
        <v>1.17</v>
      </c>
      <c r="U19" s="246">
        <f t="shared" ca="1" si="7"/>
        <v>0.98</v>
      </c>
      <c r="V19" s="246">
        <f t="shared" ca="1" si="27"/>
        <v>1.06</v>
      </c>
      <c r="W19" s="246">
        <f>+PMPM!C122</f>
        <v>0.98</v>
      </c>
      <c r="X19" s="246">
        <f t="shared" ca="1" si="10"/>
        <v>1.0364137683968733</v>
      </c>
      <c r="Y19" s="237"/>
      <c r="Z19">
        <v>9</v>
      </c>
      <c r="AA19">
        <f t="shared" si="26"/>
        <v>106</v>
      </c>
      <c r="AB19" s="227">
        <f t="shared" si="11"/>
        <v>12</v>
      </c>
      <c r="AC19">
        <v>109</v>
      </c>
      <c r="AD19" s="237">
        <f t="shared" ca="1" si="12"/>
        <v>1.2178545737841024</v>
      </c>
      <c r="AE19" s="237">
        <f t="shared" ca="1" si="13"/>
        <v>0.99942873827825129</v>
      </c>
      <c r="AF19" s="237">
        <f t="shared" ca="1" si="14"/>
        <v>0.99959237048922267</v>
      </c>
      <c r="AG19" s="227"/>
      <c r="AH19" s="237">
        <f t="shared" ca="1" si="15"/>
        <v>1.1482990545700871</v>
      </c>
      <c r="AI19" s="237">
        <f t="shared" ca="1" si="16"/>
        <v>1.0187751454423932</v>
      </c>
      <c r="AJ19" s="237">
        <f t="shared" ca="1" si="17"/>
        <v>0.9957295209495014</v>
      </c>
      <c r="AK19" s="227"/>
      <c r="AL19" s="261">
        <f t="shared" ca="1" si="18"/>
        <v>1.0835371000062402</v>
      </c>
      <c r="AM19" s="237">
        <f t="shared" ca="1" si="19"/>
        <v>0.9957295209495014</v>
      </c>
      <c r="AN19" s="227"/>
      <c r="AO19" s="263"/>
      <c r="AP19" s="261">
        <f t="shared" ca="1" si="20"/>
        <v>1.1482990545700871</v>
      </c>
      <c r="AQ19" s="237">
        <f t="shared" ca="1" si="21"/>
        <v>1.0542679069873273</v>
      </c>
      <c r="AR19" s="227"/>
      <c r="AS19" s="263"/>
      <c r="AT19" s="261">
        <f t="shared" ca="1" si="22"/>
        <v>1.0187751454423932</v>
      </c>
      <c r="AU19" s="237">
        <f t="shared" ca="1" si="23"/>
        <v>1.0542679069873273</v>
      </c>
      <c r="AV19" s="227"/>
      <c r="AW19" s="263"/>
      <c r="AX19" s="261">
        <f t="shared" ca="1" si="24"/>
        <v>0.9957295209495014</v>
      </c>
      <c r="AY19" s="237">
        <f t="shared" ca="1" si="25"/>
        <v>1.0542679069873273</v>
      </c>
      <c r="AZ19" s="227"/>
      <c r="BA19" s="263"/>
      <c r="BB19" s="246"/>
      <c r="BD19" s="252" t="s">
        <v>508</v>
      </c>
      <c r="BE19" s="315">
        <v>0.95971431707741051</v>
      </c>
      <c r="BF19" s="315">
        <v>1.0340682806126948</v>
      </c>
      <c r="BG19" s="315">
        <v>1.0130936045193262</v>
      </c>
      <c r="BH19" s="315">
        <v>1.0022920674031439</v>
      </c>
      <c r="BI19" s="15"/>
      <c r="BJ19" s="315">
        <v>0.98719092074475234</v>
      </c>
      <c r="BL19" s="96">
        <v>0.98</v>
      </c>
    </row>
    <row r="20" spans="1:64" x14ac:dyDescent="0.2">
      <c r="A20" s="243">
        <f>Transport!A31</f>
        <v>44621</v>
      </c>
      <c r="B20" s="241">
        <f>Transport!$F31</f>
        <v>39.046129236548509</v>
      </c>
      <c r="C20" s="247">
        <f ca="1">LeastSq!$AF18</f>
        <v>40.150754743818617</v>
      </c>
      <c r="D20" s="244">
        <f>Transport!I31</f>
        <v>1</v>
      </c>
      <c r="E20" s="241">
        <f t="shared" si="0"/>
        <v>39.046129236548509</v>
      </c>
      <c r="F20" s="247">
        <f ca="1">LeastSq!$AF80</f>
        <v>40.150754743818617</v>
      </c>
      <c r="G20" s="315">
        <f t="shared" ca="1" si="9"/>
        <v>0.97248805123793669</v>
      </c>
      <c r="I20" s="252" t="s">
        <v>509</v>
      </c>
      <c r="J20" s="315">
        <f t="shared" ca="1" si="1"/>
        <v>1.2178545737841024</v>
      </c>
      <c r="K20" s="315">
        <f t="shared" ca="1" si="2"/>
        <v>0.99942873827825129</v>
      </c>
      <c r="L20" s="315">
        <f t="shared" ca="1" si="3"/>
        <v>0.99959237048922267</v>
      </c>
      <c r="M20" s="316">
        <f t="shared" ca="1" si="4"/>
        <v>1.0722918941838588</v>
      </c>
      <c r="N20" s="15"/>
      <c r="O20" s="585">
        <f t="shared" ca="1" si="5"/>
        <v>1.0366899408379435</v>
      </c>
      <c r="P20" s="15"/>
      <c r="Q20" s="96">
        <f>PMPM!C123</f>
        <v>0.95</v>
      </c>
      <c r="S20" s="252" t="s">
        <v>509</v>
      </c>
      <c r="T20" s="246">
        <f ca="1">IF(J20="NA","",ROUND(J20,2))</f>
        <v>1.22</v>
      </c>
      <c r="U20" s="246">
        <f t="shared" ca="1" si="7"/>
        <v>1</v>
      </c>
      <c r="V20" s="246">
        <f t="shared" ca="1" si="27"/>
        <v>1</v>
      </c>
      <c r="W20" s="246">
        <f>+PMPM!C123</f>
        <v>0.95</v>
      </c>
      <c r="X20" s="246">
        <f t="shared" ca="1" si="10"/>
        <v>1.0366899408379435</v>
      </c>
      <c r="Y20" s="237"/>
      <c r="Z20">
        <v>10</v>
      </c>
      <c r="AA20">
        <f t="shared" si="26"/>
        <v>107</v>
      </c>
      <c r="AB20" s="227">
        <f t="shared" si="11"/>
        <v>1</v>
      </c>
      <c r="AC20">
        <v>110</v>
      </c>
      <c r="AD20" s="237">
        <f t="shared" ca="1" si="12"/>
        <v>0.81594031896228447</v>
      </c>
      <c r="AE20" s="237">
        <f t="shared" ca="1" si="13"/>
        <v>0.86232630853002479</v>
      </c>
      <c r="AF20" s="237">
        <f t="shared" si="14"/>
        <v>0</v>
      </c>
      <c r="AG20" s="227"/>
      <c r="AH20" s="237">
        <f t="shared" ca="1" si="15"/>
        <v>1.1832452428866598</v>
      </c>
      <c r="AI20" s="237">
        <f t="shared" ca="1" si="16"/>
        <v>1.0366317157374532</v>
      </c>
      <c r="AJ20" s="237">
        <f t="shared" ca="1" si="17"/>
        <v>1.1399280954077851</v>
      </c>
      <c r="AK20" s="227"/>
      <c r="AL20" s="261">
        <f t="shared" ca="1" si="18"/>
        <v>1.1099384793120564</v>
      </c>
      <c r="AM20" s="237">
        <f t="shared" ca="1" si="19"/>
        <v>1.1399280954077851</v>
      </c>
      <c r="AN20" s="227"/>
      <c r="AO20" s="263"/>
      <c r="AP20" s="261">
        <f t="shared" ca="1" si="20"/>
        <v>1.1832452428866598</v>
      </c>
      <c r="AQ20" s="237">
        <f t="shared" ca="1" si="21"/>
        <v>1.1199350180106327</v>
      </c>
      <c r="AR20" s="227"/>
      <c r="AS20" s="263"/>
      <c r="AT20" s="261">
        <f t="shared" ca="1" si="22"/>
        <v>1.0366317157374532</v>
      </c>
      <c r="AU20" s="237">
        <f t="shared" ca="1" si="23"/>
        <v>1.1199350180106327</v>
      </c>
      <c r="AV20" s="227"/>
      <c r="AW20" s="263"/>
      <c r="AX20" s="261">
        <f t="shared" ca="1" si="24"/>
        <v>1.1399280954077851</v>
      </c>
      <c r="AY20" s="237">
        <f t="shared" ca="1" si="25"/>
        <v>1.1199350180106327</v>
      </c>
      <c r="AZ20" s="227"/>
      <c r="BA20" s="263"/>
      <c r="BB20" s="246"/>
      <c r="BD20" s="252" t="s">
        <v>509</v>
      </c>
      <c r="BE20" s="315">
        <v>0.92047272205742747</v>
      </c>
      <c r="BF20" s="315">
        <v>1.0864241152193934</v>
      </c>
      <c r="BG20" s="315">
        <v>1.0150447397398557</v>
      </c>
      <c r="BH20" s="315">
        <v>1.0073138590055588</v>
      </c>
      <c r="BI20" s="15"/>
      <c r="BJ20" s="315">
        <v>0.98963189713690081</v>
      </c>
      <c r="BL20" s="96">
        <v>0.95</v>
      </c>
    </row>
    <row r="21" spans="1:64" x14ac:dyDescent="0.2">
      <c r="A21" s="243">
        <f>Transport!A32</f>
        <v>44652</v>
      </c>
      <c r="B21" s="241">
        <f>Transport!$F32</f>
        <v>37.458797906089245</v>
      </c>
      <c r="C21" s="247">
        <f ca="1">LeastSq!$AF19</f>
        <v>40.131524180815433</v>
      </c>
      <c r="D21" s="244">
        <f>Transport!I32</f>
        <v>1</v>
      </c>
      <c r="E21" s="241">
        <f t="shared" si="0"/>
        <v>37.458797906089245</v>
      </c>
      <c r="F21" s="247">
        <f ca="1">LeastSq!$AF81</f>
        <v>40.131524180815433</v>
      </c>
      <c r="G21" s="315">
        <f t="shared" ca="1" si="9"/>
        <v>0.93340082816979419</v>
      </c>
      <c r="I21" s="227"/>
      <c r="J21" s="227"/>
      <c r="K21" s="227"/>
      <c r="Z21">
        <v>11</v>
      </c>
      <c r="AA21">
        <f t="shared" si="26"/>
        <v>108</v>
      </c>
      <c r="AB21" s="227">
        <f t="shared" si="11"/>
        <v>2</v>
      </c>
      <c r="AC21">
        <v>111</v>
      </c>
      <c r="AD21" s="237">
        <f t="shared" ca="1" si="12"/>
        <v>0.77595468265441192</v>
      </c>
      <c r="AE21" s="237">
        <f t="shared" ca="1" si="13"/>
        <v>0.89110629873578173</v>
      </c>
      <c r="AF21" s="237">
        <f t="shared" si="14"/>
        <v>0</v>
      </c>
      <c r="AG21" s="227"/>
      <c r="AH21" s="237">
        <f t="shared" ca="1" si="15"/>
        <v>1.1739976039909636</v>
      </c>
      <c r="AI21" s="237">
        <f t="shared" ca="1" si="16"/>
        <v>0.98239126308920033</v>
      </c>
      <c r="AJ21" s="237">
        <f t="shared" ca="1" si="17"/>
        <v>1.0588314604101969</v>
      </c>
      <c r="AK21" s="227"/>
      <c r="AL21" s="261">
        <f t="shared" ca="1" si="18"/>
        <v>1.0781944335400819</v>
      </c>
      <c r="AM21" s="237">
        <f t="shared" ca="1" si="19"/>
        <v>1.0588314604101969</v>
      </c>
      <c r="AN21" s="227"/>
      <c r="AO21" s="263"/>
      <c r="AP21" s="261">
        <f t="shared" ca="1" si="20"/>
        <v>1.1739976039909636</v>
      </c>
      <c r="AQ21" s="237">
        <f t="shared" ca="1" si="21"/>
        <v>1.0717401091634535</v>
      </c>
      <c r="AR21" s="227"/>
      <c r="AS21" s="263"/>
      <c r="AT21" s="261">
        <f t="shared" ca="1" si="22"/>
        <v>0.98239126308920033</v>
      </c>
      <c r="AU21" s="237">
        <f t="shared" ca="1" si="23"/>
        <v>1.0717401091634535</v>
      </c>
      <c r="AV21" s="227"/>
      <c r="AW21" s="263"/>
      <c r="AX21" s="261">
        <f t="shared" ca="1" si="24"/>
        <v>1.0588314604101969</v>
      </c>
      <c r="AY21" s="237">
        <f t="shared" ca="1" si="25"/>
        <v>1.0717401091634535</v>
      </c>
      <c r="AZ21" s="227"/>
      <c r="BA21" s="263"/>
      <c r="BD21" s="227"/>
      <c r="BE21" s="227"/>
      <c r="BF21" s="227"/>
    </row>
    <row r="22" spans="1:64" ht="12" thickBot="1" x14ac:dyDescent="0.25">
      <c r="A22" s="243">
        <f>Transport!A33</f>
        <v>44682</v>
      </c>
      <c r="B22" s="241">
        <f>Transport!$F33</f>
        <v>39.220997237718201</v>
      </c>
      <c r="C22" s="247">
        <f ca="1">LeastSq!$AF20</f>
        <v>40.112302828462354</v>
      </c>
      <c r="D22" s="244">
        <f>Transport!I33</f>
        <v>1</v>
      </c>
      <c r="E22" s="241">
        <f t="shared" si="0"/>
        <v>39.220997237718201</v>
      </c>
      <c r="F22" s="247">
        <f ca="1">LeastSq!$AF82</f>
        <v>40.112302828462354</v>
      </c>
      <c r="G22" s="315">
        <f t="shared" ca="1" si="9"/>
        <v>0.97777974516806565</v>
      </c>
      <c r="I22" s="252" t="s">
        <v>86</v>
      </c>
      <c r="J22" s="246">
        <f ca="1">SUM(J9:J21)</f>
        <v>12.233059463721709</v>
      </c>
      <c r="K22" s="246">
        <f ca="1">SUM(K9:K21)</f>
        <v>11.832400005419029</v>
      </c>
      <c r="L22" s="246">
        <f ca="1">SUM(L9:L21)</f>
        <v>9.1971657712199999</v>
      </c>
      <c r="M22" s="15">
        <f ca="1">SUM(M9:M21)</f>
        <v>11.987836692183986</v>
      </c>
      <c r="N22" s="15"/>
      <c r="O22" s="15">
        <f ca="1">SUM(O9:O21)</f>
        <v>11.999999999999998</v>
      </c>
      <c r="P22" s="15"/>
      <c r="Q22" s="15">
        <f>SUM(Q9:Q21)</f>
        <v>12</v>
      </c>
      <c r="S22" s="250" t="s">
        <v>548</v>
      </c>
      <c r="V22" s="141">
        <f ca="1">MIN(T9:V20)</f>
        <v>0.78</v>
      </c>
      <c r="Z22">
        <v>12</v>
      </c>
      <c r="AA22">
        <f t="shared" si="26"/>
        <v>109</v>
      </c>
      <c r="AB22" s="227">
        <f t="shared" si="11"/>
        <v>3</v>
      </c>
      <c r="AC22">
        <v>112</v>
      </c>
      <c r="AD22" s="237">
        <f t="shared" ca="1" si="12"/>
        <v>0.97248805123793669</v>
      </c>
      <c r="AE22" s="237">
        <f t="shared" ca="1" si="13"/>
        <v>1.0839540122620051</v>
      </c>
      <c r="AF22" s="237">
        <f t="shared" si="14"/>
        <v>0</v>
      </c>
      <c r="AG22" s="227"/>
      <c r="AH22" s="237">
        <f t="shared" ca="1" si="15"/>
        <v>1.2178545737841024</v>
      </c>
      <c r="AI22" s="237">
        <f t="shared" ca="1" si="16"/>
        <v>0.99942873827825129</v>
      </c>
      <c r="AJ22" s="237">
        <f t="shared" ca="1" si="17"/>
        <v>0.99959237048922267</v>
      </c>
      <c r="AK22" s="227"/>
      <c r="AL22" s="264">
        <f t="shared" ca="1" si="18"/>
        <v>1.1086416560311769</v>
      </c>
      <c r="AM22" s="265">
        <f t="shared" ca="1" si="19"/>
        <v>0.99959237048922267</v>
      </c>
      <c r="AN22" s="266"/>
      <c r="AO22" s="267"/>
      <c r="AP22" s="264">
        <f t="shared" ca="1" si="20"/>
        <v>1.2178545737841024</v>
      </c>
      <c r="AQ22" s="265">
        <f t="shared" ca="1" si="21"/>
        <v>1.0722918941838588</v>
      </c>
      <c r="AR22" s="266"/>
      <c r="AS22" s="267"/>
      <c r="AT22" s="264">
        <f t="shared" ca="1" si="22"/>
        <v>0.99942873827825129</v>
      </c>
      <c r="AU22" s="265">
        <f t="shared" ca="1" si="23"/>
        <v>1.0722918941838588</v>
      </c>
      <c r="AV22" s="266"/>
      <c r="AW22" s="267"/>
      <c r="AX22" s="264">
        <f t="shared" ca="1" si="24"/>
        <v>0.99959237048922267</v>
      </c>
      <c r="AY22" s="265">
        <f t="shared" ca="1" si="25"/>
        <v>1.0722918941838588</v>
      </c>
      <c r="AZ22" s="266"/>
      <c r="BA22" s="267"/>
      <c r="BD22" s="252" t="s">
        <v>86</v>
      </c>
      <c r="BE22" s="246">
        <v>11.734236822286872</v>
      </c>
      <c r="BF22" s="246">
        <v>13.057254459808414</v>
      </c>
      <c r="BG22" s="246">
        <v>7.1204387473150126</v>
      </c>
      <c r="BH22" s="246">
        <v>12.343728399588898</v>
      </c>
      <c r="BI22" s="15"/>
      <c r="BJ22" s="15">
        <v>12.000000000000002</v>
      </c>
      <c r="BL22" s="96">
        <v>12</v>
      </c>
    </row>
    <row r="23" spans="1:64" ht="12" thickTop="1" x14ac:dyDescent="0.2">
      <c r="A23" s="243">
        <f>Transport!A34</f>
        <v>44713</v>
      </c>
      <c r="B23" s="241">
        <f>Transport!$F34</f>
        <v>39.387231494672243</v>
      </c>
      <c r="C23" s="247">
        <f ca="1">LeastSq!$AF21</f>
        <v>40.093090682347857</v>
      </c>
      <c r="D23" s="244">
        <f>Transport!I34</f>
        <v>1</v>
      </c>
      <c r="E23" s="241">
        <f t="shared" si="0"/>
        <v>39.387231494672243</v>
      </c>
      <c r="F23" s="247">
        <f ca="1">LeastSq!$AF83</f>
        <v>40.093090682347857</v>
      </c>
      <c r="G23" s="315">
        <f t="shared" ca="1" si="9"/>
        <v>0.98239449302454529</v>
      </c>
      <c r="J23" s="227"/>
      <c r="L23" s="227"/>
      <c r="M23" s="227"/>
      <c r="N23" s="227"/>
      <c r="S23" t="s">
        <v>549</v>
      </c>
      <c r="V23" s="141">
        <f ca="1">MAX(T9:V20)</f>
        <v>1.22</v>
      </c>
    </row>
    <row r="24" spans="1:64" x14ac:dyDescent="0.2">
      <c r="A24" s="243">
        <f>Transport!A35</f>
        <v>44743</v>
      </c>
      <c r="B24" s="241">
        <f>Transport!$F35</f>
        <v>37.986203504258292</v>
      </c>
      <c r="C24" s="247">
        <f ca="1">LeastSq!$AF22</f>
        <v>40.073887738062524</v>
      </c>
      <c r="D24" s="244">
        <f>Transport!I35</f>
        <v>1</v>
      </c>
      <c r="E24" s="241">
        <f t="shared" si="0"/>
        <v>37.986203504258292</v>
      </c>
      <c r="F24" s="247">
        <f ca="1">LeastSq!$AF84</f>
        <v>40.073887738062524</v>
      </c>
      <c r="G24" s="315">
        <f t="shared" ca="1" si="9"/>
        <v>0.94790412531346857</v>
      </c>
      <c r="J24" s="227"/>
      <c r="K24" s="227"/>
      <c r="BD24" s="430" t="s">
        <v>831</v>
      </c>
      <c r="BE24" s="430" t="s">
        <v>832</v>
      </c>
    </row>
    <row r="25" spans="1:64" x14ac:dyDescent="0.2">
      <c r="A25" s="243">
        <f>Transport!A36</f>
        <v>44774</v>
      </c>
      <c r="B25" s="241">
        <f>Transport!$F36</f>
        <v>44.71334857009554</v>
      </c>
      <c r="C25" s="247">
        <f ca="1">LeastSq!$AF23</f>
        <v>40.054693991199073</v>
      </c>
      <c r="D25" s="244">
        <f>Transport!I36</f>
        <v>1</v>
      </c>
      <c r="E25" s="241">
        <f t="shared" si="0"/>
        <v>44.71334857009554</v>
      </c>
      <c r="F25" s="247">
        <f ca="1">LeastSq!$AF85</f>
        <v>40.054693991199073</v>
      </c>
      <c r="G25" s="315">
        <f t="shared" ca="1" si="9"/>
        <v>1.1163073316680456</v>
      </c>
      <c r="K25" s="227"/>
      <c r="S25" s="1" t="s">
        <v>557</v>
      </c>
      <c r="V25" s="152">
        <f ca="1">ABS(1-V22)</f>
        <v>0.21999999999999997</v>
      </c>
      <c r="BD25" s="430"/>
      <c r="BE25" s="430" t="s">
        <v>833</v>
      </c>
    </row>
    <row r="26" spans="1:64" x14ac:dyDescent="0.2">
      <c r="A26" s="243">
        <f>Transport!A37</f>
        <v>44805</v>
      </c>
      <c r="B26" s="241">
        <f>Transport!$F37</f>
        <v>40.787181949898923</v>
      </c>
      <c r="C26" s="247">
        <f ca="1">LeastSq!$AF24</f>
        <v>40.035509437352324</v>
      </c>
      <c r="D26" s="244">
        <f>Transport!I37</f>
        <v>1</v>
      </c>
      <c r="E26" s="241">
        <f t="shared" si="0"/>
        <v>40.787181949898923</v>
      </c>
      <c r="F26" s="247">
        <f ca="1">LeastSq!$AF86</f>
        <v>40.035509437352324</v>
      </c>
      <c r="G26" s="315">
        <f t="shared" ca="1" si="9"/>
        <v>1.0187751454423932</v>
      </c>
      <c r="K26" s="227"/>
      <c r="S26" s="1" t="s">
        <v>557</v>
      </c>
      <c r="V26" s="152">
        <f ca="1">ABS(1-V23)</f>
        <v>0.21999999999999997</v>
      </c>
      <c r="BD26" s="430"/>
      <c r="BE26" s="430" t="s">
        <v>834</v>
      </c>
    </row>
    <row r="27" spans="1:64" x14ac:dyDescent="0.2">
      <c r="A27" s="243">
        <f>Transport!A38</f>
        <v>44835</v>
      </c>
      <c r="B27" s="241">
        <f>Transport!$F38</f>
        <v>41.482201046704006</v>
      </c>
      <c r="C27" s="247">
        <f ca="1">LeastSq!$AF25</f>
        <v>40.016334072119172</v>
      </c>
      <c r="D27" s="244">
        <f>Transport!I38</f>
        <v>1</v>
      </c>
      <c r="E27" s="241">
        <f t="shared" si="0"/>
        <v>41.482201046704006</v>
      </c>
      <c r="F27" s="247">
        <f ca="1">LeastSq!$AF87</f>
        <v>40.016334072119172</v>
      </c>
      <c r="G27" s="315">
        <f t="shared" ca="1" si="9"/>
        <v>1.0366317157374532</v>
      </c>
      <c r="S27" t="s">
        <v>558</v>
      </c>
      <c r="V27" s="152">
        <f ca="1">MAX(V25:V26)</f>
        <v>0.21999999999999997</v>
      </c>
      <c r="BD27" s="430"/>
      <c r="BE27" s="430" t="s">
        <v>835</v>
      </c>
    </row>
    <row r="28" spans="1:64" x14ac:dyDescent="0.2">
      <c r="A28" s="243">
        <f>Transport!A39</f>
        <v>44866</v>
      </c>
      <c r="B28" s="241">
        <f>Transport!$F39</f>
        <v>39.292868284527216</v>
      </c>
      <c r="C28" s="247">
        <f ca="1">LeastSq!$AF26</f>
        <v>39.997167891098655</v>
      </c>
      <c r="D28" s="244">
        <f>Transport!I39</f>
        <v>1</v>
      </c>
      <c r="E28" s="241">
        <f t="shared" si="0"/>
        <v>39.292868284527216</v>
      </c>
      <c r="F28" s="247">
        <f ca="1">LeastSq!$AF88</f>
        <v>39.997167891098655</v>
      </c>
      <c r="G28" s="315">
        <f t="shared" ca="1" si="9"/>
        <v>0.98239126308920033</v>
      </c>
      <c r="J28" s="227"/>
      <c r="K28" s="227"/>
      <c r="L28" s="227"/>
      <c r="M28" s="227"/>
      <c r="S28" s="1" t="s">
        <v>623</v>
      </c>
      <c r="U28" s="67">
        <v>0.3</v>
      </c>
      <c r="V28" s="152">
        <f ca="1">(1+U28)*V27</f>
        <v>0.28599999999999998</v>
      </c>
    </row>
    <row r="29" spans="1:64" x14ac:dyDescent="0.2">
      <c r="A29" s="243">
        <f>Transport!A40</f>
        <v>44896</v>
      </c>
      <c r="B29" s="241">
        <f>Transport!$F40</f>
        <v>39.955172982558864</v>
      </c>
      <c r="C29" s="247">
        <f ca="1">LeastSq!$AF27</f>
        <v>39.978010889891912</v>
      </c>
      <c r="D29" s="244">
        <f>Transport!I40</f>
        <v>1</v>
      </c>
      <c r="E29" s="241">
        <f t="shared" si="0"/>
        <v>39.955172982558864</v>
      </c>
      <c r="F29" s="247">
        <f ca="1">LeastSq!$AF89</f>
        <v>39.978010889891912</v>
      </c>
      <c r="G29" s="315">
        <f t="shared" ca="1" si="9"/>
        <v>0.99942873827825129</v>
      </c>
      <c r="J29" s="227"/>
      <c r="K29" s="227"/>
      <c r="L29" s="227"/>
      <c r="M29" s="227"/>
    </row>
    <row r="30" spans="1:64" x14ac:dyDescent="0.2">
      <c r="A30" s="243">
        <f>Transport!A41</f>
        <v>44927</v>
      </c>
      <c r="B30" s="241">
        <f>Transport!$F41</f>
        <v>34.457578879124007</v>
      </c>
      <c r="C30" s="247">
        <f ca="1">LeastSq!$AF28</f>
        <v>39.958863064102204</v>
      </c>
      <c r="D30" s="244">
        <f>Transport!I41</f>
        <v>1</v>
      </c>
      <c r="E30" s="241">
        <f t="shared" si="0"/>
        <v>34.457578879124007</v>
      </c>
      <c r="F30" s="247">
        <f ca="1">LeastSq!$AF90</f>
        <v>39.958863064102204</v>
      </c>
      <c r="G30" s="315">
        <f t="shared" ca="1" si="9"/>
        <v>0.86232630853002479</v>
      </c>
      <c r="J30" s="227"/>
      <c r="K30" s="227"/>
      <c r="L30" s="227"/>
      <c r="M30" s="227"/>
      <c r="S30" t="s">
        <v>559</v>
      </c>
      <c r="V30" s="152">
        <f ca="1">MAX(INT((1-V28)*20)/20,0)</f>
        <v>0.7</v>
      </c>
      <c r="W30" t="s">
        <v>561</v>
      </c>
    </row>
    <row r="31" spans="1:64" x14ac:dyDescent="0.2">
      <c r="A31" s="243">
        <f>Transport!A42</f>
        <v>44958</v>
      </c>
      <c r="B31" s="241">
        <f>Transport!$F42</f>
        <v>35.59053999092955</v>
      </c>
      <c r="C31" s="247">
        <f ca="1">LeastSq!$AF29</f>
        <v>39.939724409334865</v>
      </c>
      <c r="D31" s="244">
        <f>Transport!I42</f>
        <v>1</v>
      </c>
      <c r="E31" s="241">
        <f t="shared" si="0"/>
        <v>35.59053999092955</v>
      </c>
      <c r="F31" s="247">
        <f ca="1">LeastSq!$AF91</f>
        <v>39.939724409334865</v>
      </c>
      <c r="G31" s="315">
        <f t="shared" ca="1" si="9"/>
        <v>0.89110629873578173</v>
      </c>
      <c r="J31" s="227"/>
      <c r="K31" s="227"/>
      <c r="L31" s="227"/>
      <c r="M31" s="227"/>
      <c r="S31" t="s">
        <v>560</v>
      </c>
      <c r="V31" s="270">
        <f ca="1">1+V28</f>
        <v>1.286</v>
      </c>
      <c r="W31" t="s">
        <v>562</v>
      </c>
    </row>
    <row r="32" spans="1:64" x14ac:dyDescent="0.2">
      <c r="A32" s="243">
        <f>Transport!A43</f>
        <v>44986</v>
      </c>
      <c r="B32" s="241">
        <f>Transport!$F43</f>
        <v>43.272089036718107</v>
      </c>
      <c r="C32" s="247">
        <f ca="1">LeastSq!$AF30</f>
        <v>39.92059492119737</v>
      </c>
      <c r="D32" s="244">
        <f>Transport!I43</f>
        <v>1</v>
      </c>
      <c r="E32" s="241">
        <f t="shared" si="0"/>
        <v>43.272089036718107</v>
      </c>
      <c r="F32" s="247">
        <f ca="1">LeastSq!$AF92</f>
        <v>39.92059492119737</v>
      </c>
      <c r="G32" s="315">
        <f t="shared" ca="1" si="9"/>
        <v>1.0839540122620051</v>
      </c>
      <c r="J32" s="227"/>
      <c r="K32" s="227"/>
      <c r="L32" s="227"/>
      <c r="M32" s="227"/>
    </row>
    <row r="33" spans="1:20" x14ac:dyDescent="0.2">
      <c r="A33" s="243">
        <f>Transport!A44</f>
        <v>45017</v>
      </c>
      <c r="B33" s="241">
        <f ca="1">Transport!$F44</f>
        <v>35.983312262958279</v>
      </c>
      <c r="C33" s="247">
        <f ca="1">LeastSq!$AF31</f>
        <v>39.901474595299263</v>
      </c>
      <c r="D33" s="244">
        <f>Transport!I44</f>
        <v>1</v>
      </c>
      <c r="E33" s="241">
        <f t="shared" ca="1" si="0"/>
        <v>35.983312262958279</v>
      </c>
      <c r="F33" s="247">
        <f ca="1">LeastSq!$AF93</f>
        <v>39.901474595299263</v>
      </c>
      <c r="G33" s="315">
        <f t="shared" ca="1" si="9"/>
        <v>0.90180407185245792</v>
      </c>
      <c r="J33" s="227"/>
      <c r="K33" s="227"/>
      <c r="L33" s="227"/>
      <c r="M33" s="227"/>
      <c r="S33" t="s">
        <v>311</v>
      </c>
      <c r="T33" s="1" t="s">
        <v>537</v>
      </c>
    </row>
    <row r="34" spans="1:20" x14ac:dyDescent="0.2">
      <c r="A34" s="243">
        <f>Transport!A45</f>
        <v>45047</v>
      </c>
      <c r="B34" s="241">
        <f ca="1">Transport!$F45</f>
        <v>40.251983787602725</v>
      </c>
      <c r="C34" s="247">
        <f ca="1">LeastSq!$AF32</f>
        <v>39.882363427252216</v>
      </c>
      <c r="D34" s="244">
        <f>Transport!I45</f>
        <v>1</v>
      </c>
      <c r="E34" s="241">
        <f t="shared" ca="1" si="0"/>
        <v>40.251983787602725</v>
      </c>
      <c r="F34" s="247">
        <f ca="1">LeastSq!$AF94</f>
        <v>39.882363427252216</v>
      </c>
      <c r="G34" s="315">
        <f t="shared" ca="1" si="9"/>
        <v>1.0092677647107027</v>
      </c>
      <c r="J34" s="227"/>
      <c r="K34" s="227"/>
      <c r="L34" s="227"/>
      <c r="M34" s="227"/>
      <c r="T34" t="s">
        <v>538</v>
      </c>
    </row>
    <row r="35" spans="1:20" x14ac:dyDescent="0.2">
      <c r="A35" s="243">
        <f>Transport!A46</f>
        <v>45078</v>
      </c>
      <c r="B35" s="241">
        <f ca="1">Transport!$F46</f>
        <v>40.966554665288186</v>
      </c>
      <c r="C35" s="247">
        <f ca="1">LeastSq!$AF33</f>
        <v>39.863261412669992</v>
      </c>
      <c r="D35" s="244">
        <f>Transport!I46</f>
        <v>1</v>
      </c>
      <c r="E35" s="241">
        <f t="shared" ca="1" si="0"/>
        <v>40.966554665288186</v>
      </c>
      <c r="F35" s="247">
        <f ca="1">LeastSq!$AF95</f>
        <v>39.863261412669992</v>
      </c>
      <c r="G35" s="315">
        <f t="shared" ca="1" si="9"/>
        <v>1.0276769439709599</v>
      </c>
      <c r="J35" s="227"/>
      <c r="K35" s="227"/>
      <c r="L35" s="227"/>
      <c r="M35" s="227"/>
      <c r="T35" t="s">
        <v>539</v>
      </c>
    </row>
    <row r="36" spans="1:20" x14ac:dyDescent="0.2">
      <c r="A36" s="243">
        <f>Transport!A47</f>
        <v>45108</v>
      </c>
      <c r="B36" s="241">
        <f ca="1">Transport!$F47</f>
        <v>38.321848276874519</v>
      </c>
      <c r="C36" s="247">
        <f ca="1">LeastSq!$AF34</f>
        <v>39.844168547168458</v>
      </c>
      <c r="D36" s="244">
        <f>Transport!I47</f>
        <v>1</v>
      </c>
      <c r="E36" s="241">
        <f t="shared" ca="1" si="0"/>
        <v>38.321848276874519</v>
      </c>
      <c r="F36" s="247">
        <f ca="1">LeastSq!$AF96</f>
        <v>39.844168547168458</v>
      </c>
      <c r="G36" s="315">
        <f t="shared" ca="1" si="9"/>
        <v>0.96179314750935807</v>
      </c>
      <c r="J36" s="227"/>
      <c r="K36" s="227"/>
      <c r="L36" s="227"/>
      <c r="M36" s="227"/>
      <c r="T36" t="s">
        <v>567</v>
      </c>
    </row>
    <row r="37" spans="1:20" x14ac:dyDescent="0.2">
      <c r="A37" s="243">
        <f>Transport!A48</f>
        <v>45139</v>
      </c>
      <c r="B37" s="241">
        <f ca="1">Transport!$F48</f>
        <v>43.908844442170953</v>
      </c>
      <c r="C37" s="247">
        <f ca="1">LeastSq!$AF35</f>
        <v>39.825084826365597</v>
      </c>
      <c r="D37" s="244">
        <f>Transport!I48</f>
        <v>1</v>
      </c>
      <c r="E37" s="241">
        <f t="shared" ca="1" si="0"/>
        <v>43.908844442170953</v>
      </c>
      <c r="F37" s="247">
        <f ca="1">LeastSq!$AF97</f>
        <v>39.825084826365597</v>
      </c>
      <c r="G37" s="315">
        <f t="shared" ca="1" si="9"/>
        <v>1.102542395919814</v>
      </c>
      <c r="J37" s="227"/>
      <c r="K37" s="227"/>
      <c r="L37" s="227"/>
      <c r="M37" s="227"/>
      <c r="T37" s="227" t="s">
        <v>1041</v>
      </c>
    </row>
    <row r="38" spans="1:20" x14ac:dyDescent="0.2">
      <c r="A38" s="243">
        <f>Transport!A49</f>
        <v>45170</v>
      </c>
      <c r="B38" s="241">
        <f ca="1">Transport!$F49</f>
        <v>39.63601951304247</v>
      </c>
      <c r="C38" s="247">
        <f ca="1">LeastSq!$AF36</f>
        <v>39.806010245881438</v>
      </c>
      <c r="D38" s="244">
        <f>Transport!I49</f>
        <v>1</v>
      </c>
      <c r="E38" s="241">
        <f t="shared" ca="1" si="0"/>
        <v>39.63601951304247</v>
      </c>
      <c r="F38" s="247">
        <f ca="1">LeastSq!$AF98</f>
        <v>39.806010245881438</v>
      </c>
      <c r="G38" s="315">
        <f t="shared" ca="1" si="9"/>
        <v>0.9957295209495014</v>
      </c>
      <c r="J38" s="227"/>
      <c r="K38" s="227"/>
      <c r="L38" s="227"/>
      <c r="M38" s="227"/>
    </row>
    <row r="39" spans="1:20" x14ac:dyDescent="0.2">
      <c r="A39" s="243">
        <f>Transport!A50</f>
        <v>45200</v>
      </c>
      <c r="B39" s="241">
        <f ca="1">Transport!$F50</f>
        <v>45.354256209484092</v>
      </c>
      <c r="C39" s="247">
        <f ca="1">LeastSq!$AF37</f>
        <v>39.786944801338166</v>
      </c>
      <c r="D39" s="244">
        <f>Transport!I50</f>
        <v>1</v>
      </c>
      <c r="E39" s="241">
        <f t="shared" ca="1" si="0"/>
        <v>45.354256209484092</v>
      </c>
      <c r="F39" s="247">
        <f ca="1">LeastSq!$AF99</f>
        <v>39.786944801338166</v>
      </c>
      <c r="G39" s="315">
        <f t="shared" ca="1" si="9"/>
        <v>1.1399280954077851</v>
      </c>
      <c r="J39" s="227"/>
      <c r="K39" s="227"/>
      <c r="L39" s="227"/>
      <c r="M39" s="227"/>
    </row>
    <row r="40" spans="1:20" x14ac:dyDescent="0.2">
      <c r="A40" s="243">
        <f>Transport!A51</f>
        <v>45231</v>
      </c>
      <c r="B40" s="241">
        <f ca="1">Transport!$F51</f>
        <v>42.107491445560107</v>
      </c>
      <c r="C40" s="247">
        <f ca="1">LeastSq!$AF38</f>
        <v>39.767888488360029</v>
      </c>
      <c r="D40" s="244">
        <f>Transport!I51</f>
        <v>1</v>
      </c>
      <c r="E40" s="241">
        <f t="shared" ca="1" si="0"/>
        <v>42.107491445560107</v>
      </c>
      <c r="F40" s="247">
        <f ca="1">LeastSq!$AF100</f>
        <v>39.767888488360029</v>
      </c>
      <c r="G40" s="315">
        <f t="shared" ca="1" si="9"/>
        <v>1.0588314604101969</v>
      </c>
      <c r="J40" s="227"/>
      <c r="K40" s="227"/>
      <c r="L40" s="227"/>
      <c r="M40" s="227"/>
    </row>
    <row r="41" spans="1:20" x14ac:dyDescent="0.2">
      <c r="A41" s="243">
        <f>Transport!A52</f>
        <v>45261</v>
      </c>
      <c r="B41" s="241">
        <f ca="1">Transport!$F52</f>
        <v>39.732638501839261</v>
      </c>
      <c r="C41" s="247">
        <f ca="1">LeastSq!$AF39</f>
        <v>39.748841302573396</v>
      </c>
      <c r="D41" s="244">
        <f>Transport!I52</f>
        <v>1</v>
      </c>
      <c r="E41" s="241">
        <f t="shared" ca="1" si="0"/>
        <v>39.732638501839261</v>
      </c>
      <c r="F41" s="247">
        <f ca="1">LeastSq!$AF101</f>
        <v>39.748841302573396</v>
      </c>
      <c r="G41" s="315">
        <f t="shared" ca="1" si="9"/>
        <v>0.99959237048922267</v>
      </c>
      <c r="J41" s="227"/>
      <c r="K41" s="227"/>
      <c r="L41" s="227"/>
      <c r="M41" s="227"/>
    </row>
    <row r="42" spans="1:20" x14ac:dyDescent="0.2">
      <c r="A42" s="243">
        <f>Transport!A53</f>
        <v>45292</v>
      </c>
      <c r="B42" s="241">
        <f ca="1">Transport!$F53</f>
        <v>37.056707228213348</v>
      </c>
      <c r="C42" s="247">
        <f ca="1">LeastSq!$AF40</f>
        <v>39.72980323960671</v>
      </c>
      <c r="D42" s="244">
        <f>Transport!I53</f>
        <v>1</v>
      </c>
      <c r="E42" s="241">
        <f t="shared" ca="1" si="0"/>
        <v>37.056707228213348</v>
      </c>
      <c r="F42" s="247">
        <f ca="1">LeastSq!$AF102</f>
        <v>39.72980323960671</v>
      </c>
      <c r="G42" s="315"/>
      <c r="J42" s="227"/>
      <c r="K42" s="227"/>
      <c r="L42" s="227"/>
      <c r="M42" s="227"/>
    </row>
    <row r="43" spans="1:20" x14ac:dyDescent="0.2">
      <c r="A43" s="243">
        <f>Transport!A54</f>
        <v>45323</v>
      </c>
      <c r="B43" s="241">
        <f ca="1">Transport!$F54</f>
        <v>37.540722153702205</v>
      </c>
      <c r="C43" s="247">
        <f ca="1">LeastSq!$AF41</f>
        <v>39.710774295090516</v>
      </c>
      <c r="D43" s="244">
        <f>Transport!I54</f>
        <v>1</v>
      </c>
      <c r="E43" s="241">
        <f t="shared" ca="1" si="0"/>
        <v>37.540722153702205</v>
      </c>
      <c r="F43" s="247">
        <f ca="1">LeastSq!$AF103</f>
        <v>39.710774295090516</v>
      </c>
      <c r="G43" s="315"/>
      <c r="J43" s="227"/>
      <c r="K43" s="227"/>
      <c r="L43" s="227"/>
      <c r="M43" s="227"/>
    </row>
    <row r="44" spans="1:20" x14ac:dyDescent="0.2">
      <c r="A44" s="243">
        <f>Transport!A55</f>
        <v>45352</v>
      </c>
      <c r="B44" s="241">
        <f ca="1">Transport!$F55</f>
        <v>41.849998787231975</v>
      </c>
      <c r="C44" s="247">
        <f ca="1">LeastSq!$AF42</f>
        <v>39.691754464657457</v>
      </c>
      <c r="D44" s="244">
        <f>Transport!I55</f>
        <v>1</v>
      </c>
      <c r="E44" s="241">
        <f t="shared" ca="1" si="0"/>
        <v>41.849998787231975</v>
      </c>
      <c r="F44" s="247">
        <f ca="1">LeastSq!$AF104</f>
        <v>39.691754464657457</v>
      </c>
      <c r="G44" s="315"/>
      <c r="J44" s="227"/>
      <c r="K44" s="227"/>
      <c r="L44" s="227"/>
      <c r="M44" s="227"/>
    </row>
    <row r="45" spans="1:20" x14ac:dyDescent="0.2">
      <c r="A45" s="227"/>
      <c r="B45" s="227"/>
      <c r="C45" s="227"/>
      <c r="D45" s="227"/>
      <c r="F45" s="227"/>
      <c r="G45" s="227"/>
      <c r="H45" s="227"/>
      <c r="I45" s="227"/>
      <c r="J45" s="227"/>
      <c r="K45" s="227"/>
      <c r="L45" s="227"/>
      <c r="M45" s="227"/>
    </row>
    <row r="46" spans="1:20" x14ac:dyDescent="0.2">
      <c r="B46" s="227"/>
      <c r="C46" s="254" t="s">
        <v>545</v>
      </c>
      <c r="D46" s="228" t="s">
        <v>543</v>
      </c>
      <c r="E46" s="37" t="s">
        <v>544</v>
      </c>
      <c r="G46" s="228" t="s">
        <v>546</v>
      </c>
      <c r="H46" s="227"/>
      <c r="I46" s="227"/>
      <c r="J46" s="227"/>
      <c r="K46" s="227"/>
      <c r="L46" s="227"/>
      <c r="M46" s="227"/>
    </row>
    <row r="47" spans="1:20" x14ac:dyDescent="0.2">
      <c r="A47" s="227" t="s">
        <v>552</v>
      </c>
      <c r="B47" s="227"/>
      <c r="C47" s="29" t="s">
        <v>176</v>
      </c>
      <c r="D47" s="29" t="s">
        <v>176</v>
      </c>
      <c r="E47" s="29" t="s">
        <v>176</v>
      </c>
      <c r="G47" s="29" t="s">
        <v>547</v>
      </c>
      <c r="H47" s="227"/>
      <c r="I47" s="227"/>
      <c r="J47" s="227"/>
      <c r="K47" s="227"/>
      <c r="L47" s="227"/>
      <c r="M47" s="227"/>
      <c r="N47" s="227"/>
    </row>
    <row r="48" spans="1:20" x14ac:dyDescent="0.2">
      <c r="A48" s="252" t="s">
        <v>553</v>
      </c>
      <c r="B48" s="252"/>
      <c r="C48" s="268">
        <f ca="1">+AS17</f>
        <v>0.84597808339362113</v>
      </c>
      <c r="D48" s="268">
        <f ca="1">+AW17</f>
        <v>0.58573516036438844</v>
      </c>
      <c r="E48" s="269">
        <f ca="1">+BA17</f>
        <v>0.96421977522886282</v>
      </c>
      <c r="F48" s="7"/>
      <c r="G48" s="269">
        <f ca="1">+AO17</f>
        <v>0.63602026431644321</v>
      </c>
      <c r="H48" s="227"/>
      <c r="I48" s="227"/>
      <c r="J48" s="227"/>
      <c r="K48" s="227"/>
      <c r="L48" s="227"/>
      <c r="M48" s="227"/>
      <c r="N48" s="227"/>
    </row>
    <row r="49" spans="1:14" x14ac:dyDescent="0.2">
      <c r="G49" s="227"/>
      <c r="H49" s="227"/>
      <c r="I49" s="227"/>
      <c r="J49" s="227"/>
      <c r="K49" s="227"/>
      <c r="L49" s="227"/>
      <c r="M49" s="227"/>
      <c r="N49" s="227"/>
    </row>
    <row r="50" spans="1:14" x14ac:dyDescent="0.2">
      <c r="A50" s="227"/>
      <c r="B50" s="227"/>
      <c r="C50" s="227"/>
      <c r="D50" s="227"/>
      <c r="E50" s="227"/>
      <c r="F50" s="227"/>
      <c r="G50" s="227"/>
      <c r="H50" s="227"/>
      <c r="I50" s="227"/>
      <c r="J50" s="227"/>
      <c r="K50" s="227"/>
      <c r="L50" s="227"/>
      <c r="M50" s="227"/>
      <c r="N50" s="227"/>
    </row>
    <row r="51" spans="1:14" x14ac:dyDescent="0.2">
      <c r="A51" s="227"/>
      <c r="B51" s="227"/>
      <c r="C51" s="227"/>
      <c r="D51" s="228"/>
      <c r="E51" s="228"/>
      <c r="F51" s="228"/>
      <c r="G51" s="228"/>
      <c r="H51" s="235"/>
      <c r="I51" s="227"/>
      <c r="J51" s="227"/>
      <c r="K51" s="227"/>
      <c r="L51" s="227"/>
      <c r="M51" s="227"/>
      <c r="N51" s="227"/>
    </row>
    <row r="52" spans="1:14" x14ac:dyDescent="0.2">
      <c r="A52" s="3" t="s">
        <v>565</v>
      </c>
      <c r="B52" s="69"/>
      <c r="C52" s="50"/>
      <c r="D52" s="29"/>
      <c r="E52" s="29"/>
      <c r="F52" s="29"/>
      <c r="G52" s="29"/>
      <c r="H52" s="236"/>
      <c r="I52" s="236"/>
      <c r="J52" s="234"/>
      <c r="K52" s="227"/>
      <c r="L52" s="227"/>
      <c r="M52" s="227"/>
      <c r="N52" s="227"/>
    </row>
    <row r="53" spans="1:14" x14ac:dyDescent="0.2">
      <c r="A53" s="227"/>
      <c r="B53" s="227"/>
      <c r="C53" s="227"/>
      <c r="D53" s="227"/>
      <c r="E53" s="227"/>
      <c r="F53" s="227"/>
      <c r="G53" s="227"/>
      <c r="H53" s="227"/>
      <c r="I53" s="227"/>
      <c r="J53" s="227"/>
      <c r="K53" s="227"/>
      <c r="L53" s="227"/>
      <c r="M53" s="227"/>
      <c r="N53" s="227"/>
    </row>
    <row r="54" spans="1:14" x14ac:dyDescent="0.2">
      <c r="A54" s="227"/>
      <c r="B54" s="227"/>
      <c r="C54" s="227"/>
      <c r="D54" s="227"/>
      <c r="E54" s="227"/>
      <c r="F54" s="227"/>
      <c r="G54" s="227"/>
      <c r="H54" s="227"/>
      <c r="I54" s="227"/>
      <c r="J54" s="227"/>
      <c r="K54" s="227"/>
      <c r="L54" s="227"/>
      <c r="M54" s="227"/>
    </row>
    <row r="55" spans="1:14" x14ac:dyDescent="0.2">
      <c r="A55" s="227"/>
      <c r="B55" s="227"/>
      <c r="C55" s="227"/>
      <c r="D55" s="227"/>
      <c r="E55" s="227"/>
      <c r="F55" s="227"/>
      <c r="G55" s="227"/>
      <c r="H55" s="227"/>
      <c r="I55" s="227"/>
      <c r="J55" s="227"/>
      <c r="K55" s="227"/>
      <c r="L55" s="227"/>
      <c r="M55" s="227"/>
    </row>
    <row r="56" spans="1:14" x14ac:dyDescent="0.2">
      <c r="A56" s="227"/>
      <c r="B56" s="227"/>
      <c r="C56" s="227"/>
      <c r="D56" s="227"/>
      <c r="E56" s="227"/>
      <c r="F56" s="227"/>
      <c r="G56" s="227"/>
      <c r="H56" s="227"/>
      <c r="I56" s="227"/>
      <c r="J56" s="227"/>
      <c r="K56" s="227"/>
      <c r="L56" s="227"/>
      <c r="M56" s="227"/>
    </row>
    <row r="57" spans="1:14" x14ac:dyDescent="0.2">
      <c r="A57" s="227"/>
      <c r="B57" s="227"/>
      <c r="C57" s="227"/>
      <c r="D57" s="227"/>
      <c r="E57" s="227"/>
      <c r="F57" s="227"/>
      <c r="G57" s="227"/>
      <c r="H57" s="227"/>
      <c r="I57" s="227"/>
      <c r="J57" s="227"/>
      <c r="K57" s="227"/>
      <c r="L57" s="227"/>
      <c r="M57" s="227"/>
    </row>
    <row r="58" spans="1:14" x14ac:dyDescent="0.2">
      <c r="A58" s="227"/>
      <c r="B58" s="227"/>
      <c r="C58" s="227"/>
      <c r="D58" s="227"/>
      <c r="E58" s="227"/>
      <c r="F58" s="227"/>
      <c r="G58" s="227"/>
      <c r="H58" s="227"/>
      <c r="I58" s="227"/>
      <c r="J58" s="227"/>
      <c r="K58" s="227"/>
      <c r="L58" s="227"/>
      <c r="M58" s="227"/>
    </row>
    <row r="59" spans="1:14" x14ac:dyDescent="0.2">
      <c r="A59" s="227"/>
      <c r="B59" s="227"/>
      <c r="C59" s="227"/>
      <c r="D59" s="227"/>
      <c r="E59" s="227"/>
      <c r="F59" s="227"/>
      <c r="G59" s="227"/>
      <c r="H59" s="227"/>
      <c r="I59" s="227"/>
      <c r="J59" s="227"/>
      <c r="K59" s="227"/>
      <c r="L59" s="227"/>
      <c r="M59" s="227"/>
    </row>
    <row r="60" spans="1:14" x14ac:dyDescent="0.2">
      <c r="A60" s="227"/>
      <c r="B60" s="227"/>
      <c r="C60" s="227"/>
      <c r="D60" s="227"/>
      <c r="E60" s="227"/>
      <c r="F60" s="227"/>
      <c r="G60" s="227"/>
      <c r="H60" s="227"/>
      <c r="I60" s="227"/>
      <c r="J60" s="227"/>
      <c r="K60" s="227"/>
      <c r="L60" s="227"/>
      <c r="M60" s="227"/>
    </row>
    <row r="61" spans="1:14" x14ac:dyDescent="0.2">
      <c r="A61" s="227"/>
      <c r="B61" s="227"/>
      <c r="C61" s="227"/>
      <c r="D61" s="227"/>
      <c r="E61" s="227"/>
      <c r="F61" s="227"/>
      <c r="G61" s="227"/>
      <c r="H61" s="227"/>
      <c r="I61" s="227"/>
      <c r="J61" s="227"/>
      <c r="K61" s="227"/>
      <c r="L61" s="227"/>
      <c r="M61" s="227"/>
    </row>
    <row r="62" spans="1:14" x14ac:dyDescent="0.2">
      <c r="A62" s="227"/>
      <c r="B62" s="227"/>
      <c r="C62" s="227"/>
      <c r="D62" s="227"/>
      <c r="E62" s="227"/>
      <c r="F62" s="227"/>
      <c r="G62" s="227"/>
      <c r="H62" s="227"/>
      <c r="I62" s="227"/>
      <c r="J62" s="227"/>
      <c r="K62" s="227"/>
      <c r="L62" s="227"/>
      <c r="M62" s="227"/>
    </row>
    <row r="63" spans="1:14" x14ac:dyDescent="0.2">
      <c r="A63" s="227"/>
      <c r="B63" s="227"/>
      <c r="C63" s="227"/>
      <c r="D63" s="227"/>
      <c r="E63" s="227"/>
      <c r="F63" s="227"/>
      <c r="G63" s="227"/>
      <c r="H63" s="227"/>
      <c r="I63" s="227"/>
      <c r="J63" s="227"/>
      <c r="K63" s="227"/>
      <c r="L63" s="227"/>
      <c r="M63" s="227"/>
    </row>
    <row r="64" spans="1:14" x14ac:dyDescent="0.2">
      <c r="A64" s="227"/>
      <c r="B64" s="227"/>
      <c r="C64" s="227"/>
      <c r="D64" s="227"/>
      <c r="E64" s="227"/>
      <c r="F64" s="227"/>
      <c r="G64" s="227"/>
      <c r="H64" s="227"/>
      <c r="I64" s="227"/>
      <c r="J64" s="227"/>
      <c r="K64" s="227"/>
      <c r="L64" s="227"/>
      <c r="M64" s="227"/>
    </row>
    <row r="65" spans="1:13" x14ac:dyDescent="0.2">
      <c r="A65" s="227"/>
      <c r="B65" s="227"/>
      <c r="C65" s="227"/>
      <c r="D65" s="227"/>
      <c r="E65" s="227"/>
      <c r="F65" s="227"/>
      <c r="G65" s="227"/>
      <c r="H65" s="227"/>
      <c r="I65" s="227"/>
      <c r="J65" s="227"/>
      <c r="K65" s="227"/>
      <c r="L65" s="227"/>
      <c r="M65" s="227"/>
    </row>
    <row r="66" spans="1:13" x14ac:dyDescent="0.2">
      <c r="A66" s="227"/>
      <c r="B66" s="227"/>
      <c r="C66" s="227"/>
      <c r="D66" s="227"/>
      <c r="E66" s="227"/>
      <c r="F66" s="227"/>
      <c r="G66" s="227"/>
      <c r="H66" s="227"/>
      <c r="I66" s="227"/>
      <c r="J66" s="227"/>
      <c r="K66" s="227"/>
      <c r="L66" s="227"/>
      <c r="M66" s="227"/>
    </row>
    <row r="67" spans="1:13" x14ac:dyDescent="0.2">
      <c r="A67" s="227"/>
      <c r="B67" s="227"/>
      <c r="C67" s="227"/>
      <c r="D67" s="227"/>
      <c r="E67" s="227"/>
      <c r="F67" s="227"/>
      <c r="G67" s="227"/>
      <c r="H67" s="227"/>
      <c r="I67" s="227"/>
      <c r="J67" s="227"/>
      <c r="K67" s="227"/>
      <c r="L67" s="227"/>
      <c r="M67" s="227"/>
    </row>
    <row r="68" spans="1:13" x14ac:dyDescent="0.2">
      <c r="A68" s="227"/>
      <c r="B68" s="227"/>
      <c r="C68" s="227"/>
      <c r="D68" s="227"/>
      <c r="E68" s="227"/>
      <c r="F68" s="227"/>
      <c r="G68" s="227"/>
      <c r="H68" s="227"/>
      <c r="I68" s="227"/>
      <c r="J68" s="227"/>
      <c r="K68" s="227"/>
      <c r="L68" s="227"/>
      <c r="M68" s="227"/>
    </row>
    <row r="69" spans="1:13" x14ac:dyDescent="0.2">
      <c r="A69" s="227"/>
      <c r="B69" s="227"/>
      <c r="C69" s="227"/>
      <c r="D69" s="227"/>
      <c r="E69" s="227"/>
      <c r="F69" s="227"/>
      <c r="G69" s="227"/>
      <c r="H69" s="227"/>
      <c r="I69" s="227"/>
      <c r="J69" s="227"/>
      <c r="K69" s="227"/>
      <c r="L69" s="227"/>
      <c r="M69" s="227"/>
    </row>
    <row r="70" spans="1:13" x14ac:dyDescent="0.2">
      <c r="A70" s="227"/>
      <c r="B70" s="227"/>
      <c r="C70" s="227"/>
      <c r="D70" s="227"/>
      <c r="E70" s="227"/>
      <c r="F70" s="227"/>
      <c r="G70" s="227"/>
      <c r="H70" s="227"/>
      <c r="I70" s="227"/>
      <c r="J70" s="227"/>
      <c r="K70" s="227"/>
      <c r="L70" s="227"/>
      <c r="M70" s="227"/>
    </row>
    <row r="71" spans="1:13" x14ac:dyDescent="0.2">
      <c r="A71" s="227"/>
      <c r="B71" s="227"/>
      <c r="C71" s="227"/>
      <c r="D71" s="227"/>
      <c r="E71" s="227"/>
      <c r="F71" s="227"/>
      <c r="G71" s="227"/>
      <c r="H71" s="227"/>
      <c r="I71" s="227"/>
      <c r="J71" s="227"/>
      <c r="K71" s="227"/>
      <c r="L71" s="227"/>
      <c r="M71" s="227"/>
    </row>
    <row r="72" spans="1:13" x14ac:dyDescent="0.2">
      <c r="A72" s="227"/>
      <c r="B72" s="227"/>
      <c r="C72" s="227"/>
      <c r="D72" s="227"/>
      <c r="E72" s="227"/>
      <c r="F72" s="227"/>
      <c r="G72" s="227"/>
      <c r="H72" s="227"/>
      <c r="I72" s="227"/>
      <c r="J72" s="227"/>
      <c r="K72" s="227"/>
      <c r="L72" s="227"/>
      <c r="M72" s="227"/>
    </row>
    <row r="73" spans="1:13" x14ac:dyDescent="0.2">
      <c r="A73" s="227"/>
      <c r="B73" s="227"/>
      <c r="C73" s="227"/>
      <c r="D73" s="227"/>
      <c r="E73" s="227"/>
      <c r="F73" s="227"/>
      <c r="G73" s="227"/>
      <c r="H73" s="227"/>
      <c r="I73" s="227"/>
      <c r="J73" s="227"/>
      <c r="K73" s="227"/>
      <c r="L73" s="227"/>
      <c r="M73" s="227"/>
    </row>
    <row r="74" spans="1:13" x14ac:dyDescent="0.2">
      <c r="A74" s="227"/>
      <c r="B74" s="227"/>
      <c r="C74" s="227"/>
      <c r="D74" s="227"/>
      <c r="E74" s="227"/>
      <c r="F74" s="227"/>
      <c r="G74" s="227"/>
      <c r="H74" s="227"/>
      <c r="I74" s="227"/>
      <c r="J74" s="227"/>
      <c r="K74" s="227"/>
      <c r="L74" s="227"/>
      <c r="M74" s="227"/>
    </row>
    <row r="75" spans="1:13" x14ac:dyDescent="0.2">
      <c r="A75" s="227"/>
      <c r="B75" s="227"/>
      <c r="C75" s="227"/>
      <c r="D75" s="227"/>
      <c r="E75" s="227"/>
      <c r="F75" s="227"/>
      <c r="G75" s="227"/>
      <c r="H75" s="227"/>
      <c r="I75" s="227"/>
      <c r="J75" s="227"/>
      <c r="K75" s="227"/>
      <c r="L75" s="227"/>
      <c r="M75" s="227"/>
    </row>
  </sheetData>
  <phoneticPr fontId="0" type="noConversion"/>
  <conditionalFormatting sqref="V2">
    <cfRule type="containsText" dxfId="14" priority="6" operator="containsText" text="&quot;--&quot;">
      <formula>NOT(ISERROR(SEARCH("""--""",V2)))</formula>
    </cfRule>
    <cfRule type="containsText" dxfId="13" priority="7" operator="containsText" text="__">
      <formula>NOT(ISERROR(SEARCH("__",V2)))</formula>
    </cfRule>
    <cfRule type="cellIs" dxfId="12" priority="8" operator="lessThan">
      <formula>0.001</formula>
    </cfRule>
  </conditionalFormatting>
  <conditionalFormatting sqref="L9:L20">
    <cfRule type="containsText" dxfId="11" priority="17" operator="containsText" text="&quot;--&quot;">
      <formula>NOT(ISERROR(SEARCH("""--""",L9)))</formula>
    </cfRule>
    <cfRule type="containsText" dxfId="10" priority="18" operator="containsText" text="__">
      <formula>NOT(ISERROR(SEARCH("__",L9)))</formula>
    </cfRule>
    <cfRule type="cellIs" dxfId="9" priority="19" operator="lessThan">
      <formula>0.001</formula>
    </cfRule>
  </conditionalFormatting>
  <conditionalFormatting sqref="G42:G44">
    <cfRule type="containsText" dxfId="8" priority="2" operator="containsText" text="&quot;--&quot;">
      <formula>NOT(ISERROR(SEARCH("""--""",G42)))</formula>
    </cfRule>
    <cfRule type="containsText" dxfId="7" priority="3" operator="containsText" text="__">
      <formula>NOT(ISERROR(SEARCH("__",G42)))</formula>
    </cfRule>
    <cfRule type="cellIs" dxfId="6" priority="4" operator="lessThan">
      <formula>0.001</formula>
    </cfRule>
  </conditionalFormatting>
  <pageMargins left="0.5" right="0.5" top="0.75" bottom="0.75" header="0.5" footer="0.5"/>
  <pageSetup firstPageNumber="11" orientation="landscape" useFirstPageNumber="1" r:id="rId1"/>
  <headerFooter alignWithMargins="0">
    <oddFooter>&amp;L&amp;D  &amp;F:  &amp;A     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3" r:id="rId4" name="Button 5">
              <controlPr defaultSize="0" print="0" autoFill="0" autoPict="0" macro="[0]!Season_ApplyNewClient">
                <anchor moveWithCells="1" sizeWithCells="1">
                  <from>
                    <xdr:col>10</xdr:col>
                    <xdr:colOff>57150</xdr:colOff>
                    <xdr:row>0</xdr:row>
                    <xdr:rowOff>57150</xdr:rowOff>
                  </from>
                  <to>
                    <xdr:col>12</xdr:col>
                    <xdr:colOff>247650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5" name="Button 4">
              <controlPr defaultSize="0" print="0" autoFill="0" autoPict="0" macro="[0]!SeasonChartFix">
                <anchor moveWithCells="1" sizeWithCells="1">
                  <from>
                    <xdr:col>7</xdr:col>
                    <xdr:colOff>276225</xdr:colOff>
                    <xdr:row>0</xdr:row>
                    <xdr:rowOff>76200</xdr:rowOff>
                  </from>
                  <to>
                    <xdr:col>9</xdr:col>
                    <xdr:colOff>704850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6" name="Button 6">
              <controlPr defaultSize="0" print="0" autoFill="0" autoPict="0" macro="[0]!GoPMPMSeasonality">
                <anchor moveWithCells="1" sizeWithCells="1">
                  <from>
                    <xdr:col>12</xdr:col>
                    <xdr:colOff>342900</xdr:colOff>
                    <xdr:row>0</xdr:row>
                    <xdr:rowOff>66675</xdr:rowOff>
                  </from>
                  <to>
                    <xdr:col>15</xdr:col>
                    <xdr:colOff>104775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7" name="Button 3">
              <controlPr defaultSize="0" print="0" autoFill="0" autoPict="0" macro="[0]!PrintBox">
                <anchor moveWithCells="1" sizeWithCells="1">
                  <from>
                    <xdr:col>5</xdr:col>
                    <xdr:colOff>523875</xdr:colOff>
                    <xdr:row>0</xdr:row>
                    <xdr:rowOff>76200</xdr:rowOff>
                  </from>
                  <to>
                    <xdr:col>7</xdr:col>
                    <xdr:colOff>209550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8" name="Button 10">
              <controlPr defaultSize="0" print="0" autoFill="0" autoPict="0" macro="[0]!PrintBox">
                <anchor moveWithCells="1" sizeWithCells="1">
                  <from>
                    <xdr:col>18</xdr:col>
                    <xdr:colOff>57150</xdr:colOff>
                    <xdr:row>37</xdr:row>
                    <xdr:rowOff>57150</xdr:rowOff>
                  </from>
                  <to>
                    <xdr:col>20</xdr:col>
                    <xdr:colOff>314325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9" name="Button 7">
              <controlPr defaultSize="0" print="0" autoFill="0" autoPict="0" macro="[0]!SeasonChartFix">
                <anchor moveWithCells="1" sizeWithCells="1">
                  <from>
                    <xdr:col>18</xdr:col>
                    <xdr:colOff>47625</xdr:colOff>
                    <xdr:row>40</xdr:row>
                    <xdr:rowOff>95250</xdr:rowOff>
                  </from>
                  <to>
                    <xdr:col>20</xdr:col>
                    <xdr:colOff>285750</xdr:colOff>
                    <xdr:row>42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0" name="Button 8">
              <controlPr defaultSize="0" print="0" autoFill="0" autoPict="0" macro="[0]!Season_ApplyNewClient">
                <anchor moveWithCells="1" sizeWithCells="1">
                  <from>
                    <xdr:col>18</xdr:col>
                    <xdr:colOff>47625</xdr:colOff>
                    <xdr:row>43</xdr:row>
                    <xdr:rowOff>123825</xdr:rowOff>
                  </from>
                  <to>
                    <xdr:col>20</xdr:col>
                    <xdr:colOff>266700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1" name="Button 9">
              <controlPr defaultSize="0" print="0" autoFill="0" autoPict="0" macro="[0]!GoPMPMSeasonality">
                <anchor moveWithCells="1" sizeWithCells="1">
                  <from>
                    <xdr:col>18</xdr:col>
                    <xdr:colOff>57150</xdr:colOff>
                    <xdr:row>47</xdr:row>
                    <xdr:rowOff>9525</xdr:rowOff>
                  </from>
                  <to>
                    <xdr:col>20</xdr:col>
                    <xdr:colOff>266700</xdr:colOff>
                    <xdr:row>49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6" operator="containsText" id="{6BB947F5-61FD-4E81-8078-4489FD8793D0}">
            <xm:f>NOT(ISERROR(SEARCH($V$2,L9)))</xm:f>
            <xm:f>$V$2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L9:L20</xm:sqref>
        </x14:conditionalFormatting>
        <x14:conditionalFormatting xmlns:xm="http://schemas.microsoft.com/office/excel/2006/main">
          <x14:cfRule type="containsText" priority="1" operator="containsText" id="{B3D9CCDC-D166-4794-8181-CE9D4B804195}">
            <xm:f>NOT(ISERROR(SEARCH($V$2,G42)))</xm:f>
            <xm:f>$V$2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G42:G44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>
    <tabColor indexed="54"/>
  </sheetPr>
  <dimension ref="A1:Y276"/>
  <sheetViews>
    <sheetView workbookViewId="0"/>
  </sheetViews>
  <sheetFormatPr defaultRowHeight="11.25" x14ac:dyDescent="0.2"/>
  <cols>
    <col min="17" max="17" width="11" customWidth="1"/>
  </cols>
  <sheetData>
    <row r="1" spans="1:25" ht="12.75" x14ac:dyDescent="0.2">
      <c r="A1" s="34" t="str">
        <f>Data!$C$1</f>
        <v>Allied Pacific (APC Commerical)</v>
      </c>
      <c r="Q1" s="130" t="s">
        <v>762</v>
      </c>
    </row>
    <row r="2" spans="1:25" x14ac:dyDescent="0.2">
      <c r="A2" s="3" t="s">
        <v>573</v>
      </c>
    </row>
    <row r="3" spans="1:25" x14ac:dyDescent="0.2">
      <c r="E3" s="9"/>
      <c r="F3" s="10" t="s">
        <v>260</v>
      </c>
      <c r="G3" s="11"/>
      <c r="S3" t="s">
        <v>626</v>
      </c>
      <c r="W3" s="9"/>
      <c r="X3" s="10" t="s">
        <v>153</v>
      </c>
      <c r="Y3" s="11"/>
    </row>
    <row r="4" spans="1:25" x14ac:dyDescent="0.2">
      <c r="A4" s="3" t="s">
        <v>577</v>
      </c>
      <c r="E4" s="193"/>
      <c r="F4" s="231" t="s">
        <v>609</v>
      </c>
      <c r="G4" s="196"/>
      <c r="S4" s="1" t="s">
        <v>627</v>
      </c>
      <c r="U4" s="67">
        <f ca="1">MIN(E7:G29)</f>
        <v>-0.16053185151553429</v>
      </c>
      <c r="W4" s="193"/>
      <c r="X4" s="231" t="s">
        <v>609</v>
      </c>
      <c r="Y4" s="196"/>
    </row>
    <row r="5" spans="1:25" x14ac:dyDescent="0.2">
      <c r="E5" s="203"/>
      <c r="F5" s="98" t="s">
        <v>610</v>
      </c>
      <c r="G5" s="204"/>
      <c r="S5" t="s">
        <v>628</v>
      </c>
      <c r="U5">
        <f ca="1">INT(ABS(100*U4-5))*0.01</f>
        <v>0.21</v>
      </c>
      <c r="W5" s="203"/>
      <c r="X5" s="98" t="s">
        <v>610</v>
      </c>
      <c r="Y5" s="204"/>
    </row>
    <row r="6" spans="1:25" x14ac:dyDescent="0.2">
      <c r="E6" s="69" t="s">
        <v>159</v>
      </c>
      <c r="F6" s="69" t="s">
        <v>602</v>
      </c>
      <c r="G6" s="69" t="s">
        <v>603</v>
      </c>
      <c r="S6" t="s">
        <v>629</v>
      </c>
      <c r="U6">
        <f ca="1">IF(U4&lt;0,-U5,0)</f>
        <v>-0.21</v>
      </c>
      <c r="W6" s="50" t="s">
        <v>159</v>
      </c>
      <c r="X6" s="50" t="s">
        <v>602</v>
      </c>
      <c r="Y6" s="50" t="s">
        <v>603</v>
      </c>
    </row>
    <row r="7" spans="1:25" x14ac:dyDescent="0.2">
      <c r="A7" s="7" t="s">
        <v>605</v>
      </c>
      <c r="B7" s="7"/>
      <c r="C7" s="300">
        <f t="shared" ref="C7:C28" si="0">D120</f>
        <v>45352</v>
      </c>
      <c r="D7" s="302"/>
      <c r="E7" s="314">
        <f t="shared" ref="E7:G19" ca="1" si="1">F120</f>
        <v>2.7596315962892026E-2</v>
      </c>
      <c r="F7" s="314">
        <f t="shared" ca="1" si="1"/>
        <v>4.097990025838727E-2</v>
      </c>
      <c r="G7" s="314">
        <f t="shared" ca="1" si="1"/>
        <v>1.9227376322711542E-2</v>
      </c>
      <c r="W7" s="147">
        <f t="shared" ref="W7:Y19" ca="1" si="2">W120</f>
        <v>2.7596315962892026E-2</v>
      </c>
      <c r="X7" s="147">
        <f t="shared" ca="1" si="2"/>
        <v>4.097990025838727E-2</v>
      </c>
      <c r="Y7" s="147">
        <f t="shared" ca="1" si="2"/>
        <v>1.9227376322711542E-2</v>
      </c>
    </row>
    <row r="8" spans="1:25" x14ac:dyDescent="0.2">
      <c r="A8" s="7" t="s">
        <v>605</v>
      </c>
      <c r="B8" s="7"/>
      <c r="C8" s="300">
        <f t="shared" si="0"/>
        <v>45323</v>
      </c>
      <c r="D8" s="302"/>
      <c r="E8" s="314">
        <f t="shared" ca="1" si="1"/>
        <v>3.9333150474620604E-2</v>
      </c>
      <c r="F8" s="314">
        <f t="shared" ca="1" si="1"/>
        <v>4.2589634816276867E-2</v>
      </c>
      <c r="G8" s="314">
        <f t="shared" ca="1" si="1"/>
        <v>3.1433532351111682E-2</v>
      </c>
      <c r="W8" s="147">
        <f t="shared" ca="1" si="2"/>
        <v>3.9333150474620604E-2</v>
      </c>
      <c r="X8" s="147">
        <f t="shared" ca="1" si="2"/>
        <v>4.2589634816276867E-2</v>
      </c>
      <c r="Y8" s="147">
        <f t="shared" ca="1" si="2"/>
        <v>3.1433532351111682E-2</v>
      </c>
    </row>
    <row r="9" spans="1:25" x14ac:dyDescent="0.2">
      <c r="A9" s="7" t="s">
        <v>605</v>
      </c>
      <c r="B9" s="7"/>
      <c r="C9" s="300">
        <f t="shared" si="0"/>
        <v>45292</v>
      </c>
      <c r="D9" s="302"/>
      <c r="E9" s="314">
        <f t="shared" ca="1" si="1"/>
        <v>4.5654885156313441E-2</v>
      </c>
      <c r="F9" s="314">
        <f t="shared" ca="1" si="1"/>
        <v>2.9530326568855347E-2</v>
      </c>
      <c r="G9" s="314">
        <f t="shared" ca="1" si="1"/>
        <v>3.7045251586962369E-2</v>
      </c>
      <c r="W9" s="147">
        <f t="shared" ca="1" si="2"/>
        <v>4.5654885156313441E-2</v>
      </c>
      <c r="X9" s="147">
        <f t="shared" ca="1" si="2"/>
        <v>2.9530326568855347E-2</v>
      </c>
      <c r="Y9" s="147">
        <f t="shared" ca="1" si="2"/>
        <v>3.7045251586962369E-2</v>
      </c>
    </row>
    <row r="10" spans="1:25" x14ac:dyDescent="0.2">
      <c r="A10" s="7" t="s">
        <v>605</v>
      </c>
      <c r="B10" s="7"/>
      <c r="C10" s="300">
        <f t="shared" si="0"/>
        <v>45261</v>
      </c>
      <c r="D10" s="302"/>
      <c r="E10" s="314">
        <f t="shared" ca="1" si="1"/>
        <v>5.3542043146839857E-2</v>
      </c>
      <c r="F10" s="314">
        <f t="shared" ca="1" si="1"/>
        <v>1.9835320719978844E-2</v>
      </c>
      <c r="G10" s="314">
        <f t="shared" ca="1" si="1"/>
        <v>3.5163344972331201E-2</v>
      </c>
      <c r="W10" s="147">
        <f t="shared" ca="1" si="2"/>
        <v>5.3542043146839857E-2</v>
      </c>
      <c r="X10" s="147">
        <f t="shared" ca="1" si="2"/>
        <v>1.9835320719978844E-2</v>
      </c>
      <c r="Y10" s="147">
        <f t="shared" ca="1" si="2"/>
        <v>3.5163344972331201E-2</v>
      </c>
    </row>
    <row r="11" spans="1:25" x14ac:dyDescent="0.2">
      <c r="A11" s="7" t="s">
        <v>605</v>
      </c>
      <c r="B11" s="7"/>
      <c r="C11" s="300">
        <f t="shared" si="0"/>
        <v>45231</v>
      </c>
      <c r="D11" s="302"/>
      <c r="E11" s="314">
        <f t="shared" ca="1" si="1"/>
        <v>4.5536470644615301E-2</v>
      </c>
      <c r="F11" s="314">
        <f t="shared" ca="1" si="1"/>
        <v>2.7276856263154903E-2</v>
      </c>
      <c r="G11" s="314">
        <f t="shared" ca="1" si="1"/>
        <v>1.5880632265681038E-2</v>
      </c>
      <c r="W11" s="147">
        <f t="shared" ca="1" si="2"/>
        <v>4.5536470644615301E-2</v>
      </c>
      <c r="X11" s="147">
        <f t="shared" ca="1" si="2"/>
        <v>2.7276856263154903E-2</v>
      </c>
      <c r="Y11" s="147">
        <f t="shared" ca="1" si="2"/>
        <v>1.5880632265681038E-2</v>
      </c>
    </row>
    <row r="12" spans="1:25" x14ac:dyDescent="0.2">
      <c r="A12" s="7" t="s">
        <v>605</v>
      </c>
      <c r="B12" s="7"/>
      <c r="C12" s="300">
        <f t="shared" si="0"/>
        <v>45200</v>
      </c>
      <c r="D12" s="302"/>
      <c r="E12" s="314">
        <f t="shared" ca="1" si="1"/>
        <v>1.5091726050895815E-2</v>
      </c>
      <c r="F12" s="314">
        <f t="shared" ca="1" si="1"/>
        <v>1.9962228869046861E-2</v>
      </c>
      <c r="G12" s="314">
        <f t="shared" ca="1" si="1"/>
        <v>-6.7644450424725333E-3</v>
      </c>
      <c r="W12" s="147">
        <f t="shared" ca="1" si="2"/>
        <v>1.5091726050895815E-2</v>
      </c>
      <c r="X12" s="147">
        <f t="shared" ca="1" si="2"/>
        <v>1.9962228869046861E-2</v>
      </c>
      <c r="Y12" s="147">
        <f t="shared" ca="1" si="2"/>
        <v>-6.7644450424725333E-3</v>
      </c>
    </row>
    <row r="13" spans="1:25" x14ac:dyDescent="0.2">
      <c r="A13" s="7" t="s">
        <v>605</v>
      </c>
      <c r="B13" s="7"/>
      <c r="C13" s="300">
        <f t="shared" si="0"/>
        <v>45170</v>
      </c>
      <c r="D13" s="302"/>
      <c r="E13" s="314">
        <f t="shared" ca="1" si="1"/>
        <v>-1.3118994562174024E-2</v>
      </c>
      <c r="F13" s="314">
        <f t="shared" ca="1" si="1"/>
        <v>-2.0254230760268221E-3</v>
      </c>
      <c r="G13" s="314">
        <f t="shared" ca="1" si="1"/>
        <v>-2.7263757888178586E-2</v>
      </c>
      <c r="W13" s="147">
        <f t="shared" ca="1" si="2"/>
        <v>-1.3118994562174024E-2</v>
      </c>
      <c r="X13" s="147">
        <f t="shared" ca="1" si="2"/>
        <v>-2.0254230760268221E-3</v>
      </c>
      <c r="Y13" s="147">
        <f t="shared" ca="1" si="2"/>
        <v>-2.7263757888178586E-2</v>
      </c>
    </row>
    <row r="14" spans="1:25" x14ac:dyDescent="0.2">
      <c r="A14" s="7" t="s">
        <v>605</v>
      </c>
      <c r="B14" s="7"/>
      <c r="C14" s="300">
        <f t="shared" si="0"/>
        <v>45139</v>
      </c>
      <c r="D14" s="302"/>
      <c r="E14" s="314">
        <f t="shared" ca="1" si="1"/>
        <v>9.0956922841671783E-3</v>
      </c>
      <c r="F14" s="314">
        <f t="shared" ca="1" si="1"/>
        <v>2.0570492487188341E-2</v>
      </c>
      <c r="G14" s="314">
        <f t="shared" ca="1" si="1"/>
        <v>-3.5703342593939258E-2</v>
      </c>
      <c r="W14" s="147">
        <f t="shared" ca="1" si="2"/>
        <v>9.0956922841671783E-3</v>
      </c>
      <c r="X14" s="147">
        <f t="shared" ca="1" si="2"/>
        <v>2.0570492487188341E-2</v>
      </c>
      <c r="Y14" s="147">
        <f t="shared" ca="1" si="2"/>
        <v>-3.5703342593939258E-2</v>
      </c>
    </row>
    <row r="15" spans="1:25" x14ac:dyDescent="0.2">
      <c r="A15" s="7" t="s">
        <v>605</v>
      </c>
      <c r="B15" s="7"/>
      <c r="C15" s="300">
        <f t="shared" si="0"/>
        <v>45108</v>
      </c>
      <c r="D15" s="302"/>
      <c r="E15" s="314">
        <f t="shared" ca="1" si="1"/>
        <v>2.5266682435893362E-2</v>
      </c>
      <c r="F15" s="314">
        <f t="shared" ca="1" si="1"/>
        <v>4.5110348628492059E-2</v>
      </c>
      <c r="G15" s="314">
        <f t="shared" ca="1" si="1"/>
        <v>-4.0089177916272756E-2</v>
      </c>
      <c r="W15" s="147">
        <f t="shared" ca="1" si="2"/>
        <v>2.5266682435893362E-2</v>
      </c>
      <c r="X15" s="147">
        <f t="shared" ca="1" si="2"/>
        <v>4.5110348628492059E-2</v>
      </c>
      <c r="Y15" s="147">
        <f t="shared" ca="1" si="2"/>
        <v>-4.0089177916272756E-2</v>
      </c>
    </row>
    <row r="16" spans="1:25" x14ac:dyDescent="0.2">
      <c r="A16" s="7" t="s">
        <v>605</v>
      </c>
      <c r="B16" s="7"/>
      <c r="C16" s="300">
        <f t="shared" si="0"/>
        <v>45078</v>
      </c>
      <c r="D16" s="302"/>
      <c r="E16" s="314">
        <f t="shared" ca="1" si="1"/>
        <v>9.777316695672722E-3</v>
      </c>
      <c r="F16" s="314">
        <f t="shared" ca="1" si="1"/>
        <v>5.2250456830420511E-2</v>
      </c>
      <c r="G16" s="314">
        <f t="shared" ca="1" si="1"/>
        <v>-4.532778323630593E-2</v>
      </c>
      <c r="W16" s="147">
        <f t="shared" ca="1" si="2"/>
        <v>9.777316695672722E-3</v>
      </c>
      <c r="X16" s="147">
        <f t="shared" ca="1" si="2"/>
        <v>5.2250456830420511E-2</v>
      </c>
      <c r="Y16" s="147">
        <f t="shared" ca="1" si="2"/>
        <v>-4.532778323630593E-2</v>
      </c>
    </row>
    <row r="17" spans="1:25" x14ac:dyDescent="0.2">
      <c r="A17" s="7" t="s">
        <v>605</v>
      </c>
      <c r="B17" s="7"/>
      <c r="C17" s="300">
        <f t="shared" si="0"/>
        <v>45047</v>
      </c>
      <c r="D17" s="302"/>
      <c r="E17" s="314">
        <f t="shared" ca="1" si="1"/>
        <v>3.2676003472606796E-2</v>
      </c>
      <c r="F17" s="314">
        <f t="shared" ca="1" si="1"/>
        <v>3.7371628781914801E-3</v>
      </c>
      <c r="G17" s="314">
        <f t="shared" ca="1" si="1"/>
        <v>-4.7360609664821807E-2</v>
      </c>
      <c r="W17" s="147">
        <f t="shared" ca="1" si="2"/>
        <v>3.2676003472606796E-2</v>
      </c>
      <c r="X17" s="147">
        <f t="shared" ca="1" si="2"/>
        <v>3.7371628781914801E-3</v>
      </c>
      <c r="Y17" s="147">
        <f t="shared" ca="1" si="2"/>
        <v>-4.7360609664821807E-2</v>
      </c>
    </row>
    <row r="18" spans="1:25" x14ac:dyDescent="0.2">
      <c r="A18" s="7" t="s">
        <v>605</v>
      </c>
      <c r="B18" s="7"/>
      <c r="C18" s="300">
        <f t="shared" si="0"/>
        <v>45017</v>
      </c>
      <c r="D18" s="302"/>
      <c r="E18" s="314">
        <f t="shared" ca="1" si="1"/>
        <v>6.6597792416548174E-2</v>
      </c>
      <c r="F18" s="314">
        <f t="shared" ca="1" si="1"/>
        <v>-3.4272007733281096E-2</v>
      </c>
      <c r="G18" s="314">
        <f t="shared" ca="1" si="1"/>
        <v>-4.4378076824705626E-2</v>
      </c>
      <c r="W18" s="147">
        <f t="shared" ca="1" si="2"/>
        <v>6.6597792416548174E-2</v>
      </c>
      <c r="X18" s="147">
        <f t="shared" ca="1" si="2"/>
        <v>-3.4272007733281096E-2</v>
      </c>
      <c r="Y18" s="147">
        <f t="shared" ca="1" si="2"/>
        <v>-4.4378076824705626E-2</v>
      </c>
    </row>
    <row r="19" spans="1:25" x14ac:dyDescent="0.2">
      <c r="A19" s="7" t="s">
        <v>605</v>
      </c>
      <c r="B19" s="7"/>
      <c r="C19" s="300">
        <f t="shared" si="0"/>
        <v>44986</v>
      </c>
      <c r="D19" s="302"/>
      <c r="E19" s="314">
        <f t="shared" si="1"/>
        <v>0.10010809101590157</v>
      </c>
      <c r="F19" s="314">
        <f t="shared" si="1"/>
        <v>-5.1758516305738356E-2</v>
      </c>
      <c r="G19" s="314">
        <f t="shared" si="1"/>
        <v>-3.8298701164099502E-2</v>
      </c>
      <c r="W19" s="147">
        <f t="shared" si="2"/>
        <v>0.10010809101590157</v>
      </c>
      <c r="X19" s="147">
        <f t="shared" si="2"/>
        <v>-5.1758516305738356E-2</v>
      </c>
      <c r="Y19" s="147">
        <f t="shared" si="2"/>
        <v>-3.8298701164099502E-2</v>
      </c>
    </row>
    <row r="20" spans="1:25" x14ac:dyDescent="0.2">
      <c r="A20" s="7" t="s">
        <v>605</v>
      </c>
      <c r="B20" s="7"/>
      <c r="C20" s="300">
        <f t="shared" si="0"/>
        <v>44958</v>
      </c>
      <c r="D20" s="302"/>
      <c r="E20" s="314">
        <f t="shared" ref="E20:F25" si="3">F133</f>
        <v>-2.5918086730485346E-2</v>
      </c>
      <c r="F20" s="314">
        <f t="shared" si="3"/>
        <v>-8.8387255455566027E-2</v>
      </c>
      <c r="G20" s="314"/>
      <c r="W20" s="147">
        <f t="shared" ref="W20:X25" si="4">W133</f>
        <v>-2.5918086730485346E-2</v>
      </c>
      <c r="X20" s="147">
        <f t="shared" si="4"/>
        <v>-8.8387255455566027E-2</v>
      </c>
      <c r="Y20" s="147"/>
    </row>
    <row r="21" spans="1:25" x14ac:dyDescent="0.2">
      <c r="A21" s="7" t="s">
        <v>605</v>
      </c>
      <c r="B21" s="7"/>
      <c r="C21" s="300">
        <f t="shared" si="0"/>
        <v>44927</v>
      </c>
      <c r="D21" s="302"/>
      <c r="E21" s="314">
        <f t="shared" si="3"/>
        <v>-0.11847523162027418</v>
      </c>
      <c r="F21" s="314">
        <f t="shared" si="3"/>
        <v>-0.11068934539176767</v>
      </c>
      <c r="G21" s="314"/>
      <c r="W21" s="147">
        <f t="shared" si="4"/>
        <v>-0.11847523162027418</v>
      </c>
      <c r="X21" s="147">
        <f t="shared" si="4"/>
        <v>-0.11068934539176767</v>
      </c>
      <c r="Y21" s="147"/>
    </row>
    <row r="22" spans="1:25" x14ac:dyDescent="0.2">
      <c r="A22" s="7" t="s">
        <v>605</v>
      </c>
      <c r="B22" s="7"/>
      <c r="C22" s="300">
        <f t="shared" si="0"/>
        <v>44896</v>
      </c>
      <c r="D22" s="302"/>
      <c r="E22" s="314">
        <f t="shared" si="3"/>
        <v>-0.16053185151553429</v>
      </c>
      <c r="F22" s="314">
        <f t="shared" si="3"/>
        <v>-0.12216691393077372</v>
      </c>
      <c r="G22" s="314"/>
      <c r="W22" s="147">
        <f t="shared" si="4"/>
        <v>-0.16053185151553429</v>
      </c>
      <c r="X22" s="147">
        <f t="shared" si="4"/>
        <v>-0.12216691393077372</v>
      </c>
      <c r="Y22" s="147"/>
    </row>
    <row r="23" spans="1:25" x14ac:dyDescent="0.2">
      <c r="A23" s="7" t="s">
        <v>605</v>
      </c>
      <c r="B23" s="7"/>
      <c r="C23" s="300">
        <f t="shared" si="0"/>
        <v>44866</v>
      </c>
      <c r="D23" s="302"/>
      <c r="E23" s="314">
        <f t="shared" si="3"/>
        <v>-0.1383893561055658</v>
      </c>
      <c r="F23" s="314">
        <f t="shared" si="3"/>
        <v>-9.0952599397425393E-2</v>
      </c>
      <c r="G23" s="314"/>
      <c r="W23" s="147">
        <f t="shared" si="4"/>
        <v>-0.1383893561055658</v>
      </c>
      <c r="X23" s="147">
        <f t="shared" si="4"/>
        <v>-9.0952599397425393E-2</v>
      </c>
      <c r="Y23" s="147"/>
    </row>
    <row r="24" spans="1:25" x14ac:dyDescent="0.2">
      <c r="A24" s="7" t="s">
        <v>605</v>
      </c>
      <c r="B24" s="7"/>
      <c r="C24" s="300">
        <f t="shared" si="0"/>
        <v>44835</v>
      </c>
      <c r="D24" s="302"/>
      <c r="E24" s="314">
        <f t="shared" si="3"/>
        <v>-0.10359989284557736</v>
      </c>
      <c r="F24" s="314">
        <f t="shared" si="3"/>
        <v>-5.367025561163985E-2</v>
      </c>
      <c r="G24" s="314"/>
      <c r="W24" s="147">
        <f t="shared" si="4"/>
        <v>-0.10359989284557736</v>
      </c>
      <c r="X24" s="147">
        <f t="shared" si="4"/>
        <v>-5.367025561163985E-2</v>
      </c>
      <c r="Y24" s="147"/>
    </row>
    <row r="25" spans="1:25" x14ac:dyDescent="0.2">
      <c r="A25" s="7" t="s">
        <v>605</v>
      </c>
      <c r="B25" s="7"/>
      <c r="C25" s="300">
        <f t="shared" si="0"/>
        <v>44805</v>
      </c>
      <c r="D25" s="302"/>
      <c r="E25" s="314">
        <f t="shared" si="3"/>
        <v>-8.1109676981162004E-2</v>
      </c>
      <c r="F25" s="314">
        <f t="shared" si="3"/>
        <v>-2.477386655819136E-2</v>
      </c>
      <c r="G25" s="314"/>
      <c r="W25" s="147">
        <f t="shared" si="4"/>
        <v>-8.1109676981162004E-2</v>
      </c>
      <c r="X25" s="147">
        <f t="shared" si="4"/>
        <v>-2.477386655819136E-2</v>
      </c>
      <c r="Y25" s="147"/>
    </row>
    <row r="26" spans="1:25" x14ac:dyDescent="0.2">
      <c r="A26" s="7" t="s">
        <v>605</v>
      </c>
      <c r="B26" s="7"/>
      <c r="C26" s="300">
        <f t="shared" si="0"/>
        <v>44774</v>
      </c>
      <c r="D26" s="302"/>
      <c r="E26" s="314">
        <f>F139</f>
        <v>-3.8228917618885694E-2</v>
      </c>
      <c r="F26" s="314"/>
      <c r="G26" s="314"/>
      <c r="W26" s="147">
        <f>W139</f>
        <v>-3.8228917618885694E-2</v>
      </c>
      <c r="X26" s="147"/>
      <c r="Y26" s="147"/>
    </row>
    <row r="27" spans="1:25" x14ac:dyDescent="0.2">
      <c r="A27" s="7" t="s">
        <v>605</v>
      </c>
      <c r="B27" s="7"/>
      <c r="C27" s="300">
        <f t="shared" si="0"/>
        <v>44743</v>
      </c>
      <c r="D27" s="302"/>
      <c r="E27" s="314">
        <f>F140</f>
        <v>7.4442625310535693E-3</v>
      </c>
      <c r="F27" s="314"/>
      <c r="G27" s="314"/>
      <c r="W27" s="147">
        <f>W140</f>
        <v>7.4442625310535693E-3</v>
      </c>
      <c r="X27" s="147"/>
      <c r="Y27" s="147"/>
    </row>
    <row r="28" spans="1:25" x14ac:dyDescent="0.2">
      <c r="A28" s="7" t="s">
        <v>605</v>
      </c>
      <c r="B28" s="7"/>
      <c r="C28" s="300">
        <f t="shared" si="0"/>
        <v>44713</v>
      </c>
      <c r="D28" s="302"/>
      <c r="E28" s="314">
        <f>F141</f>
        <v>4.3276712875373269E-2</v>
      </c>
      <c r="F28" s="314"/>
      <c r="G28" s="314"/>
      <c r="W28" s="147">
        <f>W141</f>
        <v>4.3276712875373269E-2</v>
      </c>
      <c r="X28" s="147"/>
      <c r="Y28" s="147"/>
    </row>
    <row r="29" spans="1:25" x14ac:dyDescent="0.2">
      <c r="A29" s="7"/>
      <c r="B29" s="7"/>
      <c r="C29" s="300"/>
      <c r="D29" s="302"/>
      <c r="E29" s="147"/>
      <c r="F29" s="147"/>
      <c r="G29" s="147"/>
      <c r="W29" s="147"/>
      <c r="X29" s="147"/>
      <c r="Y29" s="147"/>
    </row>
    <row r="30" spans="1:25" ht="11.25" customHeight="1" x14ac:dyDescent="0.2">
      <c r="A30" s="7" t="s">
        <v>176</v>
      </c>
      <c r="B30" s="7"/>
      <c r="C30" s="300"/>
      <c r="D30" s="7"/>
      <c r="E30" s="147">
        <f ca="1">AVERAGE(E7:E28)</f>
        <v>-7.1988574007393188E-3</v>
      </c>
      <c r="F30" s="147">
        <f ca="1">AVERAGE(F7:F28)</f>
        <v>-1.4571234481074622E-2</v>
      </c>
      <c r="G30" s="147">
        <f ca="1">AVERAGE(G7:G28)</f>
        <v>-1.1264288987076782E-2</v>
      </c>
      <c r="R30" s="1"/>
      <c r="W30" s="147">
        <f ca="1">AVERAGE(W7:W28)</f>
        <v>-7.1988574007393188E-3</v>
      </c>
      <c r="X30" s="147">
        <f ca="1">AVERAGE(X7:X28)</f>
        <v>-1.4571234481074622E-2</v>
      </c>
      <c r="Y30" s="147">
        <f ca="1">AVERAGE(Y7:Y28)</f>
        <v>-1.1264288987076782E-2</v>
      </c>
    </row>
    <row r="31" spans="1:25" ht="11.25" customHeight="1" x14ac:dyDescent="0.2">
      <c r="A31" s="7" t="s">
        <v>624</v>
      </c>
      <c r="B31" s="7"/>
      <c r="C31" s="300"/>
      <c r="D31" s="7"/>
      <c r="E31" s="147">
        <f ca="1">AVERAGE(E7:E18)</f>
        <v>2.9754090348240936E-2</v>
      </c>
      <c r="F31" s="147">
        <f ca="1">AVERAGE(F7:F18)</f>
        <v>2.2128774792557048E-2</v>
      </c>
      <c r="G31" s="147">
        <f ca="1">AVERAGE(G7:G18)</f>
        <v>-9.0114213056582213E-3</v>
      </c>
      <c r="R31" s="1"/>
      <c r="W31" s="147">
        <f ca="1">AVERAGE(W7:W18)</f>
        <v>2.9754090348240936E-2</v>
      </c>
      <c r="X31" s="147">
        <f ca="1">AVERAGE(X7:X18)</f>
        <v>2.2128774792557048E-2</v>
      </c>
      <c r="Y31" s="147">
        <f ca="1">AVERAGE(Y7:Y18)</f>
        <v>-9.0114213056582213E-3</v>
      </c>
    </row>
    <row r="32" spans="1:25" x14ac:dyDescent="0.2">
      <c r="D32" s="301"/>
      <c r="F32" s="67"/>
      <c r="G32" s="67"/>
      <c r="H32" s="67"/>
      <c r="R32" s="1"/>
      <c r="Y32" s="67"/>
    </row>
    <row r="33" spans="1:25" x14ac:dyDescent="0.2">
      <c r="A33" s="130" t="s">
        <v>625</v>
      </c>
      <c r="W33" s="2" t="s">
        <v>155</v>
      </c>
      <c r="X33" s="2" t="s">
        <v>552</v>
      </c>
      <c r="Y33" s="74" t="s">
        <v>201</v>
      </c>
    </row>
    <row r="34" spans="1:25" x14ac:dyDescent="0.2">
      <c r="A34" s="130" t="s">
        <v>1042</v>
      </c>
      <c r="F34" s="2" t="s">
        <v>552</v>
      </c>
      <c r="G34" s="74" t="s">
        <v>201</v>
      </c>
      <c r="W34" s="2"/>
      <c r="X34" s="2"/>
      <c r="Y34" s="74"/>
    </row>
    <row r="35" spans="1:25" x14ac:dyDescent="0.2">
      <c r="E35" s="8" t="s">
        <v>260</v>
      </c>
      <c r="F35" s="29" t="s">
        <v>611</v>
      </c>
      <c r="G35" s="29" t="s">
        <v>612</v>
      </c>
      <c r="W35" s="29" t="s">
        <v>157</v>
      </c>
      <c r="X35" s="29" t="s">
        <v>611</v>
      </c>
      <c r="Y35" s="29" t="s">
        <v>612</v>
      </c>
    </row>
    <row r="36" spans="1:25" x14ac:dyDescent="0.2">
      <c r="A36" s="277" t="str">
        <f ca="1">Charts!AC45</f>
        <v>36 Month Least Square Annual Trend</v>
      </c>
      <c r="B36" s="277"/>
      <c r="C36" s="277"/>
      <c r="D36" s="277"/>
      <c r="E36" s="278">
        <f ca="1">Charts!AJ45</f>
        <v>-2.0919267130664165E-2</v>
      </c>
      <c r="F36" s="278">
        <f ca="1">LeastSq!$DS$52</f>
        <v>0.2406795643087192</v>
      </c>
      <c r="G36" s="297">
        <f ca="1">LeastSq!$DS$54</f>
        <v>4.1965828179218061</v>
      </c>
      <c r="V36" s="7"/>
      <c r="W36" s="278">
        <f ca="1">Charts!AK46</f>
        <v>3.333535781468E-2</v>
      </c>
      <c r="X36" s="278">
        <f ca="1">LeastSq!$DS$114</f>
        <v>0.2406795643087192</v>
      </c>
      <c r="Y36" s="297">
        <f ca="1">LeastSq!$DS$116</f>
        <v>4.1965828179218061</v>
      </c>
    </row>
    <row r="37" spans="1:25" x14ac:dyDescent="0.2">
      <c r="A37" s="285" t="str">
        <f ca="1">Charts!AC46</f>
        <v>24 Month Least Square Annual Trend</v>
      </c>
      <c r="B37" s="285"/>
      <c r="C37" s="285"/>
      <c r="D37" s="285"/>
      <c r="E37" s="278">
        <f ca="1">Charts!AJ46</f>
        <v>3.333535781468E-2</v>
      </c>
      <c r="F37" s="278">
        <f ca="1">LeastSq!$DZ$52</f>
        <v>0.130605355841733</v>
      </c>
      <c r="G37" s="297">
        <f ca="1">LeastSq!$DZ$54</f>
        <v>2.7689191610037183</v>
      </c>
      <c r="V37" s="10"/>
      <c r="W37" s="279">
        <f ca="1">Charts!AK47</f>
        <v>2.6130065129465363E-2</v>
      </c>
      <c r="X37" s="278">
        <f ca="1">LeastSq!$DZ$114</f>
        <v>0.130605355841733</v>
      </c>
      <c r="Y37" s="297">
        <f ca="1">LeastSq!$DZ$116</f>
        <v>2.7689191610037183</v>
      </c>
    </row>
    <row r="38" spans="1:25" x14ac:dyDescent="0.2">
      <c r="A38" s="285" t="str">
        <f ca="1">Charts!AC47</f>
        <v>18 Month Least Square Annual Trend</v>
      </c>
      <c r="B38" s="285"/>
      <c r="C38" s="285"/>
      <c r="D38" s="285"/>
      <c r="E38" s="278">
        <f ca="1">Charts!AJ47</f>
        <v>2.6130065129465363E-2</v>
      </c>
      <c r="F38" s="278">
        <f ca="1">LeastSq!$EE$52</f>
        <v>0.1856670522786546</v>
      </c>
      <c r="G38" s="297">
        <f ca="1">LeastSq!$EE$54</f>
        <v>2.8834606902926181</v>
      </c>
      <c r="V38" s="10"/>
      <c r="W38" s="279">
        <f ca="1">Charts!AK48</f>
        <v>5.7676941854371666E-2</v>
      </c>
      <c r="X38" s="278">
        <f ca="1">LeastSq!$EE$114</f>
        <v>0.1856670522786546</v>
      </c>
      <c r="Y38" s="297">
        <f ca="1">LeastSq!$EE$116</f>
        <v>2.8834606902926181</v>
      </c>
    </row>
    <row r="39" spans="1:25" x14ac:dyDescent="0.2">
      <c r="A39" s="285" t="str">
        <f ca="1">Charts!AC48</f>
        <v>12 Month Least Square Annual Trend</v>
      </c>
      <c r="B39" s="285"/>
      <c r="C39" s="285"/>
      <c r="D39" s="285"/>
      <c r="E39" s="278">
        <f ca="1">Charts!AJ48</f>
        <v>5.7676941854371666E-2</v>
      </c>
      <c r="F39" s="278">
        <f ca="1">LeastSq!$EJ$52</f>
        <v>8.6952921636726258E-2</v>
      </c>
      <c r="G39" s="297">
        <f ca="1">LeastSq!$EJ$54</f>
        <v>2.6780223199335724</v>
      </c>
      <c r="Y39" s="67"/>
    </row>
    <row r="40" spans="1:25" x14ac:dyDescent="0.2">
      <c r="G40" s="1"/>
      <c r="Y40" s="67"/>
    </row>
    <row r="41" spans="1:25" x14ac:dyDescent="0.2">
      <c r="A41" s="1" t="s">
        <v>596</v>
      </c>
      <c r="G41" s="1"/>
      <c r="M41" s="67"/>
      <c r="Y41" s="67"/>
    </row>
    <row r="42" spans="1:25" x14ac:dyDescent="0.2">
      <c r="A42" s="1" t="s">
        <v>597</v>
      </c>
      <c r="G42" s="1"/>
      <c r="M42" s="67"/>
      <c r="Y42" s="67"/>
    </row>
    <row r="43" spans="1:25" x14ac:dyDescent="0.2">
      <c r="A43" s="1" t="s">
        <v>613</v>
      </c>
      <c r="G43" s="1"/>
      <c r="M43" s="67"/>
      <c r="Y43" s="67"/>
    </row>
    <row r="44" spans="1:25" x14ac:dyDescent="0.2">
      <c r="A44" s="1" t="s">
        <v>598</v>
      </c>
      <c r="G44" s="1"/>
      <c r="M44" s="67"/>
      <c r="Y44" s="67"/>
    </row>
    <row r="45" spans="1:25" x14ac:dyDescent="0.2">
      <c r="A45" s="1" t="s">
        <v>599</v>
      </c>
      <c r="G45" s="1"/>
      <c r="M45" s="67"/>
      <c r="Y45" s="67"/>
    </row>
    <row r="46" spans="1:25" x14ac:dyDescent="0.2">
      <c r="A46" s="284"/>
      <c r="G46" s="1"/>
      <c r="M46" s="67"/>
      <c r="Y46" s="67"/>
    </row>
    <row r="47" spans="1:25" x14ac:dyDescent="0.2">
      <c r="A47" s="284"/>
      <c r="G47" s="1"/>
      <c r="M47" s="67"/>
      <c r="Y47" s="67"/>
    </row>
    <row r="48" spans="1:25" x14ac:dyDescent="0.2">
      <c r="A48" s="284"/>
      <c r="G48" s="1"/>
      <c r="M48" s="67"/>
      <c r="Y48" s="67"/>
    </row>
    <row r="49" spans="1:25" x14ac:dyDescent="0.2">
      <c r="A49" s="284"/>
      <c r="G49" s="1"/>
      <c r="M49" s="67"/>
      <c r="Y49" s="67"/>
    </row>
    <row r="50" spans="1:25" x14ac:dyDescent="0.2">
      <c r="A50" s="284"/>
      <c r="G50" s="1"/>
      <c r="M50" s="67"/>
      <c r="Y50" s="67"/>
    </row>
    <row r="51" spans="1:25" x14ac:dyDescent="0.2">
      <c r="A51" s="284"/>
      <c r="G51" s="1"/>
      <c r="M51" s="67"/>
      <c r="Y51" s="67"/>
    </row>
    <row r="52" spans="1:25" x14ac:dyDescent="0.2">
      <c r="A52" s="284"/>
      <c r="G52" s="1"/>
      <c r="M52" s="67"/>
      <c r="Y52" s="67"/>
    </row>
    <row r="53" spans="1:25" x14ac:dyDescent="0.2">
      <c r="A53" s="284"/>
      <c r="G53" s="1"/>
      <c r="M53" s="67"/>
      <c r="Y53" s="67"/>
    </row>
    <row r="54" spans="1:25" x14ac:dyDescent="0.2">
      <c r="A54" s="284"/>
      <c r="G54" s="1"/>
      <c r="M54" s="67"/>
      <c r="Y54" s="67"/>
    </row>
    <row r="55" spans="1:25" x14ac:dyDescent="0.2">
      <c r="A55" s="284"/>
      <c r="G55" s="1"/>
      <c r="M55" s="67"/>
      <c r="Y55" s="67"/>
    </row>
    <row r="56" spans="1:25" x14ac:dyDescent="0.2">
      <c r="A56" s="284"/>
      <c r="G56" s="1"/>
      <c r="M56" s="67"/>
      <c r="Y56" s="67"/>
    </row>
    <row r="57" spans="1:25" x14ac:dyDescent="0.2">
      <c r="A57" s="284"/>
      <c r="G57" s="1"/>
      <c r="M57" s="67"/>
      <c r="Y57" s="67"/>
    </row>
    <row r="58" spans="1:25" x14ac:dyDescent="0.2">
      <c r="A58" t="s">
        <v>577</v>
      </c>
      <c r="E58" s="9"/>
      <c r="F58" s="10" t="s">
        <v>260</v>
      </c>
      <c r="G58" s="10"/>
      <c r="H58" s="11"/>
      <c r="L58" s="9"/>
      <c r="M58" s="10" t="s">
        <v>153</v>
      </c>
      <c r="N58" s="10"/>
      <c r="O58" s="11"/>
      <c r="Y58" s="67"/>
    </row>
    <row r="59" spans="1:25" x14ac:dyDescent="0.2">
      <c r="E59" t="s">
        <v>604</v>
      </c>
      <c r="L59" t="s">
        <v>604</v>
      </c>
      <c r="Y59" s="67"/>
    </row>
    <row r="60" spans="1:25" x14ac:dyDescent="0.2">
      <c r="B60" t="s">
        <v>606</v>
      </c>
      <c r="E60" t="s">
        <v>159</v>
      </c>
      <c r="F60" t="s">
        <v>602</v>
      </c>
      <c r="G60" t="s">
        <v>603</v>
      </c>
      <c r="H60" t="s">
        <v>608</v>
      </c>
      <c r="L60" t="s">
        <v>159</v>
      </c>
      <c r="M60" t="s">
        <v>602</v>
      </c>
      <c r="N60" t="s">
        <v>603</v>
      </c>
      <c r="O60" t="s">
        <v>608</v>
      </c>
      <c r="Y60" s="67"/>
    </row>
    <row r="61" spans="1:25" x14ac:dyDescent="0.2">
      <c r="D61" s="301"/>
      <c r="E61" s="67"/>
      <c r="F61" s="67"/>
      <c r="G61" s="67"/>
      <c r="H61" s="67"/>
      <c r="J61" s="67"/>
      <c r="K61" s="301"/>
      <c r="L61" s="67"/>
      <c r="M61" s="67"/>
      <c r="N61" s="67"/>
      <c r="O61" s="67"/>
      <c r="Y61" s="67"/>
    </row>
    <row r="62" spans="1:25" x14ac:dyDescent="0.2">
      <c r="B62" s="7" t="s">
        <v>605</v>
      </c>
      <c r="C62" s="7"/>
      <c r="D62" s="300">
        <f t="shared" ref="D62:D83" si="5">+A253</f>
        <v>44713</v>
      </c>
      <c r="E62" s="147">
        <f t="shared" ref="E62:E83" si="6">+L253</f>
        <v>4.3276712875373269E-2</v>
      </c>
      <c r="F62" s="147"/>
      <c r="G62" s="147"/>
      <c r="H62" s="147">
        <f ca="1">+E36</f>
        <v>-2.0919267130664165E-2</v>
      </c>
      <c r="I62" s="147"/>
      <c r="J62" s="147"/>
      <c r="K62" s="300">
        <f t="shared" ref="K62:K83" si="7">+D62</f>
        <v>44713</v>
      </c>
      <c r="L62" s="147">
        <f t="shared" ref="L62:L83" si="8">+M253</f>
        <v>4.3276712875373269E-2</v>
      </c>
      <c r="M62" s="147"/>
      <c r="N62" s="147"/>
      <c r="O62" s="147">
        <f ca="1">+W36</f>
        <v>3.333535781468E-2</v>
      </c>
      <c r="Y62" s="67"/>
    </row>
    <row r="63" spans="1:25" x14ac:dyDescent="0.2">
      <c r="B63" s="7" t="s">
        <v>605</v>
      </c>
      <c r="C63" s="7"/>
      <c r="D63" s="300">
        <f t="shared" si="5"/>
        <v>44743</v>
      </c>
      <c r="E63" s="147">
        <f t="shared" si="6"/>
        <v>7.4442625310535693E-3</v>
      </c>
      <c r="F63" s="147"/>
      <c r="G63" s="147"/>
      <c r="H63" s="147">
        <f t="shared" ref="H63:H72" ca="1" si="9">+H62</f>
        <v>-2.0919267130664165E-2</v>
      </c>
      <c r="I63" s="147"/>
      <c r="J63" s="147"/>
      <c r="K63" s="300">
        <f t="shared" si="7"/>
        <v>44743</v>
      </c>
      <c r="L63" s="147">
        <f t="shared" si="8"/>
        <v>7.4442625310535693E-3</v>
      </c>
      <c r="M63" s="147"/>
      <c r="N63" s="147"/>
      <c r="O63" s="147">
        <f t="shared" ref="O63:O83" ca="1" si="10">+O62</f>
        <v>3.333535781468E-2</v>
      </c>
      <c r="Y63" s="67"/>
    </row>
    <row r="64" spans="1:25" x14ac:dyDescent="0.2">
      <c r="B64" s="7" t="s">
        <v>605</v>
      </c>
      <c r="C64" s="7"/>
      <c r="D64" s="300">
        <f t="shared" si="5"/>
        <v>44774</v>
      </c>
      <c r="E64" s="147">
        <f t="shared" si="6"/>
        <v>-3.8228917618885694E-2</v>
      </c>
      <c r="F64" s="147"/>
      <c r="G64" s="147"/>
      <c r="H64" s="147">
        <f t="shared" ca="1" si="9"/>
        <v>-2.0919267130664165E-2</v>
      </c>
      <c r="I64" s="147"/>
      <c r="J64" s="147"/>
      <c r="K64" s="300">
        <f t="shared" si="7"/>
        <v>44774</v>
      </c>
      <c r="L64" s="147">
        <f t="shared" si="8"/>
        <v>-3.8228917618885694E-2</v>
      </c>
      <c r="M64" s="147"/>
      <c r="N64" s="147"/>
      <c r="O64" s="147">
        <f t="shared" ca="1" si="10"/>
        <v>3.333535781468E-2</v>
      </c>
      <c r="Y64" s="67"/>
    </row>
    <row r="65" spans="2:25" x14ac:dyDescent="0.2">
      <c r="B65" s="7" t="s">
        <v>605</v>
      </c>
      <c r="C65" s="7"/>
      <c r="D65" s="300">
        <f t="shared" si="5"/>
        <v>44805</v>
      </c>
      <c r="E65" s="147">
        <f t="shared" si="6"/>
        <v>-8.1109676981162004E-2</v>
      </c>
      <c r="F65" s="147">
        <f t="shared" ref="F65:F83" si="11">+R256</f>
        <v>-2.477386655819136E-2</v>
      </c>
      <c r="G65" s="147"/>
      <c r="H65" s="147">
        <f t="shared" ca="1" si="9"/>
        <v>-2.0919267130664165E-2</v>
      </c>
      <c r="I65" s="147"/>
      <c r="J65" s="147"/>
      <c r="K65" s="300">
        <f t="shared" si="7"/>
        <v>44805</v>
      </c>
      <c r="L65" s="147">
        <f t="shared" si="8"/>
        <v>-8.1109676981162004E-2</v>
      </c>
      <c r="M65" s="147">
        <f t="shared" ref="M65:M83" si="12">+S256</f>
        <v>-2.477386655819136E-2</v>
      </c>
      <c r="N65" s="147"/>
      <c r="O65" s="147">
        <f t="shared" ca="1" si="10"/>
        <v>3.333535781468E-2</v>
      </c>
      <c r="Y65" s="67"/>
    </row>
    <row r="66" spans="2:25" x14ac:dyDescent="0.2">
      <c r="B66" s="7" t="s">
        <v>605</v>
      </c>
      <c r="C66" s="7"/>
      <c r="D66" s="300">
        <f t="shared" si="5"/>
        <v>44835</v>
      </c>
      <c r="E66" s="147">
        <f t="shared" si="6"/>
        <v>-0.10359989284557736</v>
      </c>
      <c r="F66" s="147">
        <f t="shared" si="11"/>
        <v>-5.367025561163985E-2</v>
      </c>
      <c r="G66" s="147"/>
      <c r="H66" s="147">
        <f t="shared" ca="1" si="9"/>
        <v>-2.0919267130664165E-2</v>
      </c>
      <c r="I66" s="147"/>
      <c r="J66" s="147"/>
      <c r="K66" s="300">
        <f t="shared" si="7"/>
        <v>44835</v>
      </c>
      <c r="L66" s="147">
        <f t="shared" si="8"/>
        <v>-0.10359989284557736</v>
      </c>
      <c r="M66" s="147">
        <f t="shared" si="12"/>
        <v>-5.367025561163985E-2</v>
      </c>
      <c r="N66" s="147"/>
      <c r="O66" s="147">
        <f t="shared" ca="1" si="10"/>
        <v>3.333535781468E-2</v>
      </c>
      <c r="Y66" s="67"/>
    </row>
    <row r="67" spans="2:25" x14ac:dyDescent="0.2">
      <c r="B67" s="7" t="s">
        <v>605</v>
      </c>
      <c r="C67" s="7"/>
      <c r="D67" s="300">
        <f t="shared" si="5"/>
        <v>44866</v>
      </c>
      <c r="E67" s="147">
        <f t="shared" si="6"/>
        <v>-0.1383893561055658</v>
      </c>
      <c r="F67" s="147">
        <f t="shared" si="11"/>
        <v>-9.0952599397425393E-2</v>
      </c>
      <c r="G67" s="147"/>
      <c r="H67" s="147">
        <f t="shared" ca="1" si="9"/>
        <v>-2.0919267130664165E-2</v>
      </c>
      <c r="I67" s="147"/>
      <c r="J67" s="147"/>
      <c r="K67" s="300">
        <f t="shared" si="7"/>
        <v>44866</v>
      </c>
      <c r="L67" s="147">
        <f t="shared" si="8"/>
        <v>-0.1383893561055658</v>
      </c>
      <c r="M67" s="147">
        <f t="shared" si="12"/>
        <v>-9.0952599397425393E-2</v>
      </c>
      <c r="N67" s="147"/>
      <c r="O67" s="147">
        <f t="shared" ca="1" si="10"/>
        <v>3.333535781468E-2</v>
      </c>
      <c r="Y67" s="67"/>
    </row>
    <row r="68" spans="2:25" x14ac:dyDescent="0.2">
      <c r="B68" s="7" t="s">
        <v>605</v>
      </c>
      <c r="C68" s="7"/>
      <c r="D68" s="300">
        <f t="shared" si="5"/>
        <v>44896</v>
      </c>
      <c r="E68" s="147">
        <f t="shared" si="6"/>
        <v>-0.16053185151553429</v>
      </c>
      <c r="F68" s="147">
        <f t="shared" si="11"/>
        <v>-0.12216691393077372</v>
      </c>
      <c r="G68" s="147"/>
      <c r="H68" s="147">
        <f t="shared" ca="1" si="9"/>
        <v>-2.0919267130664165E-2</v>
      </c>
      <c r="I68" s="147"/>
      <c r="J68" s="147"/>
      <c r="K68" s="300">
        <f t="shared" si="7"/>
        <v>44896</v>
      </c>
      <c r="L68" s="147">
        <f t="shared" si="8"/>
        <v>-0.16053185151553429</v>
      </c>
      <c r="M68" s="147">
        <f t="shared" si="12"/>
        <v>-0.12216691393077372</v>
      </c>
      <c r="N68" s="147"/>
      <c r="O68" s="147">
        <f t="shared" ca="1" si="10"/>
        <v>3.333535781468E-2</v>
      </c>
      <c r="Y68" s="67"/>
    </row>
    <row r="69" spans="2:25" x14ac:dyDescent="0.2">
      <c r="B69" s="7" t="s">
        <v>605</v>
      </c>
      <c r="C69" s="7"/>
      <c r="D69" s="300">
        <f t="shared" si="5"/>
        <v>44927</v>
      </c>
      <c r="E69" s="147">
        <f t="shared" si="6"/>
        <v>-0.11847523162027418</v>
      </c>
      <c r="F69" s="147">
        <f t="shared" si="11"/>
        <v>-0.11068934539176767</v>
      </c>
      <c r="G69" s="147"/>
      <c r="H69" s="147">
        <f t="shared" ca="1" si="9"/>
        <v>-2.0919267130664165E-2</v>
      </c>
      <c r="I69" s="147"/>
      <c r="J69" s="147"/>
      <c r="K69" s="300">
        <f t="shared" si="7"/>
        <v>44927</v>
      </c>
      <c r="L69" s="147">
        <f t="shared" si="8"/>
        <v>-0.11847523162027418</v>
      </c>
      <c r="M69" s="147">
        <f t="shared" si="12"/>
        <v>-0.11068934539176767</v>
      </c>
      <c r="N69" s="147"/>
      <c r="O69" s="147">
        <f t="shared" ca="1" si="10"/>
        <v>3.333535781468E-2</v>
      </c>
      <c r="Y69" s="67"/>
    </row>
    <row r="70" spans="2:25" x14ac:dyDescent="0.2">
      <c r="B70" s="7" t="s">
        <v>605</v>
      </c>
      <c r="C70" s="7"/>
      <c r="D70" s="300">
        <f t="shared" si="5"/>
        <v>44958</v>
      </c>
      <c r="E70" s="147">
        <f t="shared" si="6"/>
        <v>-2.5918086730485346E-2</v>
      </c>
      <c r="F70" s="147">
        <f t="shared" si="11"/>
        <v>-8.8387255455566027E-2</v>
      </c>
      <c r="G70" s="147"/>
      <c r="H70" s="147">
        <f t="shared" ca="1" si="9"/>
        <v>-2.0919267130664165E-2</v>
      </c>
      <c r="I70" s="147"/>
      <c r="J70" s="147"/>
      <c r="K70" s="300">
        <f t="shared" si="7"/>
        <v>44958</v>
      </c>
      <c r="L70" s="147">
        <f t="shared" si="8"/>
        <v>-2.5918086730485346E-2</v>
      </c>
      <c r="M70" s="147">
        <f t="shared" si="12"/>
        <v>-8.8387255455566027E-2</v>
      </c>
      <c r="N70" s="147"/>
      <c r="O70" s="147">
        <f t="shared" ca="1" si="10"/>
        <v>3.333535781468E-2</v>
      </c>
      <c r="Y70" s="67"/>
    </row>
    <row r="71" spans="2:25" x14ac:dyDescent="0.2">
      <c r="B71" s="7" t="s">
        <v>605</v>
      </c>
      <c r="C71" s="7"/>
      <c r="D71" s="300">
        <f t="shared" si="5"/>
        <v>44986</v>
      </c>
      <c r="E71" s="147">
        <f t="shared" si="6"/>
        <v>0.10010809101590157</v>
      </c>
      <c r="F71" s="147">
        <f t="shared" si="11"/>
        <v>-5.1758516305738356E-2</v>
      </c>
      <c r="G71" s="147">
        <f t="shared" ref="G71:G83" si="13">+X262</f>
        <v>-3.8298701164099502E-2</v>
      </c>
      <c r="H71" s="147">
        <f t="shared" ca="1" si="9"/>
        <v>-2.0919267130664165E-2</v>
      </c>
      <c r="I71" s="147"/>
      <c r="J71" s="147"/>
      <c r="K71" s="300">
        <f t="shared" si="7"/>
        <v>44986</v>
      </c>
      <c r="L71" s="147">
        <f t="shared" si="8"/>
        <v>0.10010809101590157</v>
      </c>
      <c r="M71" s="147">
        <f t="shared" si="12"/>
        <v>-5.1758516305738356E-2</v>
      </c>
      <c r="N71" s="147">
        <f t="shared" ref="N71:N83" si="14">+Y262</f>
        <v>-3.8298701164099502E-2</v>
      </c>
      <c r="O71" s="147">
        <f t="shared" ca="1" si="10"/>
        <v>3.333535781468E-2</v>
      </c>
      <c r="Y71" s="67"/>
    </row>
    <row r="72" spans="2:25" x14ac:dyDescent="0.2">
      <c r="B72" s="7" t="s">
        <v>605</v>
      </c>
      <c r="C72" s="7"/>
      <c r="D72" s="300">
        <f t="shared" si="5"/>
        <v>45017</v>
      </c>
      <c r="E72" s="147">
        <f t="shared" ca="1" si="6"/>
        <v>6.6597792416548174E-2</v>
      </c>
      <c r="F72" s="147">
        <f t="shared" ca="1" si="11"/>
        <v>-3.4272007733281096E-2</v>
      </c>
      <c r="G72" s="147">
        <f t="shared" ca="1" si="13"/>
        <v>-4.4378076824705626E-2</v>
      </c>
      <c r="H72" s="147">
        <f t="shared" ca="1" si="9"/>
        <v>-2.0919267130664165E-2</v>
      </c>
      <c r="I72" s="147"/>
      <c r="J72" s="147"/>
      <c r="K72" s="300">
        <f t="shared" si="7"/>
        <v>45017</v>
      </c>
      <c r="L72" s="147">
        <f t="shared" ca="1" si="8"/>
        <v>6.6597792416548174E-2</v>
      </c>
      <c r="M72" s="147">
        <f t="shared" ca="1" si="12"/>
        <v>-3.4272007733281096E-2</v>
      </c>
      <c r="N72" s="147">
        <f t="shared" ca="1" si="14"/>
        <v>-4.4378076824705626E-2</v>
      </c>
      <c r="O72" s="147">
        <f t="shared" ca="1" si="10"/>
        <v>3.333535781468E-2</v>
      </c>
      <c r="Y72" s="67"/>
    </row>
    <row r="73" spans="2:25" x14ac:dyDescent="0.2">
      <c r="B73" s="7" t="s">
        <v>605</v>
      </c>
      <c r="C73" s="7"/>
      <c r="D73" s="300">
        <f t="shared" si="5"/>
        <v>45047</v>
      </c>
      <c r="E73" s="147">
        <f t="shared" ca="1" si="6"/>
        <v>3.2676003472606796E-2</v>
      </c>
      <c r="F73" s="147">
        <f t="shared" ca="1" si="11"/>
        <v>3.7371628781914801E-3</v>
      </c>
      <c r="G73" s="147">
        <f t="shared" ca="1" si="13"/>
        <v>-4.7360609664821807E-2</v>
      </c>
      <c r="H73" s="147">
        <f t="shared" ref="H73:H83" ca="1" si="15">+H72</f>
        <v>-2.0919267130664165E-2</v>
      </c>
      <c r="I73" s="147"/>
      <c r="J73" s="147"/>
      <c r="K73" s="300">
        <f t="shared" si="7"/>
        <v>45047</v>
      </c>
      <c r="L73" s="147">
        <f t="shared" ca="1" si="8"/>
        <v>3.2676003472606796E-2</v>
      </c>
      <c r="M73" s="147">
        <f t="shared" ca="1" si="12"/>
        <v>3.7371628781914801E-3</v>
      </c>
      <c r="N73" s="147">
        <f t="shared" ca="1" si="14"/>
        <v>-4.7360609664821807E-2</v>
      </c>
      <c r="O73" s="147">
        <f t="shared" ca="1" si="10"/>
        <v>3.333535781468E-2</v>
      </c>
      <c r="Y73" s="67"/>
    </row>
    <row r="74" spans="2:25" x14ac:dyDescent="0.2">
      <c r="B74" s="7" t="s">
        <v>605</v>
      </c>
      <c r="C74" s="7"/>
      <c r="D74" s="300">
        <f t="shared" si="5"/>
        <v>45078</v>
      </c>
      <c r="E74" s="147">
        <f t="shared" ca="1" si="6"/>
        <v>9.777316695672722E-3</v>
      </c>
      <c r="F74" s="147">
        <f t="shared" ca="1" si="11"/>
        <v>5.2250456830420511E-2</v>
      </c>
      <c r="G74" s="147">
        <f t="shared" ca="1" si="13"/>
        <v>-4.532778323630593E-2</v>
      </c>
      <c r="H74" s="147">
        <f t="shared" ca="1" si="15"/>
        <v>-2.0919267130664165E-2</v>
      </c>
      <c r="I74" s="147"/>
      <c r="J74" s="147"/>
      <c r="K74" s="300">
        <f t="shared" si="7"/>
        <v>45078</v>
      </c>
      <c r="L74" s="147">
        <f t="shared" ca="1" si="8"/>
        <v>9.777316695672722E-3</v>
      </c>
      <c r="M74" s="147">
        <f t="shared" ca="1" si="12"/>
        <v>5.2250456830420511E-2</v>
      </c>
      <c r="N74" s="147">
        <f t="shared" ca="1" si="14"/>
        <v>-4.532778323630593E-2</v>
      </c>
      <c r="O74" s="147">
        <f t="shared" ca="1" si="10"/>
        <v>3.333535781468E-2</v>
      </c>
      <c r="Y74" s="67"/>
    </row>
    <row r="75" spans="2:25" x14ac:dyDescent="0.2">
      <c r="B75" s="7" t="s">
        <v>605</v>
      </c>
      <c r="C75" s="7"/>
      <c r="D75" s="300">
        <f t="shared" si="5"/>
        <v>45108</v>
      </c>
      <c r="E75" s="147">
        <f t="shared" ca="1" si="6"/>
        <v>2.5266682435893362E-2</v>
      </c>
      <c r="F75" s="147">
        <f t="shared" ca="1" si="11"/>
        <v>4.5110348628492059E-2</v>
      </c>
      <c r="G75" s="147">
        <f t="shared" ca="1" si="13"/>
        <v>-4.0089177916272756E-2</v>
      </c>
      <c r="H75" s="147">
        <f t="shared" ca="1" si="15"/>
        <v>-2.0919267130664165E-2</v>
      </c>
      <c r="I75" s="147"/>
      <c r="J75" s="147"/>
      <c r="K75" s="300">
        <f t="shared" si="7"/>
        <v>45108</v>
      </c>
      <c r="L75" s="147">
        <f t="shared" ca="1" si="8"/>
        <v>2.5266682435893362E-2</v>
      </c>
      <c r="M75" s="147">
        <f t="shared" ca="1" si="12"/>
        <v>4.5110348628492059E-2</v>
      </c>
      <c r="N75" s="147">
        <f t="shared" ca="1" si="14"/>
        <v>-4.0089177916272756E-2</v>
      </c>
      <c r="O75" s="147">
        <f t="shared" ca="1" si="10"/>
        <v>3.333535781468E-2</v>
      </c>
      <c r="Y75" s="67"/>
    </row>
    <row r="76" spans="2:25" x14ac:dyDescent="0.2">
      <c r="B76" s="7" t="s">
        <v>605</v>
      </c>
      <c r="C76" s="7"/>
      <c r="D76" s="300">
        <f t="shared" si="5"/>
        <v>45139</v>
      </c>
      <c r="E76" s="147">
        <f t="shared" ca="1" si="6"/>
        <v>9.0956922841671783E-3</v>
      </c>
      <c r="F76" s="147">
        <f t="shared" ca="1" si="11"/>
        <v>2.0570492487188341E-2</v>
      </c>
      <c r="G76" s="147">
        <f t="shared" ca="1" si="13"/>
        <v>-3.5703342593939258E-2</v>
      </c>
      <c r="H76" s="147">
        <f t="shared" ca="1" si="15"/>
        <v>-2.0919267130664165E-2</v>
      </c>
      <c r="I76" s="147"/>
      <c r="J76" s="147"/>
      <c r="K76" s="300">
        <f t="shared" si="7"/>
        <v>45139</v>
      </c>
      <c r="L76" s="147">
        <f t="shared" ca="1" si="8"/>
        <v>9.0956922841671783E-3</v>
      </c>
      <c r="M76" s="147">
        <f t="shared" ca="1" si="12"/>
        <v>2.0570492487188341E-2</v>
      </c>
      <c r="N76" s="147">
        <f t="shared" ca="1" si="14"/>
        <v>-3.5703342593939258E-2</v>
      </c>
      <c r="O76" s="147">
        <f t="shared" ca="1" si="10"/>
        <v>3.333535781468E-2</v>
      </c>
      <c r="Y76" s="67"/>
    </row>
    <row r="77" spans="2:25" x14ac:dyDescent="0.2">
      <c r="B77" s="7" t="s">
        <v>605</v>
      </c>
      <c r="C77" s="7"/>
      <c r="D77" s="300">
        <f t="shared" si="5"/>
        <v>45170</v>
      </c>
      <c r="E77" s="147">
        <f t="shared" ca="1" si="6"/>
        <v>-1.3118994562174024E-2</v>
      </c>
      <c r="F77" s="147">
        <f t="shared" ca="1" si="11"/>
        <v>-2.0254230760268221E-3</v>
      </c>
      <c r="G77" s="147">
        <f t="shared" ca="1" si="13"/>
        <v>-2.7263757888178586E-2</v>
      </c>
      <c r="H77" s="147">
        <f t="shared" ca="1" si="15"/>
        <v>-2.0919267130664165E-2</v>
      </c>
      <c r="I77" s="147"/>
      <c r="J77" s="147"/>
      <c r="K77" s="300">
        <f t="shared" si="7"/>
        <v>45170</v>
      </c>
      <c r="L77" s="147">
        <f t="shared" ca="1" si="8"/>
        <v>-1.3118994562174024E-2</v>
      </c>
      <c r="M77" s="147">
        <f t="shared" ca="1" si="12"/>
        <v>-2.0254230760268221E-3</v>
      </c>
      <c r="N77" s="147">
        <f t="shared" ca="1" si="14"/>
        <v>-2.7263757888178586E-2</v>
      </c>
      <c r="O77" s="147">
        <f t="shared" ca="1" si="10"/>
        <v>3.333535781468E-2</v>
      </c>
      <c r="Y77" s="67"/>
    </row>
    <row r="78" spans="2:25" x14ac:dyDescent="0.2">
      <c r="B78" s="7" t="s">
        <v>605</v>
      </c>
      <c r="C78" s="7"/>
      <c r="D78" s="300">
        <f t="shared" si="5"/>
        <v>45200</v>
      </c>
      <c r="E78" s="147">
        <f t="shared" ca="1" si="6"/>
        <v>1.5091726050895815E-2</v>
      </c>
      <c r="F78" s="147">
        <f t="shared" ca="1" si="11"/>
        <v>1.9962228869046861E-2</v>
      </c>
      <c r="G78" s="147">
        <f t="shared" ca="1" si="13"/>
        <v>-6.7644450424725333E-3</v>
      </c>
      <c r="H78" s="147">
        <f t="shared" ca="1" si="15"/>
        <v>-2.0919267130664165E-2</v>
      </c>
      <c r="I78" s="147"/>
      <c r="J78" s="147"/>
      <c r="K78" s="300">
        <f t="shared" si="7"/>
        <v>45200</v>
      </c>
      <c r="L78" s="147">
        <f t="shared" ca="1" si="8"/>
        <v>1.5091726050895815E-2</v>
      </c>
      <c r="M78" s="147">
        <f t="shared" ca="1" si="12"/>
        <v>1.9962228869046861E-2</v>
      </c>
      <c r="N78" s="147">
        <f t="shared" ca="1" si="14"/>
        <v>-6.7644450424725333E-3</v>
      </c>
      <c r="O78" s="147">
        <f t="shared" ca="1" si="10"/>
        <v>3.333535781468E-2</v>
      </c>
      <c r="Y78" s="67"/>
    </row>
    <row r="79" spans="2:25" x14ac:dyDescent="0.2">
      <c r="B79" s="7" t="s">
        <v>605</v>
      </c>
      <c r="C79" s="7"/>
      <c r="D79" s="300">
        <f t="shared" si="5"/>
        <v>45231</v>
      </c>
      <c r="E79" s="147">
        <f t="shared" ca="1" si="6"/>
        <v>4.5536470644615301E-2</v>
      </c>
      <c r="F79" s="147">
        <f t="shared" ca="1" si="11"/>
        <v>2.7276856263154903E-2</v>
      </c>
      <c r="G79" s="147">
        <f t="shared" ca="1" si="13"/>
        <v>1.5880632265681038E-2</v>
      </c>
      <c r="H79" s="147">
        <f t="shared" ca="1" si="15"/>
        <v>-2.0919267130664165E-2</v>
      </c>
      <c r="I79" s="147"/>
      <c r="J79" s="147"/>
      <c r="K79" s="300">
        <f t="shared" si="7"/>
        <v>45231</v>
      </c>
      <c r="L79" s="147">
        <f t="shared" ca="1" si="8"/>
        <v>4.5536470644615301E-2</v>
      </c>
      <c r="M79" s="147">
        <f t="shared" ca="1" si="12"/>
        <v>2.7276856263154903E-2</v>
      </c>
      <c r="N79" s="147">
        <f t="shared" ca="1" si="14"/>
        <v>1.5880632265681038E-2</v>
      </c>
      <c r="O79" s="147">
        <f t="shared" ca="1" si="10"/>
        <v>3.333535781468E-2</v>
      </c>
      <c r="Y79" s="67"/>
    </row>
    <row r="80" spans="2:25" x14ac:dyDescent="0.2">
      <c r="B80" s="7" t="s">
        <v>605</v>
      </c>
      <c r="C80" s="7"/>
      <c r="D80" s="300">
        <f t="shared" si="5"/>
        <v>45261</v>
      </c>
      <c r="E80" s="147">
        <f t="shared" ca="1" si="6"/>
        <v>5.3542043146839857E-2</v>
      </c>
      <c r="F80" s="147">
        <f t="shared" ca="1" si="11"/>
        <v>1.9835320719978844E-2</v>
      </c>
      <c r="G80" s="147">
        <f t="shared" ca="1" si="13"/>
        <v>3.5163344972331201E-2</v>
      </c>
      <c r="H80" s="147">
        <f t="shared" ca="1" si="15"/>
        <v>-2.0919267130664165E-2</v>
      </c>
      <c r="I80" s="147"/>
      <c r="J80" s="147"/>
      <c r="K80" s="300">
        <f t="shared" si="7"/>
        <v>45261</v>
      </c>
      <c r="L80" s="147">
        <f t="shared" ca="1" si="8"/>
        <v>5.3542043146839857E-2</v>
      </c>
      <c r="M80" s="147">
        <f t="shared" ca="1" si="12"/>
        <v>1.9835320719978844E-2</v>
      </c>
      <c r="N80" s="147">
        <f t="shared" ca="1" si="14"/>
        <v>3.5163344972331201E-2</v>
      </c>
      <c r="O80" s="147">
        <f t="shared" ca="1" si="10"/>
        <v>3.333535781468E-2</v>
      </c>
      <c r="Y80" s="67"/>
    </row>
    <row r="81" spans="1:25" x14ac:dyDescent="0.2">
      <c r="B81" s="7" t="s">
        <v>605</v>
      </c>
      <c r="C81" s="7"/>
      <c r="D81" s="300">
        <f t="shared" si="5"/>
        <v>45292</v>
      </c>
      <c r="E81" s="147">
        <f t="shared" ca="1" si="6"/>
        <v>4.5654885156313441E-2</v>
      </c>
      <c r="F81" s="147">
        <f t="shared" ca="1" si="11"/>
        <v>2.9530326568855347E-2</v>
      </c>
      <c r="G81" s="147">
        <f t="shared" ca="1" si="13"/>
        <v>3.7045251586962369E-2</v>
      </c>
      <c r="H81" s="147">
        <f t="shared" ca="1" si="15"/>
        <v>-2.0919267130664165E-2</v>
      </c>
      <c r="I81" s="147"/>
      <c r="J81" s="147"/>
      <c r="K81" s="300">
        <f t="shared" si="7"/>
        <v>45292</v>
      </c>
      <c r="L81" s="147">
        <f t="shared" ca="1" si="8"/>
        <v>4.5654885156313441E-2</v>
      </c>
      <c r="M81" s="147">
        <f t="shared" ca="1" si="12"/>
        <v>2.9530326568855347E-2</v>
      </c>
      <c r="N81" s="147">
        <f t="shared" ca="1" si="14"/>
        <v>3.7045251586962369E-2</v>
      </c>
      <c r="O81" s="147">
        <f t="shared" ca="1" si="10"/>
        <v>3.333535781468E-2</v>
      </c>
      <c r="Y81" s="67"/>
    </row>
    <row r="82" spans="1:25" x14ac:dyDescent="0.2">
      <c r="B82" s="7" t="s">
        <v>605</v>
      </c>
      <c r="C82" s="7"/>
      <c r="D82" s="300">
        <f t="shared" si="5"/>
        <v>45323</v>
      </c>
      <c r="E82" s="147">
        <f t="shared" ca="1" si="6"/>
        <v>3.9333150474620604E-2</v>
      </c>
      <c r="F82" s="147">
        <f t="shared" ca="1" si="11"/>
        <v>4.2589634816276867E-2</v>
      </c>
      <c r="G82" s="147">
        <f t="shared" ca="1" si="13"/>
        <v>3.1433532351111682E-2</v>
      </c>
      <c r="H82" s="147">
        <f t="shared" ca="1" si="15"/>
        <v>-2.0919267130664165E-2</v>
      </c>
      <c r="I82" s="147"/>
      <c r="J82" s="147"/>
      <c r="K82" s="300">
        <f t="shared" si="7"/>
        <v>45323</v>
      </c>
      <c r="L82" s="147">
        <f t="shared" ca="1" si="8"/>
        <v>3.9333150474620604E-2</v>
      </c>
      <c r="M82" s="147">
        <f t="shared" ca="1" si="12"/>
        <v>4.2589634816276867E-2</v>
      </c>
      <c r="N82" s="147">
        <f t="shared" ca="1" si="14"/>
        <v>3.1433532351111682E-2</v>
      </c>
      <c r="O82" s="147">
        <f t="shared" ca="1" si="10"/>
        <v>3.333535781468E-2</v>
      </c>
      <c r="Y82" s="67"/>
    </row>
    <row r="83" spans="1:25" x14ac:dyDescent="0.2">
      <c r="B83" s="7" t="s">
        <v>605</v>
      </c>
      <c r="C83" s="7"/>
      <c r="D83" s="300">
        <f t="shared" si="5"/>
        <v>45352</v>
      </c>
      <c r="E83" s="147">
        <f t="shared" ca="1" si="6"/>
        <v>2.7596315962892026E-2</v>
      </c>
      <c r="F83" s="147">
        <f t="shared" ca="1" si="11"/>
        <v>4.097990025838727E-2</v>
      </c>
      <c r="G83" s="147">
        <f t="shared" ca="1" si="13"/>
        <v>1.9227376322711542E-2</v>
      </c>
      <c r="H83" s="147">
        <f t="shared" ca="1" si="15"/>
        <v>-2.0919267130664165E-2</v>
      </c>
      <c r="I83" s="147"/>
      <c r="J83" s="147"/>
      <c r="K83" s="300">
        <f t="shared" si="7"/>
        <v>45352</v>
      </c>
      <c r="L83" s="147">
        <f t="shared" ca="1" si="8"/>
        <v>2.7596315962892026E-2</v>
      </c>
      <c r="M83" s="147">
        <f t="shared" ca="1" si="12"/>
        <v>4.097990025838727E-2</v>
      </c>
      <c r="N83" s="147">
        <f t="shared" ca="1" si="14"/>
        <v>1.9227376322711542E-2</v>
      </c>
      <c r="O83" s="147">
        <f t="shared" ca="1" si="10"/>
        <v>3.333535781468E-2</v>
      </c>
      <c r="Y83" s="67"/>
    </row>
    <row r="84" spans="1:25" x14ac:dyDescent="0.2">
      <c r="Y84" s="67"/>
    </row>
    <row r="85" spans="1:25" x14ac:dyDescent="0.2">
      <c r="Y85" s="67"/>
    </row>
    <row r="86" spans="1:25" x14ac:dyDescent="0.2">
      <c r="A86" t="s">
        <v>577</v>
      </c>
      <c r="G86" t="s">
        <v>260</v>
      </c>
      <c r="M86" t="s">
        <v>153</v>
      </c>
      <c r="Y86" s="67"/>
    </row>
    <row r="87" spans="1:25" x14ac:dyDescent="0.2">
      <c r="F87" t="s">
        <v>604</v>
      </c>
      <c r="L87" t="s">
        <v>604</v>
      </c>
      <c r="Y87" s="67"/>
    </row>
    <row r="88" spans="1:25" x14ac:dyDescent="0.2">
      <c r="B88" t="s">
        <v>606</v>
      </c>
      <c r="F88" t="s">
        <v>159</v>
      </c>
      <c r="G88" t="s">
        <v>602</v>
      </c>
      <c r="H88" t="s">
        <v>603</v>
      </c>
      <c r="L88" t="s">
        <v>159</v>
      </c>
      <c r="M88" t="s">
        <v>602</v>
      </c>
      <c r="N88" t="s">
        <v>603</v>
      </c>
      <c r="Y88" s="67"/>
    </row>
    <row r="89" spans="1:25" x14ac:dyDescent="0.2">
      <c r="Y89" s="67"/>
    </row>
    <row r="90" spans="1:25" x14ac:dyDescent="0.2">
      <c r="B90" s="7" t="s">
        <v>605</v>
      </c>
      <c r="C90" s="7"/>
      <c r="D90" s="300">
        <f>+A234</f>
        <v>45352</v>
      </c>
      <c r="E90" s="7"/>
      <c r="F90" s="287">
        <f ca="1">+L234</f>
        <v>1.027596315962892</v>
      </c>
      <c r="G90" s="287">
        <f ca="1">+R234</f>
        <v>1.0409799002583873</v>
      </c>
      <c r="H90" s="287">
        <f ca="1">+X234</f>
        <v>1.0192273763227115</v>
      </c>
      <c r="I90" s="7"/>
      <c r="J90" s="7"/>
      <c r="K90" s="7"/>
      <c r="L90" s="287">
        <f ca="1">+M234</f>
        <v>1.027596315962892</v>
      </c>
      <c r="M90" s="287">
        <f ca="1">+S234</f>
        <v>1.0409799002583873</v>
      </c>
      <c r="N90" s="287">
        <f ca="1">+Y234</f>
        <v>1.0192273763227115</v>
      </c>
      <c r="Y90" s="67"/>
    </row>
    <row r="91" spans="1:25" x14ac:dyDescent="0.2">
      <c r="B91" s="7" t="s">
        <v>605</v>
      </c>
      <c r="C91" s="7"/>
      <c r="D91" s="300">
        <f>+A233</f>
        <v>45323</v>
      </c>
      <c r="E91" s="7"/>
      <c r="F91" s="287">
        <f ca="1">+L233</f>
        <v>1.0393331504746206</v>
      </c>
      <c r="G91" s="287">
        <f ca="1">+R233</f>
        <v>1.0425896348162769</v>
      </c>
      <c r="H91" s="287">
        <f ca="1">+X233</f>
        <v>1.0314335323511117</v>
      </c>
      <c r="I91" s="7"/>
      <c r="J91" s="7"/>
      <c r="K91" s="7"/>
      <c r="L91" s="287">
        <f ca="1">+M233</f>
        <v>1.0393331504746206</v>
      </c>
      <c r="M91" s="287">
        <f ca="1">+S233</f>
        <v>1.0425896348162769</v>
      </c>
      <c r="N91" s="287">
        <f ca="1">+Y233</f>
        <v>1.0314335323511117</v>
      </c>
      <c r="Y91" s="67"/>
    </row>
    <row r="92" spans="1:25" x14ac:dyDescent="0.2">
      <c r="B92" s="7" t="s">
        <v>605</v>
      </c>
      <c r="C92" s="7"/>
      <c r="D92" s="300">
        <f>+A232</f>
        <v>45292</v>
      </c>
      <c r="E92" s="7"/>
      <c r="F92" s="287">
        <f ca="1">+L232</f>
        <v>1.0456548851563134</v>
      </c>
      <c r="G92" s="287">
        <f ca="1">+R232</f>
        <v>1.0295303265688553</v>
      </c>
      <c r="H92" s="287">
        <f ca="1">+X232</f>
        <v>1.0370452515869624</v>
      </c>
      <c r="I92" s="7"/>
      <c r="J92" s="7"/>
      <c r="K92" s="7"/>
      <c r="L92" s="287">
        <f ca="1">+M232</f>
        <v>1.0456548851563134</v>
      </c>
      <c r="M92" s="287">
        <f ca="1">+S232</f>
        <v>1.0295303265688553</v>
      </c>
      <c r="N92" s="287">
        <f ca="1">+Y232</f>
        <v>1.0370452515869624</v>
      </c>
      <c r="Y92" s="67"/>
    </row>
    <row r="93" spans="1:25" x14ac:dyDescent="0.2">
      <c r="B93" s="7" t="s">
        <v>605</v>
      </c>
      <c r="C93" s="7"/>
      <c r="D93" s="300">
        <f>+A231</f>
        <v>45261</v>
      </c>
      <c r="E93" s="7"/>
      <c r="F93" s="287">
        <f ca="1">+L231</f>
        <v>1.0535420431468399</v>
      </c>
      <c r="G93" s="287">
        <f ca="1">+R231</f>
        <v>1.0198353207199788</v>
      </c>
      <c r="H93" s="287">
        <f ca="1">+X231</f>
        <v>1.0351633449723312</v>
      </c>
      <c r="I93" s="7"/>
      <c r="J93" s="7"/>
      <c r="K93" s="7"/>
      <c r="L93" s="287">
        <f ca="1">+M231</f>
        <v>1.0535420431468399</v>
      </c>
      <c r="M93" s="287">
        <f ca="1">+S231</f>
        <v>1.0198353207199788</v>
      </c>
      <c r="N93" s="287">
        <f ca="1">+Y231</f>
        <v>1.0351633449723312</v>
      </c>
      <c r="Y93" s="67"/>
    </row>
    <row r="94" spans="1:25" x14ac:dyDescent="0.2">
      <c r="B94" s="7" t="s">
        <v>605</v>
      </c>
      <c r="C94" s="7"/>
      <c r="D94" s="300">
        <f>+A230</f>
        <v>45231</v>
      </c>
      <c r="E94" s="7"/>
      <c r="F94" s="287">
        <f ca="1">+L230</f>
        <v>1.0455364706446153</v>
      </c>
      <c r="G94" s="287">
        <f ca="1">+R230</f>
        <v>1.0272768562631549</v>
      </c>
      <c r="H94" s="287">
        <f ca="1">+X230</f>
        <v>1.015880632265681</v>
      </c>
      <c r="I94" s="7"/>
      <c r="J94" s="7"/>
      <c r="K94" s="7"/>
      <c r="L94" s="287">
        <f ca="1">+M230</f>
        <v>1.0455364706446153</v>
      </c>
      <c r="M94" s="287">
        <f ca="1">+S230</f>
        <v>1.0272768562631549</v>
      </c>
      <c r="N94" s="287">
        <f ca="1">+Y230</f>
        <v>1.015880632265681</v>
      </c>
      <c r="Y94" s="67"/>
    </row>
    <row r="95" spans="1:25" x14ac:dyDescent="0.2">
      <c r="B95" s="7" t="s">
        <v>605</v>
      </c>
      <c r="C95" s="7"/>
      <c r="D95" s="300">
        <f>+A229</f>
        <v>45200</v>
      </c>
      <c r="E95" s="7"/>
      <c r="F95" s="287">
        <f ca="1">+L229</f>
        <v>1.0150917260508958</v>
      </c>
      <c r="G95" s="287">
        <f ca="1">+R229</f>
        <v>1.0199622288690469</v>
      </c>
      <c r="H95" s="287">
        <f ca="1">+X229</f>
        <v>0.99323555495752747</v>
      </c>
      <c r="I95" s="7"/>
      <c r="J95" s="7"/>
      <c r="K95" s="7"/>
      <c r="L95" s="287">
        <f ca="1">+M229</f>
        <v>1.0150917260508958</v>
      </c>
      <c r="M95" s="287">
        <f ca="1">+S229</f>
        <v>1.0199622288690469</v>
      </c>
      <c r="N95" s="287">
        <f ca="1">+Y229</f>
        <v>0.99323555495752747</v>
      </c>
      <c r="Y95" s="67"/>
    </row>
    <row r="96" spans="1:25" x14ac:dyDescent="0.2">
      <c r="B96" s="7" t="s">
        <v>605</v>
      </c>
      <c r="C96" s="7"/>
      <c r="D96" s="300">
        <f>+A228</f>
        <v>45170</v>
      </c>
      <c r="E96" s="7"/>
      <c r="F96" s="287">
        <f ca="1">+L228</f>
        <v>0.98688100543782598</v>
      </c>
      <c r="G96" s="287">
        <f ca="1">+R228</f>
        <v>0.99797457692397318</v>
      </c>
      <c r="H96" s="287">
        <f ca="1">+X228</f>
        <v>0.97273624211182141</v>
      </c>
      <c r="I96" s="7"/>
      <c r="J96" s="7"/>
      <c r="K96" s="7"/>
      <c r="L96" s="287">
        <f ca="1">+M228</f>
        <v>0.98688100543782598</v>
      </c>
      <c r="M96" s="287">
        <f ca="1">+S228</f>
        <v>0.99797457692397318</v>
      </c>
      <c r="N96" s="287">
        <f ca="1">+Y228</f>
        <v>0.97273624211182141</v>
      </c>
      <c r="Y96" s="67"/>
    </row>
    <row r="97" spans="2:25" x14ac:dyDescent="0.2">
      <c r="B97" s="7" t="s">
        <v>605</v>
      </c>
      <c r="C97" s="7"/>
      <c r="D97" s="300">
        <f>+A227</f>
        <v>45139</v>
      </c>
      <c r="E97" s="7"/>
      <c r="F97" s="287">
        <f ca="1">+L227</f>
        <v>1.0090956922841672</v>
      </c>
      <c r="G97" s="287">
        <f ca="1">+R227</f>
        <v>1.0205704924871883</v>
      </c>
      <c r="H97" s="287">
        <f ca="1">+X227</f>
        <v>0.96429665740606074</v>
      </c>
      <c r="I97" s="7"/>
      <c r="J97" s="7"/>
      <c r="K97" s="7"/>
      <c r="L97" s="287">
        <f ca="1">+M227</f>
        <v>1.0090956922841672</v>
      </c>
      <c r="M97" s="287">
        <f ca="1">+S227</f>
        <v>1.0205704924871883</v>
      </c>
      <c r="N97" s="287">
        <f ca="1">+Y227</f>
        <v>0.96429665740606074</v>
      </c>
      <c r="Y97" s="67"/>
    </row>
    <row r="98" spans="2:25" x14ac:dyDescent="0.2">
      <c r="B98" s="7" t="s">
        <v>605</v>
      </c>
      <c r="C98" s="7"/>
      <c r="D98" s="300">
        <f>+A226</f>
        <v>45108</v>
      </c>
      <c r="E98" s="7"/>
      <c r="F98" s="287">
        <f ca="1">+L226</f>
        <v>1.0252666824358934</v>
      </c>
      <c r="G98" s="287">
        <f ca="1">+R226</f>
        <v>1.0451103486284921</v>
      </c>
      <c r="H98" s="287">
        <f ca="1">+X226</f>
        <v>0.95991082208372724</v>
      </c>
      <c r="I98" s="7"/>
      <c r="J98" s="7"/>
      <c r="K98" s="7"/>
      <c r="L98" s="287">
        <f ca="1">+M226</f>
        <v>1.0252666824358934</v>
      </c>
      <c r="M98" s="287">
        <f ca="1">+S226</f>
        <v>1.0451103486284921</v>
      </c>
      <c r="N98" s="287">
        <f ca="1">+Y226</f>
        <v>0.95991082208372724</v>
      </c>
      <c r="Y98" s="67"/>
    </row>
    <row r="99" spans="2:25" x14ac:dyDescent="0.2">
      <c r="B99" s="7" t="s">
        <v>605</v>
      </c>
      <c r="C99" s="7"/>
      <c r="D99" s="300">
        <f>+A225</f>
        <v>45078</v>
      </c>
      <c r="E99" s="7"/>
      <c r="F99" s="287">
        <f ca="1">+L225</f>
        <v>1.0097773166956727</v>
      </c>
      <c r="G99" s="287">
        <f ca="1">+R225</f>
        <v>1.0522504568304205</v>
      </c>
      <c r="H99" s="287">
        <f ca="1">+X225</f>
        <v>0.95467221676369407</v>
      </c>
      <c r="I99" s="7"/>
      <c r="J99" s="7"/>
      <c r="K99" s="7"/>
      <c r="L99" s="287">
        <f ca="1">+M225</f>
        <v>1.0097773166956727</v>
      </c>
      <c r="M99" s="287">
        <f ca="1">+S225</f>
        <v>1.0522504568304205</v>
      </c>
      <c r="N99" s="287">
        <f ca="1">+Y225</f>
        <v>0.95467221676369407</v>
      </c>
      <c r="Y99" s="67"/>
    </row>
    <row r="100" spans="2:25" x14ac:dyDescent="0.2">
      <c r="B100" s="7" t="s">
        <v>605</v>
      </c>
      <c r="C100" s="7"/>
      <c r="D100" s="300">
        <f>+A224</f>
        <v>45047</v>
      </c>
      <c r="E100" s="7"/>
      <c r="F100" s="287">
        <f ca="1">+L224</f>
        <v>1.0326760034726068</v>
      </c>
      <c r="G100" s="287">
        <f ca="1">+R224</f>
        <v>1.0037371628781915</v>
      </c>
      <c r="H100" s="287">
        <f ca="1">+X224</f>
        <v>0.95263939033517819</v>
      </c>
      <c r="I100" s="7"/>
      <c r="J100" s="7"/>
      <c r="K100" s="7"/>
      <c r="L100" s="287">
        <f ca="1">+M224</f>
        <v>1.0326760034726068</v>
      </c>
      <c r="M100" s="287">
        <f ca="1">+S224</f>
        <v>1.0037371628781915</v>
      </c>
      <c r="N100" s="287">
        <f ca="1">+Y224</f>
        <v>0.95263939033517819</v>
      </c>
      <c r="Y100" s="67"/>
    </row>
    <row r="101" spans="2:25" x14ac:dyDescent="0.2">
      <c r="B101" s="7" t="s">
        <v>605</v>
      </c>
      <c r="C101" s="7"/>
      <c r="D101" s="300">
        <f>+A223</f>
        <v>45017</v>
      </c>
      <c r="E101" s="7"/>
      <c r="F101" s="287">
        <f ca="1">+L223</f>
        <v>1.0665977924165482</v>
      </c>
      <c r="G101" s="287">
        <f ca="1">+R223</f>
        <v>0.9657279922667189</v>
      </c>
      <c r="H101" s="287">
        <f ca="1">+X223</f>
        <v>0.95562192317529437</v>
      </c>
      <c r="I101" s="7"/>
      <c r="J101" s="7"/>
      <c r="K101" s="7"/>
      <c r="L101" s="287">
        <f ca="1">+M223</f>
        <v>1.0665977924165482</v>
      </c>
      <c r="M101" s="287">
        <f ca="1">+S223</f>
        <v>0.9657279922667189</v>
      </c>
      <c r="N101" s="287">
        <f ca="1">+Y223</f>
        <v>0.95562192317529437</v>
      </c>
      <c r="Y101" s="67"/>
    </row>
    <row r="102" spans="2:25" x14ac:dyDescent="0.2">
      <c r="B102" s="7" t="s">
        <v>605</v>
      </c>
      <c r="C102" s="7"/>
      <c r="D102" s="300">
        <f>+A222</f>
        <v>44986</v>
      </c>
      <c r="E102" s="7"/>
      <c r="F102" s="287">
        <f>+L222</f>
        <v>1.1001080910159016</v>
      </c>
      <c r="G102" s="287">
        <f>+R222</f>
        <v>0.94824148369426164</v>
      </c>
      <c r="H102" s="287">
        <f>+X222</f>
        <v>0.9617012988359005</v>
      </c>
      <c r="I102" s="7"/>
      <c r="J102" s="7"/>
      <c r="K102" s="7"/>
      <c r="L102" s="287">
        <f>+M222</f>
        <v>1.1001080910159016</v>
      </c>
      <c r="M102" s="287">
        <f>+S222</f>
        <v>0.94824148369426164</v>
      </c>
      <c r="N102" s="287">
        <f>+Y222</f>
        <v>0.9617012988359005</v>
      </c>
      <c r="Y102" s="67"/>
    </row>
    <row r="103" spans="2:25" x14ac:dyDescent="0.2">
      <c r="B103" s="7" t="s">
        <v>605</v>
      </c>
      <c r="C103" s="7"/>
      <c r="D103" s="300">
        <f>+A221</f>
        <v>44958</v>
      </c>
      <c r="E103" s="7"/>
      <c r="F103" s="287">
        <f>+L221</f>
        <v>0.97408191326951465</v>
      </c>
      <c r="G103" s="287">
        <f>+R221</f>
        <v>0.91161274454443397</v>
      </c>
      <c r="H103" s="287"/>
      <c r="I103" s="7"/>
      <c r="J103" s="7"/>
      <c r="K103" s="7"/>
      <c r="L103" s="287">
        <f>+M221</f>
        <v>0.97408191326951465</v>
      </c>
      <c r="M103" s="287">
        <f>+S221</f>
        <v>0.91161274454443397</v>
      </c>
      <c r="N103" s="287"/>
      <c r="Y103" s="67"/>
    </row>
    <row r="104" spans="2:25" x14ac:dyDescent="0.2">
      <c r="B104" s="7" t="s">
        <v>605</v>
      </c>
      <c r="C104" s="7"/>
      <c r="D104" s="300">
        <f>+A220</f>
        <v>44927</v>
      </c>
      <c r="E104" s="7"/>
      <c r="F104" s="287">
        <f>+L220</f>
        <v>0.88152476837972582</v>
      </c>
      <c r="G104" s="287">
        <f>+R220</f>
        <v>0.88931065460823233</v>
      </c>
      <c r="H104" s="287"/>
      <c r="I104" s="7"/>
      <c r="J104" s="7"/>
      <c r="K104" s="7"/>
      <c r="L104" s="287">
        <f>+M220</f>
        <v>0.88152476837972582</v>
      </c>
      <c r="M104" s="287">
        <f>+S220</f>
        <v>0.88931065460823233</v>
      </c>
      <c r="N104" s="287"/>
      <c r="Y104" s="67"/>
    </row>
    <row r="105" spans="2:25" x14ac:dyDescent="0.2">
      <c r="B105" s="7" t="s">
        <v>605</v>
      </c>
      <c r="C105" s="7"/>
      <c r="D105" s="300">
        <f>+A219</f>
        <v>44896</v>
      </c>
      <c r="E105" s="7"/>
      <c r="F105" s="287">
        <f>+L219</f>
        <v>0.83946814848446571</v>
      </c>
      <c r="G105" s="287">
        <f>+R219</f>
        <v>0.87783308606922628</v>
      </c>
      <c r="H105" s="287"/>
      <c r="I105" s="7"/>
      <c r="J105" s="7"/>
      <c r="K105" s="7"/>
      <c r="L105" s="287">
        <f>+M219</f>
        <v>0.83946814848446571</v>
      </c>
      <c r="M105" s="287">
        <f>+S219</f>
        <v>0.87783308606922628</v>
      </c>
      <c r="N105" s="287"/>
      <c r="Y105" s="67"/>
    </row>
    <row r="106" spans="2:25" x14ac:dyDescent="0.2">
      <c r="B106" s="7" t="s">
        <v>605</v>
      </c>
      <c r="C106" s="7"/>
      <c r="D106" s="300">
        <f>+A218</f>
        <v>44866</v>
      </c>
      <c r="E106" s="7"/>
      <c r="F106" s="287">
        <f>+L218</f>
        <v>0.8616106438944342</v>
      </c>
      <c r="G106" s="287">
        <f>+R218</f>
        <v>0.90904740060257461</v>
      </c>
      <c r="H106" s="287"/>
      <c r="I106" s="7"/>
      <c r="J106" s="7"/>
      <c r="K106" s="7"/>
      <c r="L106" s="287">
        <f>+M218</f>
        <v>0.8616106438944342</v>
      </c>
      <c r="M106" s="287">
        <f>+S218</f>
        <v>0.90904740060257461</v>
      </c>
      <c r="N106" s="287"/>
      <c r="Y106" s="67"/>
    </row>
    <row r="107" spans="2:25" x14ac:dyDescent="0.2">
      <c r="B107" s="7" t="s">
        <v>605</v>
      </c>
      <c r="C107" s="7"/>
      <c r="D107" s="300">
        <f>+A217</f>
        <v>44835</v>
      </c>
      <c r="E107" s="7"/>
      <c r="F107" s="287">
        <f>+L217</f>
        <v>0.89640010715442264</v>
      </c>
      <c r="G107" s="287">
        <f>+R217</f>
        <v>0.94632974438836015</v>
      </c>
      <c r="H107" s="287"/>
      <c r="I107" s="7"/>
      <c r="J107" s="7"/>
      <c r="K107" s="7"/>
      <c r="L107" s="287">
        <f>+M217</f>
        <v>0.89640010715442264</v>
      </c>
      <c r="M107" s="287">
        <f>+S217</f>
        <v>0.94632974438836015</v>
      </c>
      <c r="N107" s="287"/>
      <c r="Y107" s="67"/>
    </row>
    <row r="108" spans="2:25" x14ac:dyDescent="0.2">
      <c r="B108" s="7" t="s">
        <v>605</v>
      </c>
      <c r="C108" s="7"/>
      <c r="D108" s="300">
        <f>+A216</f>
        <v>44805</v>
      </c>
      <c r="E108" s="7"/>
      <c r="F108" s="287">
        <f>+L216</f>
        <v>0.918890323018838</v>
      </c>
      <c r="G108" s="287">
        <f>+R216</f>
        <v>0.97522613344180864</v>
      </c>
      <c r="H108" s="287"/>
      <c r="I108" s="7"/>
      <c r="J108" s="7"/>
      <c r="K108" s="7"/>
      <c r="L108" s="287">
        <f>+M216</f>
        <v>0.918890323018838</v>
      </c>
      <c r="M108" s="287">
        <f>+S216</f>
        <v>0.97522613344180864</v>
      </c>
      <c r="N108" s="287"/>
      <c r="Y108" s="67"/>
    </row>
    <row r="109" spans="2:25" x14ac:dyDescent="0.2">
      <c r="B109" s="7" t="s">
        <v>605</v>
      </c>
      <c r="C109" s="7"/>
      <c r="D109" s="300">
        <f>+A215</f>
        <v>44774</v>
      </c>
      <c r="E109" s="7"/>
      <c r="F109" s="287">
        <f>+L215</f>
        <v>0.96177108238111431</v>
      </c>
      <c r="G109" s="287"/>
      <c r="H109" s="287"/>
      <c r="I109" s="7"/>
      <c r="J109" s="7"/>
      <c r="K109" s="7"/>
      <c r="L109" s="287">
        <f>+M215</f>
        <v>0.96177108238111431</v>
      </c>
      <c r="M109" s="287"/>
      <c r="N109" s="287"/>
      <c r="Y109" s="67"/>
    </row>
    <row r="110" spans="2:25" x14ac:dyDescent="0.2">
      <c r="B110" s="7" t="s">
        <v>605</v>
      </c>
      <c r="C110" s="7"/>
      <c r="D110" s="300">
        <f>+A214</f>
        <v>44743</v>
      </c>
      <c r="E110" s="7"/>
      <c r="F110" s="287">
        <f>+L214</f>
        <v>1.0074442625310536</v>
      </c>
      <c r="G110" s="287"/>
      <c r="H110" s="287"/>
      <c r="I110" s="7"/>
      <c r="J110" s="7"/>
      <c r="K110" s="7"/>
      <c r="L110" s="287">
        <f>+M214</f>
        <v>1.0074442625310536</v>
      </c>
      <c r="M110" s="287"/>
      <c r="N110" s="287"/>
      <c r="Y110" s="67"/>
    </row>
    <row r="111" spans="2:25" x14ac:dyDescent="0.2">
      <c r="B111" s="7" t="s">
        <v>605</v>
      </c>
      <c r="C111" s="7"/>
      <c r="D111" s="300">
        <f>+A213</f>
        <v>44713</v>
      </c>
      <c r="E111" s="7"/>
      <c r="F111" s="287">
        <f>+L213</f>
        <v>1.0432767128753733</v>
      </c>
      <c r="G111" s="287"/>
      <c r="H111" s="287"/>
      <c r="I111" s="7"/>
      <c r="J111" s="7"/>
      <c r="K111" s="7"/>
      <c r="L111" s="287">
        <f>+M213</f>
        <v>1.0432767128753733</v>
      </c>
      <c r="M111" s="287"/>
      <c r="N111" s="287"/>
      <c r="Y111" s="67"/>
    </row>
    <row r="112" spans="2:25" x14ac:dyDescent="0.2">
      <c r="B112" s="7" t="s">
        <v>605</v>
      </c>
      <c r="C112" s="7"/>
      <c r="D112" s="300">
        <f>+A212</f>
        <v>44682</v>
      </c>
      <c r="E112" s="7"/>
      <c r="F112" s="287">
        <f>+L212</f>
        <v>0</v>
      </c>
      <c r="G112" s="287"/>
      <c r="H112" s="287"/>
      <c r="I112" s="7"/>
      <c r="J112" s="7"/>
      <c r="K112" s="7"/>
      <c r="L112" s="287">
        <f>+M212</f>
        <v>0</v>
      </c>
      <c r="M112" s="287"/>
      <c r="N112" s="287"/>
      <c r="Y112" s="67"/>
    </row>
    <row r="113" spans="1:25" x14ac:dyDescent="0.2">
      <c r="A113" s="284"/>
      <c r="G113" s="1"/>
      <c r="M113" s="67"/>
      <c r="Y113" s="67"/>
    </row>
    <row r="114" spans="1:25" x14ac:dyDescent="0.2">
      <c r="A114" s="284"/>
      <c r="G114" s="1"/>
      <c r="M114" s="67"/>
      <c r="Y114" s="67"/>
    </row>
    <row r="115" spans="1:25" x14ac:dyDescent="0.2">
      <c r="A115" s="284"/>
      <c r="F115" s="9"/>
      <c r="G115" s="10" t="s">
        <v>260</v>
      </c>
      <c r="H115" s="11"/>
      <c r="M115" s="67"/>
      <c r="Y115" s="67"/>
    </row>
    <row r="116" spans="1:25" x14ac:dyDescent="0.2">
      <c r="A116" s="3" t="s">
        <v>577</v>
      </c>
      <c r="F116" s="193"/>
      <c r="G116" s="231" t="s">
        <v>609</v>
      </c>
      <c r="H116" s="196"/>
      <c r="W116" s="9"/>
      <c r="X116" s="10" t="s">
        <v>153</v>
      </c>
      <c r="Y116" s="11"/>
    </row>
    <row r="117" spans="1:25" x14ac:dyDescent="0.2">
      <c r="F117" s="203"/>
      <c r="G117" s="98" t="s">
        <v>610</v>
      </c>
      <c r="H117" s="204"/>
      <c r="W117" s="193"/>
      <c r="X117" s="231" t="s">
        <v>609</v>
      </c>
      <c r="Y117" s="196"/>
    </row>
    <row r="118" spans="1:25" x14ac:dyDescent="0.2">
      <c r="B118" t="s">
        <v>606</v>
      </c>
      <c r="F118" s="50" t="s">
        <v>159</v>
      </c>
      <c r="G118" s="50" t="s">
        <v>602</v>
      </c>
      <c r="H118" s="50" t="s">
        <v>603</v>
      </c>
      <c r="W118" s="203" t="s">
        <v>604</v>
      </c>
      <c r="X118" s="98" t="s">
        <v>610</v>
      </c>
      <c r="Y118" s="204"/>
    </row>
    <row r="119" spans="1:25" x14ac:dyDescent="0.2">
      <c r="W119" s="50" t="s">
        <v>159</v>
      </c>
      <c r="X119" s="50" t="s">
        <v>602</v>
      </c>
      <c r="Y119" s="50" t="s">
        <v>603</v>
      </c>
    </row>
    <row r="120" spans="1:25" x14ac:dyDescent="0.2">
      <c r="B120" s="7" t="s">
        <v>605</v>
      </c>
      <c r="C120" s="7"/>
      <c r="D120" s="300">
        <f t="shared" ref="D120:D141" si="16">+D90</f>
        <v>45352</v>
      </c>
      <c r="E120" s="7"/>
      <c r="F120" s="147">
        <f t="shared" ref="F120:H132" ca="1" si="17">IF(F90="NA","NA",+F90-1)</f>
        <v>2.7596315962892026E-2</v>
      </c>
      <c r="G120" s="147">
        <f t="shared" ca="1" si="17"/>
        <v>4.097990025838727E-2</v>
      </c>
      <c r="H120" s="147">
        <f t="shared" ca="1" si="17"/>
        <v>1.9227376322711542E-2</v>
      </c>
      <c r="V120" s="7"/>
      <c r="W120" s="147">
        <f ca="1">IF(L90="NA","NA",+L90-1)</f>
        <v>2.7596315962892026E-2</v>
      </c>
      <c r="X120" s="147">
        <f t="shared" ref="X120:Y135" ca="1" si="18">IF(M90="NA","NA",+M90-1)</f>
        <v>4.097990025838727E-2</v>
      </c>
      <c r="Y120" s="147">
        <f t="shared" ca="1" si="18"/>
        <v>1.9227376322711542E-2</v>
      </c>
    </row>
    <row r="121" spans="1:25" x14ac:dyDescent="0.2">
      <c r="B121" s="7" t="s">
        <v>605</v>
      </c>
      <c r="C121" s="7"/>
      <c r="D121" s="300">
        <f t="shared" si="16"/>
        <v>45323</v>
      </c>
      <c r="E121" s="7"/>
      <c r="F121" s="147">
        <f t="shared" ca="1" si="17"/>
        <v>3.9333150474620604E-2</v>
      </c>
      <c r="G121" s="147">
        <f t="shared" ca="1" si="17"/>
        <v>4.2589634816276867E-2</v>
      </c>
      <c r="H121" s="147">
        <f t="shared" ca="1" si="17"/>
        <v>3.1433532351111682E-2</v>
      </c>
      <c r="V121" s="7"/>
      <c r="W121" s="147">
        <f t="shared" ref="W121:X141" ca="1" si="19">IF(L91="NA","NA",+L91-1)</f>
        <v>3.9333150474620604E-2</v>
      </c>
      <c r="X121" s="147">
        <f t="shared" ca="1" si="18"/>
        <v>4.2589634816276867E-2</v>
      </c>
      <c r="Y121" s="147">
        <f t="shared" ca="1" si="18"/>
        <v>3.1433532351111682E-2</v>
      </c>
    </row>
    <row r="122" spans="1:25" x14ac:dyDescent="0.2">
      <c r="B122" s="7" t="s">
        <v>605</v>
      </c>
      <c r="C122" s="7"/>
      <c r="D122" s="300">
        <f t="shared" si="16"/>
        <v>45292</v>
      </c>
      <c r="E122" s="7"/>
      <c r="F122" s="147">
        <f t="shared" ca="1" si="17"/>
        <v>4.5654885156313441E-2</v>
      </c>
      <c r="G122" s="147">
        <f t="shared" ca="1" si="17"/>
        <v>2.9530326568855347E-2</v>
      </c>
      <c r="H122" s="147">
        <f t="shared" ca="1" si="17"/>
        <v>3.7045251586962369E-2</v>
      </c>
      <c r="V122" s="7"/>
      <c r="W122" s="147">
        <f t="shared" ca="1" si="19"/>
        <v>4.5654885156313441E-2</v>
      </c>
      <c r="X122" s="147">
        <f t="shared" ca="1" si="18"/>
        <v>2.9530326568855347E-2</v>
      </c>
      <c r="Y122" s="147">
        <f t="shared" ca="1" si="18"/>
        <v>3.7045251586962369E-2</v>
      </c>
    </row>
    <row r="123" spans="1:25" x14ac:dyDescent="0.2">
      <c r="B123" s="7" t="s">
        <v>605</v>
      </c>
      <c r="C123" s="7"/>
      <c r="D123" s="300">
        <f t="shared" si="16"/>
        <v>45261</v>
      </c>
      <c r="E123" s="7"/>
      <c r="F123" s="147">
        <f t="shared" ca="1" si="17"/>
        <v>5.3542043146839857E-2</v>
      </c>
      <c r="G123" s="147">
        <f t="shared" ca="1" si="17"/>
        <v>1.9835320719978844E-2</v>
      </c>
      <c r="H123" s="147">
        <f t="shared" ca="1" si="17"/>
        <v>3.5163344972331201E-2</v>
      </c>
      <c r="V123" s="7"/>
      <c r="W123" s="147">
        <f t="shared" ca="1" si="19"/>
        <v>5.3542043146839857E-2</v>
      </c>
      <c r="X123" s="147">
        <f t="shared" ca="1" si="18"/>
        <v>1.9835320719978844E-2</v>
      </c>
      <c r="Y123" s="147">
        <f t="shared" ca="1" si="18"/>
        <v>3.5163344972331201E-2</v>
      </c>
    </row>
    <row r="124" spans="1:25" x14ac:dyDescent="0.2">
      <c r="B124" s="7" t="s">
        <v>605</v>
      </c>
      <c r="C124" s="7"/>
      <c r="D124" s="300">
        <f t="shared" si="16"/>
        <v>45231</v>
      </c>
      <c r="E124" s="7"/>
      <c r="F124" s="147">
        <f t="shared" ca="1" si="17"/>
        <v>4.5536470644615301E-2</v>
      </c>
      <c r="G124" s="147">
        <f t="shared" ca="1" si="17"/>
        <v>2.7276856263154903E-2</v>
      </c>
      <c r="H124" s="147">
        <f t="shared" ca="1" si="17"/>
        <v>1.5880632265681038E-2</v>
      </c>
      <c r="V124" s="7"/>
      <c r="W124" s="147">
        <f t="shared" ca="1" si="19"/>
        <v>4.5536470644615301E-2</v>
      </c>
      <c r="X124" s="147">
        <f t="shared" ca="1" si="18"/>
        <v>2.7276856263154903E-2</v>
      </c>
      <c r="Y124" s="147">
        <f t="shared" ca="1" si="18"/>
        <v>1.5880632265681038E-2</v>
      </c>
    </row>
    <row r="125" spans="1:25" x14ac:dyDescent="0.2">
      <c r="B125" s="7" t="s">
        <v>605</v>
      </c>
      <c r="C125" s="7"/>
      <c r="D125" s="300">
        <f t="shared" si="16"/>
        <v>45200</v>
      </c>
      <c r="E125" s="7"/>
      <c r="F125" s="147">
        <f t="shared" ca="1" si="17"/>
        <v>1.5091726050895815E-2</v>
      </c>
      <c r="G125" s="147">
        <f t="shared" ca="1" si="17"/>
        <v>1.9962228869046861E-2</v>
      </c>
      <c r="H125" s="147">
        <f t="shared" ca="1" si="17"/>
        <v>-6.7644450424725333E-3</v>
      </c>
      <c r="V125" s="7"/>
      <c r="W125" s="147">
        <f t="shared" ca="1" si="19"/>
        <v>1.5091726050895815E-2</v>
      </c>
      <c r="X125" s="147">
        <f t="shared" ca="1" si="18"/>
        <v>1.9962228869046861E-2</v>
      </c>
      <c r="Y125" s="147">
        <f t="shared" ca="1" si="18"/>
        <v>-6.7644450424725333E-3</v>
      </c>
    </row>
    <row r="126" spans="1:25" x14ac:dyDescent="0.2">
      <c r="B126" s="7" t="s">
        <v>605</v>
      </c>
      <c r="C126" s="7"/>
      <c r="D126" s="300">
        <f t="shared" si="16"/>
        <v>45170</v>
      </c>
      <c r="E126" s="7"/>
      <c r="F126" s="147">
        <f t="shared" ca="1" si="17"/>
        <v>-1.3118994562174024E-2</v>
      </c>
      <c r="G126" s="147">
        <f t="shared" ca="1" si="17"/>
        <v>-2.0254230760268221E-3</v>
      </c>
      <c r="H126" s="147">
        <f t="shared" ca="1" si="17"/>
        <v>-2.7263757888178586E-2</v>
      </c>
      <c r="V126" s="7"/>
      <c r="W126" s="147">
        <f t="shared" ca="1" si="19"/>
        <v>-1.3118994562174024E-2</v>
      </c>
      <c r="X126" s="147">
        <f t="shared" ca="1" si="18"/>
        <v>-2.0254230760268221E-3</v>
      </c>
      <c r="Y126" s="147">
        <f t="shared" ca="1" si="18"/>
        <v>-2.7263757888178586E-2</v>
      </c>
    </row>
    <row r="127" spans="1:25" x14ac:dyDescent="0.2">
      <c r="B127" s="7" t="s">
        <v>605</v>
      </c>
      <c r="C127" s="7"/>
      <c r="D127" s="300">
        <f t="shared" si="16"/>
        <v>45139</v>
      </c>
      <c r="E127" s="7"/>
      <c r="F127" s="147">
        <f t="shared" ca="1" si="17"/>
        <v>9.0956922841671783E-3</v>
      </c>
      <c r="G127" s="147">
        <f t="shared" ca="1" si="17"/>
        <v>2.0570492487188341E-2</v>
      </c>
      <c r="H127" s="147">
        <f t="shared" ca="1" si="17"/>
        <v>-3.5703342593939258E-2</v>
      </c>
      <c r="V127" s="7"/>
      <c r="W127" s="147">
        <f t="shared" ca="1" si="19"/>
        <v>9.0956922841671783E-3</v>
      </c>
      <c r="X127" s="147">
        <f t="shared" ca="1" si="18"/>
        <v>2.0570492487188341E-2</v>
      </c>
      <c r="Y127" s="147">
        <f t="shared" ca="1" si="18"/>
        <v>-3.5703342593939258E-2</v>
      </c>
    </row>
    <row r="128" spans="1:25" x14ac:dyDescent="0.2">
      <c r="B128" s="7" t="s">
        <v>605</v>
      </c>
      <c r="C128" s="7"/>
      <c r="D128" s="300">
        <f t="shared" si="16"/>
        <v>45108</v>
      </c>
      <c r="E128" s="7"/>
      <c r="F128" s="147">
        <f t="shared" ca="1" si="17"/>
        <v>2.5266682435893362E-2</v>
      </c>
      <c r="G128" s="147">
        <f t="shared" ca="1" si="17"/>
        <v>4.5110348628492059E-2</v>
      </c>
      <c r="H128" s="147">
        <f t="shared" ca="1" si="17"/>
        <v>-4.0089177916272756E-2</v>
      </c>
      <c r="V128" s="7"/>
      <c r="W128" s="147">
        <f t="shared" ca="1" si="19"/>
        <v>2.5266682435893362E-2</v>
      </c>
      <c r="X128" s="147">
        <f t="shared" ca="1" si="18"/>
        <v>4.5110348628492059E-2</v>
      </c>
      <c r="Y128" s="147">
        <f t="shared" ca="1" si="18"/>
        <v>-4.0089177916272756E-2</v>
      </c>
    </row>
    <row r="129" spans="1:25" x14ac:dyDescent="0.2">
      <c r="B129" s="7" t="s">
        <v>605</v>
      </c>
      <c r="C129" s="7"/>
      <c r="D129" s="300">
        <f t="shared" si="16"/>
        <v>45078</v>
      </c>
      <c r="E129" s="7"/>
      <c r="F129" s="147">
        <f t="shared" ca="1" si="17"/>
        <v>9.777316695672722E-3</v>
      </c>
      <c r="G129" s="147">
        <f t="shared" ca="1" si="17"/>
        <v>5.2250456830420511E-2</v>
      </c>
      <c r="H129" s="147">
        <f t="shared" ca="1" si="17"/>
        <v>-4.532778323630593E-2</v>
      </c>
      <c r="V129" s="7"/>
      <c r="W129" s="147">
        <f t="shared" ca="1" si="19"/>
        <v>9.777316695672722E-3</v>
      </c>
      <c r="X129" s="147">
        <f t="shared" ca="1" si="18"/>
        <v>5.2250456830420511E-2</v>
      </c>
      <c r="Y129" s="147">
        <f t="shared" ca="1" si="18"/>
        <v>-4.532778323630593E-2</v>
      </c>
    </row>
    <row r="130" spans="1:25" x14ac:dyDescent="0.2">
      <c r="B130" s="7" t="s">
        <v>605</v>
      </c>
      <c r="C130" s="7"/>
      <c r="D130" s="300">
        <f t="shared" si="16"/>
        <v>45047</v>
      </c>
      <c r="E130" s="7"/>
      <c r="F130" s="147">
        <f t="shared" ca="1" si="17"/>
        <v>3.2676003472606796E-2</v>
      </c>
      <c r="G130" s="147">
        <f t="shared" ca="1" si="17"/>
        <v>3.7371628781914801E-3</v>
      </c>
      <c r="H130" s="147">
        <f t="shared" ca="1" si="17"/>
        <v>-4.7360609664821807E-2</v>
      </c>
      <c r="V130" s="7"/>
      <c r="W130" s="147">
        <f t="shared" ca="1" si="19"/>
        <v>3.2676003472606796E-2</v>
      </c>
      <c r="X130" s="147">
        <f t="shared" ca="1" si="18"/>
        <v>3.7371628781914801E-3</v>
      </c>
      <c r="Y130" s="147">
        <f t="shared" ca="1" si="18"/>
        <v>-4.7360609664821807E-2</v>
      </c>
    </row>
    <row r="131" spans="1:25" x14ac:dyDescent="0.2">
      <c r="B131" s="7" t="s">
        <v>605</v>
      </c>
      <c r="C131" s="7"/>
      <c r="D131" s="300">
        <f t="shared" si="16"/>
        <v>45017</v>
      </c>
      <c r="E131" s="7"/>
      <c r="F131" s="147">
        <f t="shared" ca="1" si="17"/>
        <v>6.6597792416548174E-2</v>
      </c>
      <c r="G131" s="147">
        <f t="shared" ca="1" si="17"/>
        <v>-3.4272007733281096E-2</v>
      </c>
      <c r="H131" s="147">
        <f t="shared" ca="1" si="17"/>
        <v>-4.4378076824705626E-2</v>
      </c>
      <c r="V131" s="7"/>
      <c r="W131" s="147">
        <f t="shared" ca="1" si="19"/>
        <v>6.6597792416548174E-2</v>
      </c>
      <c r="X131" s="147">
        <f t="shared" ca="1" si="18"/>
        <v>-3.4272007733281096E-2</v>
      </c>
      <c r="Y131" s="147">
        <f t="shared" ca="1" si="18"/>
        <v>-4.4378076824705626E-2</v>
      </c>
    </row>
    <row r="132" spans="1:25" x14ac:dyDescent="0.2">
      <c r="B132" s="7" t="s">
        <v>605</v>
      </c>
      <c r="C132" s="7"/>
      <c r="D132" s="300">
        <f t="shared" si="16"/>
        <v>44986</v>
      </c>
      <c r="E132" s="7"/>
      <c r="F132" s="147">
        <f t="shared" si="17"/>
        <v>0.10010809101590157</v>
      </c>
      <c r="G132" s="147">
        <f t="shared" si="17"/>
        <v>-5.1758516305738356E-2</v>
      </c>
      <c r="H132" s="147">
        <f t="shared" si="17"/>
        <v>-3.8298701164099502E-2</v>
      </c>
      <c r="V132" s="7"/>
      <c r="W132" s="147">
        <f t="shared" si="19"/>
        <v>0.10010809101590157</v>
      </c>
      <c r="X132" s="147">
        <f t="shared" si="18"/>
        <v>-5.1758516305738356E-2</v>
      </c>
      <c r="Y132" s="147">
        <f t="shared" si="18"/>
        <v>-3.8298701164099502E-2</v>
      </c>
    </row>
    <row r="133" spans="1:25" x14ac:dyDescent="0.2">
      <c r="B133" s="7" t="s">
        <v>605</v>
      </c>
      <c r="C133" s="7"/>
      <c r="D133" s="300">
        <f t="shared" si="16"/>
        <v>44958</v>
      </c>
      <c r="E133" s="7"/>
      <c r="F133" s="147">
        <f t="shared" ref="F133:G138" si="20">IF(F103="NA","NA",+F103-1)</f>
        <v>-2.5918086730485346E-2</v>
      </c>
      <c r="G133" s="147">
        <f t="shared" si="20"/>
        <v>-8.8387255455566027E-2</v>
      </c>
      <c r="H133" s="287"/>
      <c r="V133" s="7"/>
      <c r="W133" s="147">
        <f t="shared" si="19"/>
        <v>-2.5918086730485346E-2</v>
      </c>
      <c r="X133" s="147">
        <f t="shared" si="18"/>
        <v>-8.8387255455566027E-2</v>
      </c>
      <c r="Y133" s="287"/>
    </row>
    <row r="134" spans="1:25" x14ac:dyDescent="0.2">
      <c r="B134" s="7" t="s">
        <v>605</v>
      </c>
      <c r="C134" s="7"/>
      <c r="D134" s="300">
        <f t="shared" si="16"/>
        <v>44927</v>
      </c>
      <c r="E134" s="7"/>
      <c r="F134" s="147">
        <f t="shared" si="20"/>
        <v>-0.11847523162027418</v>
      </c>
      <c r="G134" s="147">
        <f t="shared" si="20"/>
        <v>-0.11068934539176767</v>
      </c>
      <c r="H134" s="287"/>
      <c r="V134" s="7"/>
      <c r="W134" s="147">
        <f t="shared" si="19"/>
        <v>-0.11847523162027418</v>
      </c>
      <c r="X134" s="147">
        <f t="shared" si="18"/>
        <v>-0.11068934539176767</v>
      </c>
      <c r="Y134" s="287"/>
    </row>
    <row r="135" spans="1:25" x14ac:dyDescent="0.2">
      <c r="B135" s="7" t="s">
        <v>605</v>
      </c>
      <c r="C135" s="7"/>
      <c r="D135" s="300">
        <f t="shared" si="16"/>
        <v>44896</v>
      </c>
      <c r="E135" s="7"/>
      <c r="F135" s="147">
        <f t="shared" si="20"/>
        <v>-0.16053185151553429</v>
      </c>
      <c r="G135" s="147">
        <f t="shared" si="20"/>
        <v>-0.12216691393077372</v>
      </c>
      <c r="H135" s="287"/>
      <c r="V135" s="7"/>
      <c r="W135" s="147">
        <f t="shared" si="19"/>
        <v>-0.16053185151553429</v>
      </c>
      <c r="X135" s="147">
        <f t="shared" si="18"/>
        <v>-0.12216691393077372</v>
      </c>
      <c r="Y135" s="287"/>
    </row>
    <row r="136" spans="1:25" x14ac:dyDescent="0.2">
      <c r="B136" s="7" t="s">
        <v>605</v>
      </c>
      <c r="C136" s="7"/>
      <c r="D136" s="300">
        <f t="shared" si="16"/>
        <v>44866</v>
      </c>
      <c r="E136" s="7"/>
      <c r="F136" s="147">
        <f t="shared" si="20"/>
        <v>-0.1383893561055658</v>
      </c>
      <c r="G136" s="147">
        <f t="shared" si="20"/>
        <v>-9.0952599397425393E-2</v>
      </c>
      <c r="H136" s="287"/>
      <c r="V136" s="7"/>
      <c r="W136" s="147">
        <f t="shared" si="19"/>
        <v>-0.1383893561055658</v>
      </c>
      <c r="X136" s="147">
        <f t="shared" si="19"/>
        <v>-9.0952599397425393E-2</v>
      </c>
      <c r="Y136" s="287"/>
    </row>
    <row r="137" spans="1:25" x14ac:dyDescent="0.2">
      <c r="B137" s="7" t="s">
        <v>605</v>
      </c>
      <c r="C137" s="7"/>
      <c r="D137" s="300">
        <f t="shared" si="16"/>
        <v>44835</v>
      </c>
      <c r="E137" s="7"/>
      <c r="F137" s="147">
        <f t="shared" si="20"/>
        <v>-0.10359989284557736</v>
      </c>
      <c r="G137" s="147">
        <f t="shared" si="20"/>
        <v>-5.367025561163985E-2</v>
      </c>
      <c r="H137" s="287"/>
      <c r="V137" s="7"/>
      <c r="W137" s="147">
        <f t="shared" si="19"/>
        <v>-0.10359989284557736</v>
      </c>
      <c r="X137" s="147">
        <f t="shared" si="19"/>
        <v>-5.367025561163985E-2</v>
      </c>
      <c r="Y137" s="287"/>
    </row>
    <row r="138" spans="1:25" x14ac:dyDescent="0.2">
      <c r="B138" s="7" t="s">
        <v>605</v>
      </c>
      <c r="C138" s="7"/>
      <c r="D138" s="300">
        <f t="shared" si="16"/>
        <v>44805</v>
      </c>
      <c r="E138" s="7"/>
      <c r="F138" s="147">
        <f t="shared" si="20"/>
        <v>-8.1109676981162004E-2</v>
      </c>
      <c r="G138" s="147">
        <f t="shared" si="20"/>
        <v>-2.477386655819136E-2</v>
      </c>
      <c r="H138" s="287"/>
      <c r="V138" s="7"/>
      <c r="W138" s="147">
        <f t="shared" si="19"/>
        <v>-8.1109676981162004E-2</v>
      </c>
      <c r="X138" s="147">
        <f t="shared" si="19"/>
        <v>-2.477386655819136E-2</v>
      </c>
      <c r="Y138" s="287"/>
    </row>
    <row r="139" spans="1:25" x14ac:dyDescent="0.2">
      <c r="B139" s="7" t="s">
        <v>605</v>
      </c>
      <c r="C139" s="7"/>
      <c r="D139" s="300">
        <f t="shared" si="16"/>
        <v>44774</v>
      </c>
      <c r="E139" s="7"/>
      <c r="F139" s="147">
        <f>IF(F109="NA","NA",+F109-1)</f>
        <v>-3.8228917618885694E-2</v>
      </c>
      <c r="G139" s="287"/>
      <c r="H139" s="287"/>
      <c r="V139" s="7"/>
      <c r="W139" s="147">
        <f t="shared" si="19"/>
        <v>-3.8228917618885694E-2</v>
      </c>
      <c r="X139" s="287"/>
      <c r="Y139" s="287"/>
    </row>
    <row r="140" spans="1:25" x14ac:dyDescent="0.2">
      <c r="B140" s="7" t="s">
        <v>605</v>
      </c>
      <c r="C140" s="7"/>
      <c r="D140" s="300">
        <f t="shared" si="16"/>
        <v>44743</v>
      </c>
      <c r="E140" s="7"/>
      <c r="F140" s="147">
        <f>IF(F110="NA","NA",+F110-1)</f>
        <v>7.4442625310535693E-3</v>
      </c>
      <c r="G140" s="287"/>
      <c r="H140" s="287"/>
      <c r="V140" s="7"/>
      <c r="W140" s="147">
        <f t="shared" si="19"/>
        <v>7.4442625310535693E-3</v>
      </c>
      <c r="X140" s="287"/>
      <c r="Y140" s="287"/>
    </row>
    <row r="141" spans="1:25" x14ac:dyDescent="0.2">
      <c r="B141" s="7" t="s">
        <v>605</v>
      </c>
      <c r="C141" s="7"/>
      <c r="D141" s="300">
        <f t="shared" si="16"/>
        <v>44713</v>
      </c>
      <c r="E141" s="7"/>
      <c r="F141" s="147">
        <f>IF(F111="NA","NA",+F111-1)</f>
        <v>4.3276712875373269E-2</v>
      </c>
      <c r="G141" s="287"/>
      <c r="H141" s="287"/>
      <c r="V141" s="7"/>
      <c r="W141" s="147">
        <f t="shared" si="19"/>
        <v>4.3276712875373269E-2</v>
      </c>
      <c r="X141" s="287"/>
      <c r="Y141" s="287"/>
    </row>
    <row r="142" spans="1:25" x14ac:dyDescent="0.2">
      <c r="B142" s="7"/>
      <c r="C142" s="7"/>
      <c r="D142" s="300"/>
      <c r="E142" s="7"/>
      <c r="F142" s="147"/>
      <c r="G142" s="287"/>
      <c r="H142" s="287"/>
      <c r="V142" s="7"/>
      <c r="W142" s="147"/>
      <c r="X142" s="287"/>
      <c r="Y142" s="287"/>
    </row>
    <row r="144" spans="1:25" x14ac:dyDescent="0.2">
      <c r="A144" s="284"/>
      <c r="C144" s="125" t="s">
        <v>580</v>
      </c>
      <c r="D144" s="11"/>
      <c r="G144" s="1"/>
      <c r="L144" s="67"/>
      <c r="M144" s="67"/>
    </row>
    <row r="145" spans="1:25" x14ac:dyDescent="0.2">
      <c r="A145" s="284"/>
      <c r="G145" s="1"/>
      <c r="L145" s="67"/>
      <c r="M145" s="67"/>
    </row>
    <row r="146" spans="1:25" x14ac:dyDescent="0.2">
      <c r="C146" s="2" t="s">
        <v>96</v>
      </c>
      <c r="F146" s="125" t="s">
        <v>579</v>
      </c>
      <c r="G146" s="11"/>
      <c r="I146" s="9" t="s">
        <v>575</v>
      </c>
      <c r="J146" s="11"/>
      <c r="L146" s="125" t="s">
        <v>579</v>
      </c>
      <c r="M146" s="11"/>
      <c r="O146" s="9" t="s">
        <v>576</v>
      </c>
      <c r="P146" s="11"/>
      <c r="R146" s="125" t="s">
        <v>579</v>
      </c>
      <c r="S146" s="11"/>
      <c r="U146" s="125" t="s">
        <v>600</v>
      </c>
      <c r="V146" s="11"/>
      <c r="X146" s="125" t="s">
        <v>579</v>
      </c>
      <c r="Y146" s="11"/>
    </row>
    <row r="147" spans="1:25" x14ac:dyDescent="0.2">
      <c r="A147" s="38" t="s">
        <v>41</v>
      </c>
      <c r="B147" s="8" t="s">
        <v>591</v>
      </c>
      <c r="C147" s="8" t="s">
        <v>101</v>
      </c>
      <c r="D147" s="8" t="s">
        <v>236</v>
      </c>
      <c r="E147" s="8"/>
      <c r="F147" s="8" t="s">
        <v>260</v>
      </c>
      <c r="G147" s="8" t="s">
        <v>236</v>
      </c>
      <c r="I147" s="8" t="s">
        <v>260</v>
      </c>
      <c r="J147" s="8" t="s">
        <v>236</v>
      </c>
      <c r="L147" s="8" t="s">
        <v>260</v>
      </c>
      <c r="M147" s="8" t="s">
        <v>236</v>
      </c>
      <c r="O147" s="8" t="s">
        <v>260</v>
      </c>
      <c r="P147" s="8" t="s">
        <v>236</v>
      </c>
      <c r="R147" s="8" t="s">
        <v>260</v>
      </c>
      <c r="S147" s="8" t="s">
        <v>236</v>
      </c>
      <c r="U147" s="8" t="s">
        <v>260</v>
      </c>
      <c r="V147" s="8" t="s">
        <v>236</v>
      </c>
      <c r="X147" s="8" t="s">
        <v>260</v>
      </c>
      <c r="Y147" s="8" t="s">
        <v>236</v>
      </c>
    </row>
    <row r="148" spans="1:25" x14ac:dyDescent="0.2">
      <c r="A148" s="121">
        <f>Transport!A20</f>
        <v>44287</v>
      </c>
      <c r="B148" s="15">
        <f>Transport!I20</f>
        <v>1</v>
      </c>
      <c r="C148" s="73">
        <f>Transport!F20</f>
        <v>35.869891317541402</v>
      </c>
      <c r="D148" s="73">
        <f t="shared" ref="D148:D183" si="21">+C148*B148</f>
        <v>35.869891317541402</v>
      </c>
      <c r="E148" s="73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U148" s="7"/>
      <c r="V148" s="7"/>
      <c r="W148" s="7"/>
      <c r="X148" s="7"/>
      <c r="Y148" s="7"/>
    </row>
    <row r="149" spans="1:25" x14ac:dyDescent="0.2">
      <c r="A149" s="280">
        <f>Transport!A21</f>
        <v>44317</v>
      </c>
      <c r="B149" s="282">
        <f>Transport!I21</f>
        <v>1</v>
      </c>
      <c r="C149" s="281">
        <f>Transport!F21</f>
        <v>36.591966235234068</v>
      </c>
      <c r="D149" s="281">
        <f t="shared" si="21"/>
        <v>36.591966235234068</v>
      </c>
      <c r="E149" s="281"/>
      <c r="F149" s="10"/>
      <c r="G149" s="10"/>
      <c r="H149" s="10"/>
      <c r="I149" s="281">
        <f t="shared" ref="I149:I182" si="22">AVERAGE(C148:C150)</f>
        <v>37.084129648463552</v>
      </c>
      <c r="J149" s="281">
        <f t="shared" ref="J149:J182" si="23">AVERAGE(D148:D150)</f>
        <v>37.084129648463552</v>
      </c>
      <c r="K149" s="10"/>
      <c r="L149" s="10"/>
      <c r="M149" s="10"/>
      <c r="N149" s="10"/>
      <c r="O149" s="281"/>
      <c r="P149" s="281"/>
      <c r="Q149" s="10"/>
      <c r="R149" s="10"/>
      <c r="S149" s="10"/>
      <c r="U149" s="281"/>
      <c r="V149" s="281"/>
      <c r="W149" s="10"/>
      <c r="X149" s="10"/>
      <c r="Y149" s="10"/>
    </row>
    <row r="150" spans="1:25" x14ac:dyDescent="0.2">
      <c r="A150" s="280">
        <f>Transport!A22</f>
        <v>44348</v>
      </c>
      <c r="B150" s="282">
        <f>Transport!I22</f>
        <v>1</v>
      </c>
      <c r="C150" s="281">
        <f>Transport!F22</f>
        <v>38.790531392615186</v>
      </c>
      <c r="D150" s="281">
        <f t="shared" si="21"/>
        <v>38.790531392615186</v>
      </c>
      <c r="E150" s="281"/>
      <c r="F150" s="10"/>
      <c r="G150" s="10"/>
      <c r="H150" s="10"/>
      <c r="I150" s="281">
        <f t="shared" si="22"/>
        <v>38.577628749314165</v>
      </c>
      <c r="J150" s="281">
        <f t="shared" si="23"/>
        <v>38.577628749314165</v>
      </c>
      <c r="K150" s="10"/>
      <c r="L150" s="10"/>
      <c r="M150" s="10"/>
      <c r="N150" s="10"/>
      <c r="O150" s="281"/>
      <c r="P150" s="281"/>
      <c r="Q150" s="10"/>
      <c r="R150" s="10"/>
      <c r="S150" s="10"/>
      <c r="U150" s="281"/>
      <c r="V150" s="281"/>
      <c r="W150" s="10"/>
      <c r="X150" s="10"/>
      <c r="Y150" s="10"/>
    </row>
    <row r="151" spans="1:25" x14ac:dyDescent="0.2">
      <c r="A151" s="280">
        <f>Transport!A23</f>
        <v>44378</v>
      </c>
      <c r="B151" s="282">
        <f>Transport!I23</f>
        <v>1</v>
      </c>
      <c r="C151" s="281">
        <f>Transport!F23</f>
        <v>40.350388620093234</v>
      </c>
      <c r="D151" s="281">
        <f t="shared" si="21"/>
        <v>40.350388620093234</v>
      </c>
      <c r="E151" s="281"/>
      <c r="F151" s="10"/>
      <c r="G151" s="10"/>
      <c r="H151" s="10"/>
      <c r="I151" s="281">
        <f t="shared" si="22"/>
        <v>42.313181658837323</v>
      </c>
      <c r="J151" s="281">
        <f t="shared" si="23"/>
        <v>42.313181658837323</v>
      </c>
      <c r="K151" s="10"/>
      <c r="L151" s="10"/>
      <c r="M151" s="10"/>
      <c r="N151" s="10"/>
      <c r="O151" s="281">
        <f t="shared" ref="O151:O181" si="24">AVERAGE(C148:C153)</f>
        <v>40.939865542994518</v>
      </c>
      <c r="P151" s="281">
        <f t="shared" ref="P151:P181" si="25">AVERAGE(D148:D153)</f>
        <v>40.939865542994518</v>
      </c>
      <c r="Q151" s="10"/>
      <c r="R151" s="10"/>
      <c r="S151" s="10"/>
      <c r="U151" s="281"/>
      <c r="V151" s="281"/>
      <c r="W151" s="10"/>
      <c r="X151" s="10"/>
      <c r="Y151" s="10"/>
    </row>
    <row r="152" spans="1:25" x14ac:dyDescent="0.2">
      <c r="A152" s="280">
        <f>Transport!A24</f>
        <v>44409</v>
      </c>
      <c r="B152" s="282">
        <f>Transport!I24</f>
        <v>1</v>
      </c>
      <c r="C152" s="281">
        <f>Transport!F24</f>
        <v>47.798624963803547</v>
      </c>
      <c r="D152" s="281">
        <f t="shared" si="21"/>
        <v>47.798624963803547</v>
      </c>
      <c r="E152" s="281"/>
      <c r="F152" s="10"/>
      <c r="G152" s="10"/>
      <c r="H152" s="10"/>
      <c r="I152" s="281">
        <f t="shared" si="22"/>
        <v>44.795601437525484</v>
      </c>
      <c r="J152" s="281">
        <f t="shared" si="23"/>
        <v>44.795601437525484</v>
      </c>
      <c r="K152" s="10"/>
      <c r="L152" s="10"/>
      <c r="M152" s="10"/>
      <c r="N152" s="10"/>
      <c r="O152" s="281">
        <f t="shared" si="24"/>
        <v>42.898571251676138</v>
      </c>
      <c r="P152" s="281">
        <f t="shared" si="25"/>
        <v>42.898571251676138</v>
      </c>
      <c r="Q152" s="10"/>
      <c r="R152" s="10"/>
      <c r="S152" s="10"/>
      <c r="U152" s="281"/>
      <c r="V152" s="281"/>
      <c r="W152" s="10"/>
      <c r="X152" s="10"/>
      <c r="Y152" s="10"/>
    </row>
    <row r="153" spans="1:25" x14ac:dyDescent="0.2">
      <c r="A153" s="280">
        <f>Transport!A25</f>
        <v>44440</v>
      </c>
      <c r="B153" s="282">
        <f>Transport!I25</f>
        <v>1</v>
      </c>
      <c r="C153" s="281">
        <f>Transport!F25</f>
        <v>46.237790728679677</v>
      </c>
      <c r="D153" s="281">
        <f t="shared" si="21"/>
        <v>46.237790728679677</v>
      </c>
      <c r="E153" s="281"/>
      <c r="F153" s="10"/>
      <c r="G153" s="10"/>
      <c r="H153" s="10"/>
      <c r="I153" s="281">
        <f t="shared" si="22"/>
        <v>47.219513754038104</v>
      </c>
      <c r="J153" s="281">
        <f t="shared" si="23"/>
        <v>47.219513754038104</v>
      </c>
      <c r="K153" s="10"/>
      <c r="L153" s="10"/>
      <c r="M153" s="10"/>
      <c r="N153" s="10"/>
      <c r="O153" s="281">
        <f t="shared" si="24"/>
        <v>44.671127653088661</v>
      </c>
      <c r="P153" s="281">
        <f t="shared" si="25"/>
        <v>44.671127653088661</v>
      </c>
      <c r="Q153" s="10"/>
      <c r="R153" s="10"/>
      <c r="S153" s="10"/>
      <c r="U153" s="281">
        <f t="shared" ref="U153:U177" si="26">AVERAGE(C148:C159)</f>
        <v>41.038748332128741</v>
      </c>
      <c r="V153" s="281">
        <f t="shared" ref="V153:V177" si="27">AVERAGE(D148:D159)</f>
        <v>41.038748332128741</v>
      </c>
      <c r="W153" s="10"/>
      <c r="X153" s="10"/>
      <c r="Y153" s="10"/>
    </row>
    <row r="154" spans="1:25" x14ac:dyDescent="0.2">
      <c r="A154" s="280">
        <f>Transport!A26</f>
        <v>44470</v>
      </c>
      <c r="B154" s="282">
        <f>Transport!I26</f>
        <v>1</v>
      </c>
      <c r="C154" s="281">
        <f>Transport!F26</f>
        <v>47.622125569631088</v>
      </c>
      <c r="D154" s="281">
        <f t="shared" si="21"/>
        <v>47.622125569631088</v>
      </c>
      <c r="E154" s="281"/>
      <c r="F154" s="10"/>
      <c r="G154" s="10"/>
      <c r="H154" s="10"/>
      <c r="I154" s="281">
        <f t="shared" si="22"/>
        <v>47.029073647339999</v>
      </c>
      <c r="J154" s="281">
        <f t="shared" si="23"/>
        <v>47.029073647339999</v>
      </c>
      <c r="K154" s="10"/>
      <c r="L154" s="10"/>
      <c r="M154" s="10"/>
      <c r="N154" s="10"/>
      <c r="O154" s="281">
        <f t="shared" si="24"/>
        <v>46.367390379341394</v>
      </c>
      <c r="P154" s="281">
        <f t="shared" si="25"/>
        <v>46.367390379341394</v>
      </c>
      <c r="Q154" s="10"/>
      <c r="R154" s="10"/>
      <c r="S154" s="10"/>
      <c r="U154" s="281">
        <f t="shared" si="26"/>
        <v>41.17115721450773</v>
      </c>
      <c r="V154" s="281">
        <f t="shared" si="27"/>
        <v>41.17115721450773</v>
      </c>
      <c r="W154" s="10"/>
      <c r="X154" s="10"/>
      <c r="Y154" s="10"/>
    </row>
    <row r="155" spans="1:25" x14ac:dyDescent="0.2">
      <c r="A155" s="280">
        <f>Transport!A27</f>
        <v>44501</v>
      </c>
      <c r="B155" s="282">
        <f>Transport!I27</f>
        <v>1</v>
      </c>
      <c r="C155" s="281">
        <f>Transport!F27</f>
        <v>47.227304643709218</v>
      </c>
      <c r="D155" s="281">
        <f t="shared" si="21"/>
        <v>47.227304643709218</v>
      </c>
      <c r="E155" s="281"/>
      <c r="F155" s="10"/>
      <c r="G155" s="10"/>
      <c r="H155" s="10"/>
      <c r="I155" s="281">
        <f t="shared" si="22"/>
        <v>47.93917932115729</v>
      </c>
      <c r="J155" s="281">
        <f t="shared" si="23"/>
        <v>47.93917932115729</v>
      </c>
      <c r="K155" s="10"/>
      <c r="L155" s="10"/>
      <c r="M155" s="10"/>
      <c r="N155" s="10"/>
      <c r="O155" s="281">
        <f t="shared" si="24"/>
        <v>45.107662972008903</v>
      </c>
      <c r="P155" s="281">
        <f t="shared" si="25"/>
        <v>45.107662972008903</v>
      </c>
      <c r="Q155" s="10"/>
      <c r="R155" s="10"/>
      <c r="S155" s="10"/>
      <c r="U155" s="281">
        <f t="shared" si="26"/>
        <v>41.390243131381411</v>
      </c>
      <c r="V155" s="281">
        <f t="shared" si="27"/>
        <v>41.390243131381411</v>
      </c>
      <c r="W155" s="10"/>
      <c r="X155" s="10"/>
      <c r="Y155" s="10"/>
    </row>
    <row r="156" spans="1:25" x14ac:dyDescent="0.2">
      <c r="A156" s="280">
        <f>Transport!A28</f>
        <v>44531</v>
      </c>
      <c r="B156" s="282">
        <f>Transport!I28</f>
        <v>1</v>
      </c>
      <c r="C156" s="281">
        <f>Transport!F28</f>
        <v>48.96810775013158</v>
      </c>
      <c r="D156" s="281">
        <f t="shared" si="21"/>
        <v>48.96810775013158</v>
      </c>
      <c r="E156" s="281"/>
      <c r="F156" s="10"/>
      <c r="G156" s="10"/>
      <c r="H156" s="10"/>
      <c r="I156" s="281">
        <f t="shared" si="22"/>
        <v>42.995812189979681</v>
      </c>
      <c r="J156" s="281">
        <f t="shared" si="23"/>
        <v>42.995812189979681</v>
      </c>
      <c r="K156" s="10"/>
      <c r="L156" s="10"/>
      <c r="M156" s="10"/>
      <c r="N156" s="10"/>
      <c r="O156" s="281">
        <f t="shared" si="24"/>
        <v>42.336241369951502</v>
      </c>
      <c r="P156" s="281">
        <f t="shared" si="25"/>
        <v>42.336241369951502</v>
      </c>
      <c r="Q156" s="10"/>
      <c r="R156" s="10"/>
      <c r="S156" s="10"/>
      <c r="U156" s="281">
        <f t="shared" si="26"/>
        <v>41.439968139886162</v>
      </c>
      <c r="V156" s="281">
        <f t="shared" si="27"/>
        <v>41.439968139886162</v>
      </c>
      <c r="W156" s="10"/>
      <c r="X156" s="10"/>
      <c r="Y156" s="10"/>
    </row>
    <row r="157" spans="1:25" x14ac:dyDescent="0.2">
      <c r="A157" s="280">
        <f>Transport!A29</f>
        <v>44562</v>
      </c>
      <c r="B157" s="282">
        <f>Transport!I29</f>
        <v>1</v>
      </c>
      <c r="C157" s="281">
        <f>Transport!F29</f>
        <v>32.792024176098245</v>
      </c>
      <c r="D157" s="281">
        <f t="shared" si="21"/>
        <v>32.792024176098245</v>
      </c>
      <c r="E157" s="281"/>
      <c r="F157" s="10"/>
      <c r="G157" s="10"/>
      <c r="H157" s="10"/>
      <c r="I157" s="281">
        <f t="shared" si="22"/>
        <v>37.643409092562997</v>
      </c>
      <c r="J157" s="281">
        <f t="shared" si="23"/>
        <v>37.643409092562997</v>
      </c>
      <c r="K157" s="10"/>
      <c r="L157" s="10"/>
      <c r="M157" s="10"/>
      <c r="N157" s="10"/>
      <c r="O157" s="281">
        <f t="shared" si="24"/>
        <v>41.137631121262963</v>
      </c>
      <c r="P157" s="281">
        <f t="shared" si="25"/>
        <v>41.137631121262963</v>
      </c>
      <c r="Q157" s="10"/>
      <c r="R157" s="10"/>
      <c r="S157" s="10"/>
      <c r="U157" s="281">
        <f t="shared" si="26"/>
        <v>41.242952713566588</v>
      </c>
      <c r="V157" s="281">
        <f t="shared" si="27"/>
        <v>41.242952713566588</v>
      </c>
      <c r="W157" s="10"/>
      <c r="X157" s="10"/>
      <c r="Y157" s="10"/>
    </row>
    <row r="158" spans="1:25" x14ac:dyDescent="0.2">
      <c r="A158" s="280">
        <f>Transport!A30</f>
        <v>44593</v>
      </c>
      <c r="B158" s="282">
        <f>Transport!I30</f>
        <v>1</v>
      </c>
      <c r="C158" s="281">
        <f>Transport!F30</f>
        <v>31.17009535145916</v>
      </c>
      <c r="D158" s="281">
        <f t="shared" si="21"/>
        <v>31.17009535145916</v>
      </c>
      <c r="E158" s="281"/>
      <c r="F158" s="10"/>
      <c r="G158" s="10"/>
      <c r="H158" s="10"/>
      <c r="I158" s="281">
        <f t="shared" si="22"/>
        <v>34.336082921368636</v>
      </c>
      <c r="J158" s="281">
        <f t="shared" si="23"/>
        <v>34.336082921368636</v>
      </c>
      <c r="K158" s="10"/>
      <c r="L158" s="10"/>
      <c r="M158" s="10"/>
      <c r="N158" s="10"/>
      <c r="O158" s="281">
        <f t="shared" si="24"/>
        <v>39.443743177339329</v>
      </c>
      <c r="P158" s="281">
        <f t="shared" si="25"/>
        <v>39.443743177339329</v>
      </c>
      <c r="Q158" s="10"/>
      <c r="R158" s="10"/>
      <c r="S158" s="10"/>
      <c r="U158" s="281">
        <f t="shared" si="26"/>
        <v>40.985846347424257</v>
      </c>
      <c r="V158" s="281">
        <f t="shared" si="27"/>
        <v>40.985846347424257</v>
      </c>
      <c r="W158" s="10"/>
      <c r="X158" s="10"/>
      <c r="Y158" s="10"/>
    </row>
    <row r="159" spans="1:25" x14ac:dyDescent="0.2">
      <c r="A159" s="280">
        <f>Transport!A31</f>
        <v>44621</v>
      </c>
      <c r="B159" s="282">
        <f>Transport!I31</f>
        <v>1</v>
      </c>
      <c r="C159" s="281">
        <f>Transport!F31</f>
        <v>39.046129236548509</v>
      </c>
      <c r="D159" s="281">
        <f t="shared" si="21"/>
        <v>39.046129236548509</v>
      </c>
      <c r="E159" s="281"/>
      <c r="F159" s="10"/>
      <c r="G159" s="10"/>
      <c r="H159" s="10"/>
      <c r="I159" s="281">
        <f t="shared" si="22"/>
        <v>35.891674164698969</v>
      </c>
      <c r="J159" s="281">
        <f t="shared" si="23"/>
        <v>35.891674164698969</v>
      </c>
      <c r="K159" s="10"/>
      <c r="L159" s="10"/>
      <c r="M159" s="10"/>
      <c r="N159" s="10"/>
      <c r="O159" s="281">
        <f t="shared" si="24"/>
        <v>38.10935860967416</v>
      </c>
      <c r="P159" s="281">
        <f t="shared" si="25"/>
        <v>38.10935860967416</v>
      </c>
      <c r="Q159" s="10"/>
      <c r="R159" s="10"/>
      <c r="S159" s="10"/>
      <c r="U159" s="281">
        <f t="shared" si="26"/>
        <v>40.531628949192516</v>
      </c>
      <c r="V159" s="281">
        <f t="shared" si="27"/>
        <v>40.531628949192516</v>
      </c>
      <c r="W159" s="10"/>
      <c r="X159" s="10"/>
      <c r="Y159" s="10"/>
    </row>
    <row r="160" spans="1:25" x14ac:dyDescent="0.2">
      <c r="A160" s="280">
        <f>Transport!A32</f>
        <v>44652</v>
      </c>
      <c r="B160" s="282">
        <f>Transport!I32</f>
        <v>1</v>
      </c>
      <c r="C160" s="281">
        <f>Transport!F32</f>
        <v>37.458797906089245</v>
      </c>
      <c r="D160" s="281">
        <f t="shared" si="21"/>
        <v>37.458797906089245</v>
      </c>
      <c r="E160" s="281"/>
      <c r="F160" s="283">
        <f t="shared" ref="F160:F183" si="28">+C160/C148</f>
        <v>1.0442963870306132</v>
      </c>
      <c r="G160" s="283">
        <f t="shared" ref="G160:G183" si="29">+D160/D148</f>
        <v>1.0442963870306132</v>
      </c>
      <c r="H160" s="10"/>
      <c r="I160" s="281">
        <f t="shared" si="22"/>
        <v>38.575308126785323</v>
      </c>
      <c r="J160" s="281">
        <f t="shared" si="23"/>
        <v>38.575308126785323</v>
      </c>
      <c r="K160" s="10"/>
      <c r="L160" s="283"/>
      <c r="M160" s="283"/>
      <c r="N160" s="10"/>
      <c r="O160" s="281">
        <f t="shared" si="24"/>
        <v>36.512545900430929</v>
      </c>
      <c r="P160" s="281">
        <f t="shared" si="25"/>
        <v>36.512545900430929</v>
      </c>
      <c r="Q160" s="10"/>
      <c r="R160" s="283"/>
      <c r="S160" s="283"/>
      <c r="U160" s="281">
        <f t="shared" si="26"/>
        <v>40.019968572281932</v>
      </c>
      <c r="V160" s="281">
        <f t="shared" si="27"/>
        <v>40.019968572281932</v>
      </c>
      <c r="W160" s="10"/>
      <c r="X160" s="283"/>
      <c r="Y160" s="283"/>
    </row>
    <row r="161" spans="1:25" x14ac:dyDescent="0.2">
      <c r="A161" s="280">
        <f>Transport!A33</f>
        <v>44682</v>
      </c>
      <c r="B161" s="282">
        <f>Transport!I33</f>
        <v>1</v>
      </c>
      <c r="C161" s="281">
        <f>Transport!F33</f>
        <v>39.220997237718201</v>
      </c>
      <c r="D161" s="281">
        <f t="shared" si="21"/>
        <v>39.220997237718201</v>
      </c>
      <c r="E161" s="281"/>
      <c r="F161" s="283">
        <f t="shared" si="28"/>
        <v>1.0718472187469572</v>
      </c>
      <c r="G161" s="283">
        <f t="shared" si="29"/>
        <v>1.0718472187469572</v>
      </c>
      <c r="H161" s="10"/>
      <c r="I161" s="281">
        <f t="shared" si="22"/>
        <v>38.68900887949323</v>
      </c>
      <c r="J161" s="281">
        <f t="shared" si="23"/>
        <v>38.68900887949323</v>
      </c>
      <c r="K161" s="10"/>
      <c r="L161" s="283">
        <f t="shared" ref="L161:M182" si="30">+I161/I149</f>
        <v>1.0432767128753733</v>
      </c>
      <c r="M161" s="283">
        <f t="shared" si="30"/>
        <v>1.0432767128753733</v>
      </c>
      <c r="N161" s="10"/>
      <c r="O161" s="281">
        <f t="shared" si="24"/>
        <v>37.378242455124273</v>
      </c>
      <c r="P161" s="281">
        <f t="shared" si="25"/>
        <v>37.378242455124273</v>
      </c>
      <c r="Q161" s="10"/>
      <c r="R161" s="283"/>
      <c r="S161" s="283"/>
      <c r="U161" s="281">
        <f t="shared" si="26"/>
        <v>39.358765542350099</v>
      </c>
      <c r="V161" s="281">
        <f t="shared" si="27"/>
        <v>39.358765542350099</v>
      </c>
      <c r="W161" s="10"/>
      <c r="X161" s="283"/>
      <c r="Y161" s="283"/>
    </row>
    <row r="162" spans="1:25" x14ac:dyDescent="0.2">
      <c r="A162" s="280">
        <f>Transport!A34</f>
        <v>44713</v>
      </c>
      <c r="B162" s="282">
        <f>Transport!I34</f>
        <v>1</v>
      </c>
      <c r="C162" s="281">
        <f>Transport!F34</f>
        <v>39.387231494672243</v>
      </c>
      <c r="D162" s="281">
        <f t="shared" si="21"/>
        <v>39.387231494672243</v>
      </c>
      <c r="E162" s="281"/>
      <c r="F162" s="283">
        <f t="shared" si="28"/>
        <v>1.0153826225275855</v>
      </c>
      <c r="G162" s="283">
        <f t="shared" si="29"/>
        <v>1.0153826225275855</v>
      </c>
      <c r="H162" s="10"/>
      <c r="I162" s="281">
        <f t="shared" si="22"/>
        <v>38.864810745549583</v>
      </c>
      <c r="J162" s="281">
        <f t="shared" si="23"/>
        <v>38.864810745549583</v>
      </c>
      <c r="K162" s="10"/>
      <c r="L162" s="283">
        <f t="shared" si="30"/>
        <v>1.0074442625310536</v>
      </c>
      <c r="M162" s="283">
        <f t="shared" si="30"/>
        <v>1.0074442625310536</v>
      </c>
      <c r="N162" s="10"/>
      <c r="O162" s="281">
        <f t="shared" si="24"/>
        <v>39.635451324897012</v>
      </c>
      <c r="P162" s="281">
        <f t="shared" si="25"/>
        <v>39.635451324897012</v>
      </c>
      <c r="Q162" s="10"/>
      <c r="R162" s="283"/>
      <c r="S162" s="283"/>
      <c r="U162" s="281">
        <f t="shared" si="26"/>
        <v>38.607687645052373</v>
      </c>
      <c r="V162" s="281">
        <f t="shared" si="27"/>
        <v>38.607687645052373</v>
      </c>
      <c r="W162" s="10"/>
      <c r="X162" s="283"/>
      <c r="Y162" s="283"/>
    </row>
    <row r="163" spans="1:25" x14ac:dyDescent="0.2">
      <c r="A163" s="280">
        <f>Transport!A35</f>
        <v>44743</v>
      </c>
      <c r="B163" s="282">
        <f>Transport!I35</f>
        <v>1</v>
      </c>
      <c r="C163" s="281">
        <f>Transport!F35</f>
        <v>37.986203504258292</v>
      </c>
      <c r="D163" s="281">
        <f t="shared" si="21"/>
        <v>37.986203504258292</v>
      </c>
      <c r="E163" s="281"/>
      <c r="F163" s="283">
        <f t="shared" si="28"/>
        <v>0.94140861595921155</v>
      </c>
      <c r="G163" s="283">
        <f t="shared" si="29"/>
        <v>0.94140861595921155</v>
      </c>
      <c r="H163" s="10"/>
      <c r="I163" s="281">
        <f t="shared" si="22"/>
        <v>40.695594523008687</v>
      </c>
      <c r="J163" s="281">
        <f t="shared" si="23"/>
        <v>40.695594523008687</v>
      </c>
      <c r="K163" s="10"/>
      <c r="L163" s="283">
        <f t="shared" si="30"/>
        <v>0.96177108238111431</v>
      </c>
      <c r="M163" s="283">
        <f t="shared" si="30"/>
        <v>0.96177108238111431</v>
      </c>
      <c r="N163" s="10"/>
      <c r="O163" s="281">
        <f t="shared" si="24"/>
        <v>39.925626777122076</v>
      </c>
      <c r="P163" s="281">
        <f t="shared" si="25"/>
        <v>39.925626777122076</v>
      </c>
      <c r="Q163" s="10"/>
      <c r="R163" s="283">
        <f t="shared" ref="R163:R181" si="31">+O163/O151</f>
        <v>0.97522613344180864</v>
      </c>
      <c r="S163" s="283">
        <f t="shared" ref="S163:S181" si="32">+P163/P151</f>
        <v>0.97522613344180864</v>
      </c>
      <c r="U163" s="281">
        <f t="shared" si="26"/>
        <v>38.746483870304516</v>
      </c>
      <c r="V163" s="281">
        <f t="shared" si="27"/>
        <v>38.746483870304516</v>
      </c>
      <c r="W163" s="10"/>
      <c r="X163" s="283"/>
      <c r="Y163" s="283"/>
    </row>
    <row r="164" spans="1:25" x14ac:dyDescent="0.2">
      <c r="A164" s="280">
        <f>Transport!A36</f>
        <v>44774</v>
      </c>
      <c r="B164" s="282">
        <f>Transport!I36</f>
        <v>1</v>
      </c>
      <c r="C164" s="281">
        <f>Transport!F36</f>
        <v>44.71334857009554</v>
      </c>
      <c r="D164" s="281">
        <f t="shared" si="21"/>
        <v>44.71334857009554</v>
      </c>
      <c r="E164" s="281"/>
      <c r="F164" s="283">
        <f t="shared" si="28"/>
        <v>0.93545261195182094</v>
      </c>
      <c r="G164" s="283">
        <f t="shared" si="29"/>
        <v>0.93545261195182094</v>
      </c>
      <c r="H164" s="10"/>
      <c r="I164" s="281">
        <f t="shared" si="22"/>
        <v>41.162244674750916</v>
      </c>
      <c r="J164" s="281">
        <f t="shared" si="23"/>
        <v>41.162244674750916</v>
      </c>
      <c r="K164" s="10"/>
      <c r="L164" s="283">
        <f t="shared" si="30"/>
        <v>0.918890323018838</v>
      </c>
      <c r="M164" s="283">
        <f t="shared" si="30"/>
        <v>0.918890323018838</v>
      </c>
      <c r="N164" s="10"/>
      <c r="O164" s="281">
        <f t="shared" si="24"/>
        <v>40.596193967224536</v>
      </c>
      <c r="P164" s="281">
        <f t="shared" si="25"/>
        <v>40.596193967224536</v>
      </c>
      <c r="Q164" s="10"/>
      <c r="R164" s="283">
        <f t="shared" si="31"/>
        <v>0.94632974438836015</v>
      </c>
      <c r="S164" s="283">
        <f t="shared" si="32"/>
        <v>0.94632974438836015</v>
      </c>
      <c r="U164" s="281">
        <f t="shared" si="26"/>
        <v>39.114854256927053</v>
      </c>
      <c r="V164" s="281">
        <f t="shared" si="27"/>
        <v>39.114854256927053</v>
      </c>
      <c r="W164" s="10"/>
      <c r="X164" s="283"/>
      <c r="Y164" s="283"/>
    </row>
    <row r="165" spans="1:25" x14ac:dyDescent="0.2">
      <c r="A165" s="280">
        <f>Transport!A37</f>
        <v>44805</v>
      </c>
      <c r="B165" s="282">
        <f>Transport!I37</f>
        <v>1</v>
      </c>
      <c r="C165" s="281">
        <f>Transport!F37</f>
        <v>40.787181949898923</v>
      </c>
      <c r="D165" s="281">
        <f t="shared" si="21"/>
        <v>40.787181949898923</v>
      </c>
      <c r="E165" s="281"/>
      <c r="F165" s="283">
        <f t="shared" si="28"/>
        <v>0.88211788035538785</v>
      </c>
      <c r="G165" s="283">
        <f t="shared" si="29"/>
        <v>0.88211788035538785</v>
      </c>
      <c r="H165" s="10"/>
      <c r="I165" s="281">
        <f t="shared" si="22"/>
        <v>42.32757718889949</v>
      </c>
      <c r="J165" s="281">
        <f t="shared" si="23"/>
        <v>42.32757718889949</v>
      </c>
      <c r="K165" s="10"/>
      <c r="L165" s="283">
        <f t="shared" si="30"/>
        <v>0.89640010715442264</v>
      </c>
      <c r="M165" s="283">
        <f t="shared" si="30"/>
        <v>0.89640010715442264</v>
      </c>
      <c r="N165" s="10"/>
      <c r="O165" s="281">
        <f t="shared" si="24"/>
        <v>40.608172475026038</v>
      </c>
      <c r="P165" s="281">
        <f t="shared" si="25"/>
        <v>40.608172475026038</v>
      </c>
      <c r="Q165" s="10"/>
      <c r="R165" s="283">
        <f t="shared" si="31"/>
        <v>0.90904740060257461</v>
      </c>
      <c r="S165" s="283">
        <f t="shared" si="32"/>
        <v>0.90904740060257461</v>
      </c>
      <c r="U165" s="281">
        <f t="shared" si="26"/>
        <v>39.467017573607855</v>
      </c>
      <c r="V165" s="281">
        <f t="shared" si="27"/>
        <v>39.467017573607855</v>
      </c>
      <c r="W165" s="10"/>
      <c r="X165" s="283">
        <f t="shared" ref="X165:X177" si="33">+U165/U153</f>
        <v>0.9617012988359005</v>
      </c>
      <c r="Y165" s="283">
        <f t="shared" ref="Y165:Y177" si="34">+V165/V153</f>
        <v>0.9617012988359005</v>
      </c>
    </row>
    <row r="166" spans="1:25" x14ac:dyDescent="0.2">
      <c r="A166" s="280">
        <f>Transport!A38</f>
        <v>44835</v>
      </c>
      <c r="B166" s="282">
        <f>Transport!I38</f>
        <v>1</v>
      </c>
      <c r="C166" s="281">
        <f>Transport!F38</f>
        <v>41.482201046704006</v>
      </c>
      <c r="D166" s="281">
        <f t="shared" si="21"/>
        <v>41.482201046704006</v>
      </c>
      <c r="E166" s="281"/>
      <c r="F166" s="283">
        <f t="shared" si="28"/>
        <v>0.87106991866733163</v>
      </c>
      <c r="G166" s="283">
        <f t="shared" si="29"/>
        <v>0.87106991866733163</v>
      </c>
      <c r="H166" s="10"/>
      <c r="I166" s="281">
        <f t="shared" si="22"/>
        <v>40.520750427043382</v>
      </c>
      <c r="J166" s="281">
        <f t="shared" si="23"/>
        <v>40.520750427043382</v>
      </c>
      <c r="K166" s="10"/>
      <c r="L166" s="283">
        <f t="shared" si="30"/>
        <v>0.8616106438944342</v>
      </c>
      <c r="M166" s="283">
        <f t="shared" si="30"/>
        <v>0.8616106438944342</v>
      </c>
      <c r="N166" s="10"/>
      <c r="O166" s="281">
        <f t="shared" si="24"/>
        <v>40.702829389673809</v>
      </c>
      <c r="P166" s="281">
        <f t="shared" si="25"/>
        <v>40.702829389673809</v>
      </c>
      <c r="Q166" s="10"/>
      <c r="R166" s="283">
        <f t="shared" si="31"/>
        <v>0.87783308606922628</v>
      </c>
      <c r="S166" s="283">
        <f t="shared" si="32"/>
        <v>0.87783308606922628</v>
      </c>
      <c r="U166" s="281">
        <f t="shared" ca="1" si="26"/>
        <v>39.344060436680273</v>
      </c>
      <c r="V166" s="281">
        <f t="shared" ca="1" si="27"/>
        <v>39.344060436680273</v>
      </c>
      <c r="W166" s="10"/>
      <c r="X166" s="283">
        <f t="shared" ca="1" si="33"/>
        <v>0.95562192317529437</v>
      </c>
      <c r="Y166" s="283">
        <f t="shared" ca="1" si="34"/>
        <v>0.95562192317529437</v>
      </c>
    </row>
    <row r="167" spans="1:25" x14ac:dyDescent="0.2">
      <c r="A167" s="280">
        <f>Transport!A39</f>
        <v>44866</v>
      </c>
      <c r="B167" s="282">
        <f>Transport!I39</f>
        <v>1</v>
      </c>
      <c r="C167" s="281">
        <f>Transport!F39</f>
        <v>39.292868284527216</v>
      </c>
      <c r="D167" s="281">
        <f t="shared" si="21"/>
        <v>39.292868284527216</v>
      </c>
      <c r="E167" s="281"/>
      <c r="F167" s="283">
        <f t="shared" si="28"/>
        <v>0.83199472383527429</v>
      </c>
      <c r="G167" s="283">
        <f t="shared" si="29"/>
        <v>0.83199472383527429</v>
      </c>
      <c r="H167" s="10"/>
      <c r="I167" s="281">
        <f t="shared" si="22"/>
        <v>40.243414104596695</v>
      </c>
      <c r="J167" s="281">
        <f t="shared" si="23"/>
        <v>40.243414104596695</v>
      </c>
      <c r="K167" s="10"/>
      <c r="L167" s="283">
        <f t="shared" si="30"/>
        <v>0.83946814848446571</v>
      </c>
      <c r="M167" s="283">
        <f t="shared" si="30"/>
        <v>0.83946814848446571</v>
      </c>
      <c r="N167" s="10"/>
      <c r="O167" s="281">
        <f t="shared" si="24"/>
        <v>40.114725285484759</v>
      </c>
      <c r="P167" s="281">
        <f t="shared" si="25"/>
        <v>40.114725285484759</v>
      </c>
      <c r="Q167" s="10"/>
      <c r="R167" s="283">
        <f t="shared" si="31"/>
        <v>0.88931065460823233</v>
      </c>
      <c r="S167" s="283">
        <f t="shared" si="32"/>
        <v>0.88931065460823233</v>
      </c>
      <c r="U167" s="281">
        <f t="shared" ca="1" si="26"/>
        <v>39.429975982503983</v>
      </c>
      <c r="V167" s="281">
        <f t="shared" ca="1" si="27"/>
        <v>39.429975982503983</v>
      </c>
      <c r="W167" s="10"/>
      <c r="X167" s="283">
        <f t="shared" ca="1" si="33"/>
        <v>0.95263939033517819</v>
      </c>
      <c r="Y167" s="283">
        <f t="shared" ca="1" si="34"/>
        <v>0.95263939033517819</v>
      </c>
    </row>
    <row r="168" spans="1:25" x14ac:dyDescent="0.2">
      <c r="A168" s="280">
        <f>Transport!A40</f>
        <v>44896</v>
      </c>
      <c r="B168" s="282">
        <f>Transport!I40</f>
        <v>1</v>
      </c>
      <c r="C168" s="281">
        <f>Transport!F40</f>
        <v>39.955172982558864</v>
      </c>
      <c r="D168" s="281">
        <f t="shared" si="21"/>
        <v>39.955172982558864</v>
      </c>
      <c r="E168" s="281"/>
      <c r="F168" s="283">
        <f t="shared" si="28"/>
        <v>0.81594275985580644</v>
      </c>
      <c r="G168" s="283">
        <f t="shared" si="29"/>
        <v>0.81594275985580644</v>
      </c>
      <c r="H168" s="10"/>
      <c r="I168" s="281">
        <f t="shared" si="22"/>
        <v>37.901873382070029</v>
      </c>
      <c r="J168" s="281">
        <f t="shared" si="23"/>
        <v>37.901873382070029</v>
      </c>
      <c r="K168" s="10"/>
      <c r="L168" s="283">
        <f t="shared" si="30"/>
        <v>0.88152476837972582</v>
      </c>
      <c r="M168" s="283">
        <f t="shared" si="30"/>
        <v>0.88152476837972582</v>
      </c>
      <c r="N168" s="10"/>
      <c r="O168" s="281">
        <f t="shared" si="24"/>
        <v>38.594257188957094</v>
      </c>
      <c r="P168" s="281">
        <f t="shared" si="25"/>
        <v>38.594257188957094</v>
      </c>
      <c r="Q168" s="10"/>
      <c r="R168" s="283">
        <f t="shared" si="31"/>
        <v>0.91161274454443397</v>
      </c>
      <c r="S168" s="283">
        <f t="shared" si="32"/>
        <v>0.91161274454443397</v>
      </c>
      <c r="U168" s="281">
        <f t="shared" ca="1" si="26"/>
        <v>39.56158624672198</v>
      </c>
      <c r="V168" s="281">
        <f t="shared" ca="1" si="27"/>
        <v>39.56158624672198</v>
      </c>
      <c r="W168" s="10"/>
      <c r="X168" s="283">
        <f t="shared" ca="1" si="33"/>
        <v>0.95467221676369407</v>
      </c>
      <c r="Y168" s="283">
        <f t="shared" ca="1" si="34"/>
        <v>0.95467221676369407</v>
      </c>
    </row>
    <row r="169" spans="1:25" x14ac:dyDescent="0.2">
      <c r="A169" s="280">
        <f>Transport!A41</f>
        <v>44927</v>
      </c>
      <c r="B169" s="282">
        <f>Transport!I41</f>
        <v>1</v>
      </c>
      <c r="C169" s="281">
        <f>Transport!F41</f>
        <v>34.457578879124007</v>
      </c>
      <c r="D169" s="281">
        <f t="shared" si="21"/>
        <v>34.457578879124007</v>
      </c>
      <c r="E169" s="281"/>
      <c r="F169" s="283">
        <f t="shared" si="28"/>
        <v>1.0507914575227646</v>
      </c>
      <c r="G169" s="283">
        <f t="shared" si="29"/>
        <v>1.0507914575227646</v>
      </c>
      <c r="H169" s="10"/>
      <c r="I169" s="281">
        <f t="shared" si="22"/>
        <v>36.667763950870807</v>
      </c>
      <c r="J169" s="281">
        <f t="shared" si="23"/>
        <v>36.667763950870807</v>
      </c>
      <c r="K169" s="10"/>
      <c r="L169" s="283">
        <f t="shared" si="30"/>
        <v>0.97408191326951465</v>
      </c>
      <c r="M169" s="283">
        <f t="shared" si="30"/>
        <v>0.97408191326951465</v>
      </c>
      <c r="N169" s="10"/>
      <c r="O169" s="281">
        <f t="shared" si="24"/>
        <v>39.008408370093626</v>
      </c>
      <c r="P169" s="281">
        <f t="shared" si="25"/>
        <v>39.008408370093626</v>
      </c>
      <c r="Q169" s="10"/>
      <c r="R169" s="283">
        <f t="shared" si="31"/>
        <v>0.94824148369426164</v>
      </c>
      <c r="S169" s="283">
        <f t="shared" si="32"/>
        <v>0.94824148369426164</v>
      </c>
      <c r="U169" s="281">
        <f t="shared" ca="1" si="26"/>
        <v>39.589556644439995</v>
      </c>
      <c r="V169" s="281">
        <f t="shared" ca="1" si="27"/>
        <v>39.589556644439995</v>
      </c>
      <c r="W169" s="10"/>
      <c r="X169" s="283">
        <f t="shared" ca="1" si="33"/>
        <v>0.95991082208372724</v>
      </c>
      <c r="Y169" s="283">
        <f t="shared" ca="1" si="34"/>
        <v>0.95991082208372724</v>
      </c>
    </row>
    <row r="170" spans="1:25" x14ac:dyDescent="0.2">
      <c r="A170" s="280">
        <f>Transport!A42</f>
        <v>44958</v>
      </c>
      <c r="B170" s="282">
        <f>Transport!I42</f>
        <v>1</v>
      </c>
      <c r="C170" s="281">
        <f>Transport!F42</f>
        <v>35.59053999092955</v>
      </c>
      <c r="D170" s="281">
        <f t="shared" si="21"/>
        <v>35.59053999092955</v>
      </c>
      <c r="E170" s="281"/>
      <c r="F170" s="283">
        <f t="shared" si="28"/>
        <v>1.141816846872862</v>
      </c>
      <c r="G170" s="283">
        <f t="shared" si="29"/>
        <v>1.141816846872862</v>
      </c>
      <c r="H170" s="10"/>
      <c r="I170" s="281">
        <f t="shared" si="22"/>
        <v>37.77340263559055</v>
      </c>
      <c r="J170" s="281">
        <f t="shared" si="23"/>
        <v>37.77340263559055</v>
      </c>
      <c r="K170" s="10"/>
      <c r="L170" s="283">
        <f t="shared" si="30"/>
        <v>1.1001080910159016</v>
      </c>
      <c r="M170" s="283">
        <f t="shared" si="30"/>
        <v>1.1001080910159016</v>
      </c>
      <c r="N170" s="10"/>
      <c r="O170" s="281">
        <f t="shared" ca="1" si="24"/>
        <v>38.091926906136003</v>
      </c>
      <c r="P170" s="281">
        <f t="shared" ca="1" si="25"/>
        <v>38.091926906136003</v>
      </c>
      <c r="Q170" s="10"/>
      <c r="R170" s="283">
        <f t="shared" ca="1" si="31"/>
        <v>0.9657279922667189</v>
      </c>
      <c r="S170" s="283">
        <f t="shared" ca="1" si="32"/>
        <v>0.9657279922667189</v>
      </c>
      <c r="U170" s="281">
        <f t="shared" ca="1" si="26"/>
        <v>39.522514633779615</v>
      </c>
      <c r="V170" s="281">
        <f t="shared" ca="1" si="27"/>
        <v>39.522514633779615</v>
      </c>
      <c r="W170" s="10"/>
      <c r="X170" s="283">
        <f t="shared" ca="1" si="33"/>
        <v>0.96429665740606074</v>
      </c>
      <c r="Y170" s="283">
        <f t="shared" ca="1" si="34"/>
        <v>0.96429665740606074</v>
      </c>
    </row>
    <row r="171" spans="1:25" x14ac:dyDescent="0.2">
      <c r="A171" s="280">
        <f>Transport!A43</f>
        <v>44986</v>
      </c>
      <c r="B171" s="282">
        <f>Transport!I43</f>
        <v>1</v>
      </c>
      <c r="C171" s="281">
        <f>Transport!F43</f>
        <v>43.272089036718107</v>
      </c>
      <c r="D171" s="281">
        <f t="shared" si="21"/>
        <v>43.272089036718107</v>
      </c>
      <c r="E171" s="281"/>
      <c r="F171" s="283">
        <f t="shared" si="28"/>
        <v>1.1082299291324875</v>
      </c>
      <c r="G171" s="283">
        <f t="shared" si="29"/>
        <v>1.1082299291324875</v>
      </c>
      <c r="H171" s="10"/>
      <c r="I171" s="281">
        <f t="shared" ca="1" si="22"/>
        <v>38.281980430201976</v>
      </c>
      <c r="J171" s="281">
        <f t="shared" ca="1" si="23"/>
        <v>38.281980430201976</v>
      </c>
      <c r="K171" s="10"/>
      <c r="L171" s="283">
        <f t="shared" ca="1" si="30"/>
        <v>1.0665977924165482</v>
      </c>
      <c r="M171" s="283">
        <f t="shared" ca="1" si="30"/>
        <v>1.0665977924165482</v>
      </c>
      <c r="N171" s="10"/>
      <c r="O171" s="281">
        <f t="shared" ca="1" si="24"/>
        <v>38.251779489981921</v>
      </c>
      <c r="P171" s="281">
        <f t="shared" ca="1" si="25"/>
        <v>38.251779489981921</v>
      </c>
      <c r="Q171" s="10"/>
      <c r="R171" s="283">
        <f t="shared" ca="1" si="31"/>
        <v>1.0037371628781915</v>
      </c>
      <c r="S171" s="283">
        <f t="shared" ca="1" si="32"/>
        <v>1.0037371628781915</v>
      </c>
      <c r="U171" s="281">
        <f t="shared" ca="1" si="26"/>
        <v>39.426584430708239</v>
      </c>
      <c r="V171" s="281">
        <f t="shared" ca="1" si="27"/>
        <v>39.426584430708239</v>
      </c>
      <c r="W171" s="10"/>
      <c r="X171" s="283">
        <f t="shared" ca="1" si="33"/>
        <v>0.97273624211182141</v>
      </c>
      <c r="Y171" s="283">
        <f t="shared" ca="1" si="34"/>
        <v>0.97273624211182141</v>
      </c>
    </row>
    <row r="172" spans="1:25" x14ac:dyDescent="0.2">
      <c r="A172" s="280">
        <f>Transport!A44</f>
        <v>45017</v>
      </c>
      <c r="B172" s="282">
        <f>Transport!I44</f>
        <v>1</v>
      </c>
      <c r="C172" s="281">
        <f ca="1">Transport!F44</f>
        <v>35.983312262958279</v>
      </c>
      <c r="D172" s="281">
        <f t="shared" ca="1" si="21"/>
        <v>35.983312262958279</v>
      </c>
      <c r="E172" s="281"/>
      <c r="F172" s="283">
        <f t="shared" ca="1" si="28"/>
        <v>0.96061043798495427</v>
      </c>
      <c r="G172" s="283">
        <f t="shared" ca="1" si="29"/>
        <v>0.96061043798495427</v>
      </c>
      <c r="H172" s="10"/>
      <c r="I172" s="281">
        <f t="shared" ca="1" si="22"/>
        <v>39.835795029093035</v>
      </c>
      <c r="J172" s="281">
        <f t="shared" ca="1" si="23"/>
        <v>39.835795029093035</v>
      </c>
      <c r="K172" s="10"/>
      <c r="L172" s="283">
        <f t="shared" ca="1" si="30"/>
        <v>1.0326760034726068</v>
      </c>
      <c r="M172" s="283">
        <f t="shared" ca="1" si="30"/>
        <v>1.0326760034726068</v>
      </c>
      <c r="N172" s="10"/>
      <c r="O172" s="281">
        <f t="shared" ca="1" si="24"/>
        <v>38.420343103770144</v>
      </c>
      <c r="P172" s="281">
        <f t="shared" ca="1" si="25"/>
        <v>38.420343103770144</v>
      </c>
      <c r="Q172" s="10"/>
      <c r="R172" s="283">
        <f t="shared" ca="1" si="31"/>
        <v>1.0522504568304205</v>
      </c>
      <c r="S172" s="283">
        <f t="shared" ca="1" si="32"/>
        <v>1.0522504568304205</v>
      </c>
      <c r="U172" s="281">
        <f t="shared" ca="1" si="26"/>
        <v>39.749255694273252</v>
      </c>
      <c r="V172" s="281">
        <f t="shared" ca="1" si="27"/>
        <v>39.749255694273252</v>
      </c>
      <c r="W172" s="10"/>
      <c r="X172" s="283">
        <f t="shared" ca="1" si="33"/>
        <v>0.99323555495752747</v>
      </c>
      <c r="Y172" s="283">
        <f t="shared" ca="1" si="34"/>
        <v>0.99323555495752747</v>
      </c>
    </row>
    <row r="173" spans="1:25" x14ac:dyDescent="0.2">
      <c r="A173" s="280">
        <f>Transport!A45</f>
        <v>45047</v>
      </c>
      <c r="B173" s="282">
        <f>Transport!I45</f>
        <v>1</v>
      </c>
      <c r="C173" s="281">
        <f ca="1">Transport!F45</f>
        <v>40.251983787602725</v>
      </c>
      <c r="D173" s="281">
        <f t="shared" ca="1" si="21"/>
        <v>40.251983787602725</v>
      </c>
      <c r="E173" s="281"/>
      <c r="F173" s="283">
        <f t="shared" ca="1" si="28"/>
        <v>1.0262865970397368</v>
      </c>
      <c r="G173" s="283">
        <f t="shared" ca="1" si="29"/>
        <v>1.0262865970397368</v>
      </c>
      <c r="H173" s="10"/>
      <c r="I173" s="281">
        <f t="shared" ca="1" si="22"/>
        <v>39.06728357194973</v>
      </c>
      <c r="J173" s="281">
        <f t="shared" ca="1" si="23"/>
        <v>39.06728357194973</v>
      </c>
      <c r="K173" s="10"/>
      <c r="L173" s="283">
        <f t="shared" ca="1" si="30"/>
        <v>1.0097773166956727</v>
      </c>
      <c r="M173" s="283">
        <f t="shared" ca="1" si="30"/>
        <v>1.0097773166956727</v>
      </c>
      <c r="N173" s="10"/>
      <c r="O173" s="281">
        <f t="shared" ca="1" si="24"/>
        <v>39.06438800339523</v>
      </c>
      <c r="P173" s="281">
        <f t="shared" ca="1" si="25"/>
        <v>39.06438800339523</v>
      </c>
      <c r="Q173" s="10"/>
      <c r="R173" s="283">
        <f t="shared" ca="1" si="31"/>
        <v>1.0451103486284921</v>
      </c>
      <c r="S173" s="283">
        <f t="shared" ca="1" si="32"/>
        <v>1.0451103486284921</v>
      </c>
      <c r="U173" s="281">
        <f t="shared" ca="1" si="26"/>
        <v>39.983807624359322</v>
      </c>
      <c r="V173" s="281">
        <f t="shared" ca="1" si="27"/>
        <v>39.983807624359322</v>
      </c>
      <c r="W173" s="10"/>
      <c r="X173" s="283">
        <f t="shared" ca="1" si="33"/>
        <v>1.015880632265681</v>
      </c>
      <c r="Y173" s="283">
        <f t="shared" ca="1" si="34"/>
        <v>1.015880632265681</v>
      </c>
    </row>
    <row r="174" spans="1:25" x14ac:dyDescent="0.2">
      <c r="A174" s="280">
        <f>Transport!A46</f>
        <v>45078</v>
      </c>
      <c r="B174" s="282">
        <f>Transport!I46</f>
        <v>1</v>
      </c>
      <c r="C174" s="281">
        <f ca="1">Transport!F46</f>
        <v>40.966554665288186</v>
      </c>
      <c r="D174" s="281">
        <f t="shared" ca="1" si="21"/>
        <v>40.966554665288186</v>
      </c>
      <c r="E174" s="281"/>
      <c r="F174" s="283">
        <f t="shared" ca="1" si="28"/>
        <v>1.0400973389264379</v>
      </c>
      <c r="G174" s="283">
        <f t="shared" ca="1" si="29"/>
        <v>1.0400973389264379</v>
      </c>
      <c r="H174" s="10"/>
      <c r="I174" s="281">
        <f t="shared" ca="1" si="22"/>
        <v>39.846795576588477</v>
      </c>
      <c r="J174" s="281">
        <f t="shared" ca="1" si="23"/>
        <v>39.846795576588477</v>
      </c>
      <c r="K174" s="10"/>
      <c r="L174" s="283">
        <f t="shared" ca="1" si="30"/>
        <v>1.0252666824358934</v>
      </c>
      <c r="M174" s="283">
        <f t="shared" ca="1" si="30"/>
        <v>1.0252666824358934</v>
      </c>
      <c r="N174" s="10"/>
      <c r="O174" s="281">
        <f t="shared" ca="1" si="24"/>
        <v>40.450772078602121</v>
      </c>
      <c r="P174" s="281">
        <f t="shared" ca="1" si="25"/>
        <v>40.450772078602121</v>
      </c>
      <c r="Q174" s="10"/>
      <c r="R174" s="283">
        <f t="shared" ca="1" si="31"/>
        <v>1.0205704924871883</v>
      </c>
      <c r="S174" s="283">
        <f t="shared" ca="1" si="32"/>
        <v>1.0205704924871883</v>
      </c>
      <c r="U174" s="281">
        <f t="shared" ca="1" si="26"/>
        <v>39.965263084299359</v>
      </c>
      <c r="V174" s="281">
        <f t="shared" ca="1" si="27"/>
        <v>39.965263084299359</v>
      </c>
      <c r="W174" s="10"/>
      <c r="X174" s="283">
        <f t="shared" ca="1" si="33"/>
        <v>1.0351633449723312</v>
      </c>
      <c r="Y174" s="283">
        <f t="shared" ca="1" si="34"/>
        <v>1.0351633449723312</v>
      </c>
    </row>
    <row r="175" spans="1:25" x14ac:dyDescent="0.2">
      <c r="A175" s="280">
        <f>Transport!A47</f>
        <v>45108</v>
      </c>
      <c r="B175" s="282">
        <f>Transport!I47</f>
        <v>1</v>
      </c>
      <c r="C175" s="281">
        <f ca="1">Transport!F47</f>
        <v>38.321848276874519</v>
      </c>
      <c r="D175" s="281">
        <f t="shared" ca="1" si="21"/>
        <v>38.321848276874519</v>
      </c>
      <c r="E175" s="281"/>
      <c r="F175" s="283">
        <f t="shared" ca="1" si="28"/>
        <v>1.0088359652098058</v>
      </c>
      <c r="G175" s="283">
        <f t="shared" ca="1" si="29"/>
        <v>1.0088359652098058</v>
      </c>
      <c r="H175" s="10"/>
      <c r="I175" s="281">
        <f t="shared" ca="1" si="22"/>
        <v>41.065749128111214</v>
      </c>
      <c r="J175" s="281">
        <f t="shared" ca="1" si="23"/>
        <v>41.065749128111214</v>
      </c>
      <c r="K175" s="10"/>
      <c r="L175" s="283">
        <f t="shared" ca="1" si="30"/>
        <v>1.0090956922841672</v>
      </c>
      <c r="M175" s="283">
        <f t="shared" ca="1" si="30"/>
        <v>1.0090956922841672</v>
      </c>
      <c r="N175" s="10"/>
      <c r="O175" s="281">
        <f t="shared" ca="1" si="24"/>
        <v>39.844760491322859</v>
      </c>
      <c r="P175" s="281">
        <f t="shared" ca="1" si="25"/>
        <v>39.844760491322859</v>
      </c>
      <c r="Q175" s="10"/>
      <c r="R175" s="283">
        <f t="shared" ca="1" si="31"/>
        <v>0.99797457692397318</v>
      </c>
      <c r="S175" s="283">
        <f t="shared" ca="1" si="32"/>
        <v>0.99797457692397318</v>
      </c>
      <c r="U175" s="281">
        <f t="shared" ca="1" si="26"/>
        <v>40.18185711339013</v>
      </c>
      <c r="V175" s="281">
        <f t="shared" ca="1" si="27"/>
        <v>40.18185711339013</v>
      </c>
      <c r="W175" s="10"/>
      <c r="X175" s="283">
        <f t="shared" ca="1" si="33"/>
        <v>1.0370452515869624</v>
      </c>
      <c r="Y175" s="283">
        <f t="shared" ca="1" si="34"/>
        <v>1.0370452515869624</v>
      </c>
    </row>
    <row r="176" spans="1:25" x14ac:dyDescent="0.2">
      <c r="A176" s="280">
        <f>Transport!A48</f>
        <v>45139</v>
      </c>
      <c r="B176" s="282">
        <f>Transport!I48</f>
        <v>1</v>
      </c>
      <c r="C176" s="281">
        <f ca="1">Transport!F48</f>
        <v>43.908844442170953</v>
      </c>
      <c r="D176" s="281">
        <f t="shared" ca="1" si="21"/>
        <v>43.908844442170953</v>
      </c>
      <c r="E176" s="281"/>
      <c r="F176" s="283">
        <f t="shared" ca="1" si="28"/>
        <v>0.98200751780727413</v>
      </c>
      <c r="G176" s="283">
        <f t="shared" ca="1" si="29"/>
        <v>0.98200751780727413</v>
      </c>
      <c r="H176" s="10"/>
      <c r="I176" s="281">
        <f t="shared" ca="1" si="22"/>
        <v>40.62223741069598</v>
      </c>
      <c r="J176" s="281">
        <f t="shared" ca="1" si="23"/>
        <v>40.62223741069598</v>
      </c>
      <c r="K176" s="10"/>
      <c r="L176" s="283">
        <f t="shared" ca="1" si="30"/>
        <v>0.98688100543782598</v>
      </c>
      <c r="M176" s="283">
        <f t="shared" ca="1" si="30"/>
        <v>0.98688100543782598</v>
      </c>
      <c r="N176" s="10"/>
      <c r="O176" s="281">
        <f t="shared" ca="1" si="24"/>
        <v>41.406584482410494</v>
      </c>
      <c r="P176" s="281">
        <f t="shared" ca="1" si="25"/>
        <v>41.406584482410494</v>
      </c>
      <c r="Q176" s="10"/>
      <c r="R176" s="283">
        <f t="shared" ca="1" si="31"/>
        <v>1.0199622288690469</v>
      </c>
      <c r="S176" s="283">
        <f t="shared" ca="1" si="32"/>
        <v>1.0199622288690469</v>
      </c>
      <c r="U176" s="281">
        <f t="shared" ca="1" si="26"/>
        <v>40.344372293621184</v>
      </c>
      <c r="V176" s="281">
        <f t="shared" ca="1" si="27"/>
        <v>40.344372293621184</v>
      </c>
      <c r="W176" s="10"/>
      <c r="X176" s="283">
        <f t="shared" ca="1" si="33"/>
        <v>1.0314335323511117</v>
      </c>
      <c r="Y176" s="283">
        <f t="shared" ca="1" si="34"/>
        <v>1.0314335323511117</v>
      </c>
    </row>
    <row r="177" spans="1:25" x14ac:dyDescent="0.2">
      <c r="A177" s="280">
        <f>Transport!A49</f>
        <v>45170</v>
      </c>
      <c r="B177" s="282">
        <f>Transport!I49</f>
        <v>1</v>
      </c>
      <c r="C177" s="281">
        <f ca="1">Transport!F49</f>
        <v>39.63601951304247</v>
      </c>
      <c r="D177" s="281">
        <f t="shared" ca="1" si="21"/>
        <v>39.63601951304247</v>
      </c>
      <c r="E177" s="281"/>
      <c r="F177" s="283">
        <f t="shared" ca="1" si="28"/>
        <v>0.97177636743155027</v>
      </c>
      <c r="G177" s="283">
        <f t="shared" ca="1" si="29"/>
        <v>0.97177636743155027</v>
      </c>
      <c r="H177" s="10"/>
      <c r="I177" s="281">
        <f t="shared" ca="1" si="22"/>
        <v>42.966373388232512</v>
      </c>
      <c r="J177" s="281">
        <f t="shared" ca="1" si="23"/>
        <v>42.966373388232512</v>
      </c>
      <c r="K177" s="10"/>
      <c r="L177" s="283">
        <f t="shared" ca="1" si="30"/>
        <v>1.0150917260508958</v>
      </c>
      <c r="M177" s="283">
        <f t="shared" ca="1" si="30"/>
        <v>1.0150917260508958</v>
      </c>
      <c r="N177" s="10"/>
      <c r="O177" s="281">
        <f t="shared" ca="1" si="24"/>
        <v>41.715835758736723</v>
      </c>
      <c r="P177" s="281">
        <f t="shared" ca="1" si="25"/>
        <v>41.715835758736723</v>
      </c>
      <c r="Q177" s="10"/>
      <c r="R177" s="283">
        <f t="shared" ca="1" si="31"/>
        <v>1.0272768562631549</v>
      </c>
      <c r="S177" s="283">
        <f t="shared" ca="1" si="32"/>
        <v>1.0272768562631549</v>
      </c>
      <c r="U177" s="281">
        <f t="shared" ca="1" si="26"/>
        <v>40.225864772830683</v>
      </c>
      <c r="V177" s="281">
        <f t="shared" ca="1" si="27"/>
        <v>40.225864772830683</v>
      </c>
      <c r="W177" s="10"/>
      <c r="X177" s="283">
        <f t="shared" ca="1" si="33"/>
        <v>1.0192273763227115</v>
      </c>
      <c r="Y177" s="283">
        <f t="shared" ca="1" si="34"/>
        <v>1.0192273763227115</v>
      </c>
    </row>
    <row r="178" spans="1:25" x14ac:dyDescent="0.2">
      <c r="A178" s="280">
        <f>Transport!A50</f>
        <v>45200</v>
      </c>
      <c r="B178" s="282">
        <f>Transport!I50</f>
        <v>1</v>
      </c>
      <c r="C178" s="281">
        <f ca="1">Transport!F50</f>
        <v>45.354256209484092</v>
      </c>
      <c r="D178" s="281">
        <f t="shared" ca="1" si="21"/>
        <v>45.354256209484092</v>
      </c>
      <c r="E178" s="281"/>
      <c r="F178" s="283">
        <f t="shared" ca="1" si="28"/>
        <v>1.0933425677779396</v>
      </c>
      <c r="G178" s="283">
        <f t="shared" ca="1" si="29"/>
        <v>1.0933425677779396</v>
      </c>
      <c r="H178" s="10"/>
      <c r="I178" s="281">
        <f t="shared" ca="1" si="22"/>
        <v>42.365922389362225</v>
      </c>
      <c r="J178" s="281">
        <f t="shared" ca="1" si="23"/>
        <v>42.365922389362225</v>
      </c>
      <c r="K178" s="10"/>
      <c r="L178" s="283">
        <f t="shared" ca="1" si="30"/>
        <v>1.0455364706446153</v>
      </c>
      <c r="M178" s="283">
        <f t="shared" ca="1" si="30"/>
        <v>1.0455364706446153</v>
      </c>
      <c r="N178" s="10"/>
      <c r="O178" s="281">
        <f t="shared" ca="1" si="24"/>
        <v>41.510183064828567</v>
      </c>
      <c r="P178" s="281">
        <f t="shared" ca="1" si="25"/>
        <v>41.510183064828567</v>
      </c>
      <c r="Q178" s="10"/>
      <c r="R178" s="283">
        <f t="shared" ca="1" si="31"/>
        <v>1.0198353207199788</v>
      </c>
      <c r="S178" s="283">
        <f t="shared" ca="1" si="32"/>
        <v>1.0198353207199788</v>
      </c>
      <c r="U178" s="281"/>
      <c r="V178" s="281"/>
      <c r="W178" s="10"/>
      <c r="X178" s="283"/>
      <c r="Y178" s="283"/>
    </row>
    <row r="179" spans="1:25" x14ac:dyDescent="0.2">
      <c r="A179" s="280">
        <f>Transport!A51</f>
        <v>45231</v>
      </c>
      <c r="B179" s="282">
        <f>Transport!I51</f>
        <v>1</v>
      </c>
      <c r="C179" s="281">
        <f ca="1">Transport!F51</f>
        <v>42.107491445560107</v>
      </c>
      <c r="D179" s="281">
        <f t="shared" ca="1" si="21"/>
        <v>42.107491445560107</v>
      </c>
      <c r="E179" s="281"/>
      <c r="F179" s="283">
        <f t="shared" ca="1" si="28"/>
        <v>1.0716319088912436</v>
      </c>
      <c r="G179" s="283">
        <f t="shared" ca="1" si="29"/>
        <v>1.0716319088912436</v>
      </c>
      <c r="H179" s="10"/>
      <c r="I179" s="281">
        <f t="shared" ca="1" si="22"/>
        <v>42.398128718961154</v>
      </c>
      <c r="J179" s="281">
        <f t="shared" ca="1" si="23"/>
        <v>42.398128718961154</v>
      </c>
      <c r="K179" s="10"/>
      <c r="L179" s="283">
        <f t="shared" ca="1" si="30"/>
        <v>1.0535420431468399</v>
      </c>
      <c r="M179" s="283">
        <f t="shared" ca="1" si="30"/>
        <v>1.0535420431468399</v>
      </c>
      <c r="N179" s="10"/>
      <c r="O179" s="281">
        <f t="shared" ca="1" si="24"/>
        <v>41.299326223385044</v>
      </c>
      <c r="P179" s="281">
        <f t="shared" ca="1" si="25"/>
        <v>41.299326223385044</v>
      </c>
      <c r="Q179" s="10"/>
      <c r="R179" s="283">
        <f t="shared" ca="1" si="31"/>
        <v>1.0295303265688553</v>
      </c>
      <c r="S179" s="283">
        <f t="shared" ca="1" si="32"/>
        <v>1.0295303265688553</v>
      </c>
      <c r="U179" s="281"/>
      <c r="V179" s="281"/>
      <c r="W179" s="10"/>
      <c r="X179" s="283"/>
      <c r="Y179" s="283"/>
    </row>
    <row r="180" spans="1:25" x14ac:dyDescent="0.2">
      <c r="A180" s="280">
        <f>Transport!A52</f>
        <v>45261</v>
      </c>
      <c r="B180" s="282">
        <f>Transport!I52</f>
        <v>1</v>
      </c>
      <c r="C180" s="281">
        <f ca="1">Transport!F52</f>
        <v>39.732638501839261</v>
      </c>
      <c r="D180" s="281">
        <f t="shared" ca="1" si="21"/>
        <v>39.732638501839261</v>
      </c>
      <c r="E180" s="281"/>
      <c r="F180" s="283">
        <f t="shared" ca="1" si="28"/>
        <v>0.9944303962639145</v>
      </c>
      <c r="G180" s="283">
        <f t="shared" ca="1" si="29"/>
        <v>0.9944303962639145</v>
      </c>
      <c r="H180" s="10"/>
      <c r="I180" s="281">
        <f t="shared" ca="1" si="22"/>
        <v>39.63227905853757</v>
      </c>
      <c r="J180" s="281">
        <f t="shared" ca="1" si="23"/>
        <v>39.63227905853757</v>
      </c>
      <c r="K180" s="10"/>
      <c r="L180" s="283">
        <f t="shared" ca="1" si="30"/>
        <v>1.0456548851563134</v>
      </c>
      <c r="M180" s="283">
        <f t="shared" ca="1" si="30"/>
        <v>1.0456548851563134</v>
      </c>
      <c r="N180" s="10"/>
      <c r="O180" s="281">
        <f t="shared" ca="1" si="24"/>
        <v>40.237972508640247</v>
      </c>
      <c r="P180" s="281">
        <f t="shared" ca="1" si="25"/>
        <v>40.237972508640247</v>
      </c>
      <c r="Q180" s="10"/>
      <c r="R180" s="283">
        <f t="shared" ca="1" si="31"/>
        <v>1.0425896348162769</v>
      </c>
      <c r="S180" s="283">
        <f t="shared" ca="1" si="32"/>
        <v>1.0425896348162769</v>
      </c>
      <c r="U180" s="281"/>
      <c r="V180" s="281"/>
      <c r="W180" s="10"/>
      <c r="X180" s="283"/>
      <c r="Y180" s="283"/>
    </row>
    <row r="181" spans="1:25" x14ac:dyDescent="0.2">
      <c r="A181" s="280">
        <f>Transport!A53</f>
        <v>45292</v>
      </c>
      <c r="B181" s="282">
        <f>Transport!I53</f>
        <v>1</v>
      </c>
      <c r="C181" s="281">
        <f ca="1">Transport!F53</f>
        <v>37.056707228213348</v>
      </c>
      <c r="D181" s="281">
        <f t="shared" ca="1" si="21"/>
        <v>37.056707228213348</v>
      </c>
      <c r="E181" s="281"/>
      <c r="F181" s="283">
        <f t="shared" ca="1" si="28"/>
        <v>1.0754298019082245</v>
      </c>
      <c r="G181" s="283">
        <f t="shared" ca="1" si="29"/>
        <v>1.0754298019082245</v>
      </c>
      <c r="H181" s="10"/>
      <c r="I181" s="281">
        <f t="shared" ca="1" si="22"/>
        <v>38.110022627918276</v>
      </c>
      <c r="J181" s="281">
        <f t="shared" ca="1" si="23"/>
        <v>38.110022627918276</v>
      </c>
      <c r="K181" s="10"/>
      <c r="L181" s="283">
        <f t="shared" ca="1" si="30"/>
        <v>1.0393331504746206</v>
      </c>
      <c r="M181" s="283">
        <f t="shared" ca="1" si="30"/>
        <v>1.0393331504746206</v>
      </c>
      <c r="N181" s="10"/>
      <c r="O181" s="281">
        <f t="shared" ca="1" si="24"/>
        <v>40.606969054338499</v>
      </c>
      <c r="P181" s="281">
        <f t="shared" ca="1" si="25"/>
        <v>40.606969054338499</v>
      </c>
      <c r="Q181" s="10"/>
      <c r="R181" s="283">
        <f t="shared" ca="1" si="31"/>
        <v>1.0409799002583873</v>
      </c>
      <c r="S181" s="283">
        <f t="shared" ca="1" si="32"/>
        <v>1.0409799002583873</v>
      </c>
      <c r="U181" s="281"/>
      <c r="V181" s="281"/>
      <c r="W181" s="10"/>
      <c r="X181" s="283"/>
      <c r="Y181" s="283"/>
    </row>
    <row r="182" spans="1:25" x14ac:dyDescent="0.2">
      <c r="A182" s="280">
        <f>Transport!A54</f>
        <v>45323</v>
      </c>
      <c r="B182" s="282">
        <f>Transport!I54</f>
        <v>1</v>
      </c>
      <c r="C182" s="281">
        <f ca="1">Transport!F54</f>
        <v>37.540722153702205</v>
      </c>
      <c r="D182" s="281">
        <f t="shared" ca="1" si="21"/>
        <v>37.540722153702205</v>
      </c>
      <c r="E182" s="281"/>
      <c r="F182" s="283">
        <f t="shared" ca="1" si="28"/>
        <v>1.0547949585274534</v>
      </c>
      <c r="G182" s="283">
        <f t="shared" ca="1" si="29"/>
        <v>1.0547949585274534</v>
      </c>
      <c r="H182" s="10"/>
      <c r="I182" s="281">
        <f t="shared" ca="1" si="22"/>
        <v>38.815809389715845</v>
      </c>
      <c r="J182" s="281">
        <f t="shared" ca="1" si="23"/>
        <v>38.815809389715845</v>
      </c>
      <c r="K182" s="10"/>
      <c r="L182" s="283">
        <f t="shared" ca="1" si="30"/>
        <v>1.027596315962892</v>
      </c>
      <c r="M182" s="283">
        <f t="shared" ca="1" si="30"/>
        <v>1.027596315962892</v>
      </c>
      <c r="N182" s="10"/>
      <c r="O182" s="281"/>
      <c r="P182" s="281"/>
      <c r="Q182" s="10"/>
      <c r="R182" s="283"/>
      <c r="S182" s="283"/>
      <c r="U182" s="281"/>
      <c r="V182" s="281"/>
      <c r="W182" s="10"/>
      <c r="X182" s="283"/>
      <c r="Y182" s="283"/>
    </row>
    <row r="183" spans="1:25" x14ac:dyDescent="0.2">
      <c r="A183" s="280">
        <f>Transport!A55</f>
        <v>45352</v>
      </c>
      <c r="B183" s="282">
        <f>Transport!I55</f>
        <v>1</v>
      </c>
      <c r="C183" s="281">
        <f ca="1">Transport!F55</f>
        <v>41.849998787231975</v>
      </c>
      <c r="D183" s="281">
        <f t="shared" ca="1" si="21"/>
        <v>41.849998787231975</v>
      </c>
      <c r="E183" s="281"/>
      <c r="F183" s="283">
        <f t="shared" ca="1" si="28"/>
        <v>0.96713608514995819</v>
      </c>
      <c r="G183" s="283">
        <f t="shared" ca="1" si="29"/>
        <v>0.96713608514995819</v>
      </c>
      <c r="H183" s="10"/>
      <c r="I183" s="281"/>
      <c r="J183" s="281"/>
      <c r="K183" s="10"/>
      <c r="L183" s="283"/>
      <c r="M183" s="283"/>
      <c r="N183" s="10"/>
      <c r="O183" s="281"/>
      <c r="P183" s="281"/>
      <c r="Q183" s="10"/>
      <c r="R183" s="283"/>
      <c r="S183" s="283"/>
      <c r="U183" s="281"/>
      <c r="V183" s="281"/>
      <c r="W183" s="10"/>
      <c r="X183" s="283"/>
      <c r="Y183" s="283"/>
    </row>
    <row r="184" spans="1:25" x14ac:dyDescent="0.2">
      <c r="A184" s="289"/>
      <c r="B184" s="120"/>
      <c r="C184" s="141"/>
      <c r="D184" s="120"/>
      <c r="F184" s="290"/>
      <c r="G184" s="290"/>
      <c r="I184" s="120"/>
      <c r="J184" s="120"/>
      <c r="L184" s="290"/>
      <c r="M184" s="290"/>
      <c r="O184" s="120"/>
      <c r="P184" s="120"/>
      <c r="R184" s="290"/>
      <c r="S184" s="290"/>
      <c r="U184" s="120"/>
      <c r="V184" s="120"/>
      <c r="X184" s="290"/>
      <c r="Y184" s="290"/>
    </row>
    <row r="185" spans="1:25" ht="12.75" customHeight="1" x14ac:dyDescent="0.2">
      <c r="A185" s="291" t="s">
        <v>541</v>
      </c>
      <c r="B185" s="288" t="s">
        <v>50</v>
      </c>
      <c r="C185" s="7"/>
      <c r="D185" s="7"/>
      <c r="E185" s="7"/>
      <c r="F185" s="15">
        <f ca="1">AVERAGE(F160:F183)</f>
        <v>0.99819712147402517</v>
      </c>
      <c r="G185" s="15">
        <f ca="1">AVERAGE(G160:G183)</f>
        <v>0.99819712147402517</v>
      </c>
      <c r="H185" s="15"/>
      <c r="I185" s="15"/>
      <c r="J185" s="15"/>
      <c r="K185" s="15"/>
      <c r="L185" s="15">
        <f ca="1">AVERAGE(L161:L182)</f>
        <v>0.99280114259926089</v>
      </c>
      <c r="M185" s="15">
        <f ca="1">AVERAGE(M161:M182)</f>
        <v>0.99280114259926089</v>
      </c>
      <c r="N185" s="15"/>
      <c r="O185" s="15"/>
      <c r="P185" s="15"/>
      <c r="Q185" s="15"/>
      <c r="R185" s="287">
        <f ca="1">AVERAGE(R163:R181)</f>
        <v>0.98542876551892555</v>
      </c>
      <c r="S185" s="15">
        <f ca="1">AVERAGE(S163:S181)</f>
        <v>0.98542876551892555</v>
      </c>
      <c r="U185" s="15"/>
      <c r="V185" s="15"/>
      <c r="W185" s="15"/>
      <c r="X185" s="287">
        <f ca="1">AVERAGE(X165:X177)</f>
        <v>0.98873571101292324</v>
      </c>
      <c r="Y185" s="287">
        <f ca="1">AVERAGE(Y165:Y177)</f>
        <v>0.98873571101292324</v>
      </c>
    </row>
    <row r="186" spans="1:25" x14ac:dyDescent="0.2">
      <c r="B186" s="7" t="s">
        <v>582</v>
      </c>
      <c r="C186" s="7"/>
      <c r="D186" s="7"/>
      <c r="E186" s="7"/>
      <c r="F186" s="287">
        <f ca="1">AVERAGE(F166:F183)</f>
        <v>1.0036791988225009</v>
      </c>
      <c r="G186" s="287">
        <f ca="1">AVERAGE(G166:G183)</f>
        <v>1.0036791988225009</v>
      </c>
      <c r="H186" s="7"/>
      <c r="I186" s="287"/>
      <c r="J186" s="287"/>
      <c r="K186" s="7"/>
      <c r="L186" s="287">
        <f ca="1">AVERAGE(L165:L182)</f>
        <v>0.99501348646540855</v>
      </c>
      <c r="M186" s="287">
        <f ca="1">AVERAGE(M165:M182)</f>
        <v>0.99501348646540855</v>
      </c>
      <c r="N186" s="7"/>
      <c r="O186" s="7"/>
      <c r="P186" s="7"/>
      <c r="Q186" s="7"/>
      <c r="R186" s="283">
        <f ca="1">AVERAGE(R164:R181)</f>
        <v>0.98599557841209851</v>
      </c>
      <c r="S186" s="287">
        <f ca="1">AVERAGE(S164:S181)</f>
        <v>0.98599557841209851</v>
      </c>
      <c r="U186" s="7"/>
      <c r="V186" s="7"/>
      <c r="W186" s="7"/>
      <c r="X186" s="283">
        <f ca="1">+X185</f>
        <v>0.98873571101292324</v>
      </c>
      <c r="Y186" s="283">
        <f ca="1">+Y185</f>
        <v>0.98873571101292324</v>
      </c>
    </row>
    <row r="187" spans="1:25" x14ac:dyDescent="0.2">
      <c r="B187" s="10" t="s">
        <v>583</v>
      </c>
      <c r="C187" s="10"/>
      <c r="D187" s="10"/>
      <c r="E187" s="10"/>
      <c r="F187" s="283">
        <f ca="1">AVERAGE(F172:F183)</f>
        <v>1.0205316619098745</v>
      </c>
      <c r="G187" s="283">
        <f ca="1">AVERAGE(G172:G183)</f>
        <v>1.0205316619098745</v>
      </c>
      <c r="H187" s="10"/>
      <c r="I187" s="283"/>
      <c r="J187" s="283"/>
      <c r="K187" s="10"/>
      <c r="L187" s="283">
        <f ca="1">AVERAGE(L171:L182)</f>
        <v>1.0297540903482407</v>
      </c>
      <c r="M187" s="283">
        <f ca="1">AVERAGE(M171:M182)</f>
        <v>1.0297540903482407</v>
      </c>
      <c r="N187" s="10"/>
      <c r="O187" s="10"/>
      <c r="P187" s="10"/>
      <c r="Q187" s="10"/>
      <c r="R187" s="283">
        <f ca="1">AVERAGE(R170:R181)</f>
        <v>1.0221287747925569</v>
      </c>
      <c r="S187" s="283">
        <f ca="1">AVERAGE(S170:S181)</f>
        <v>1.0221287747925569</v>
      </c>
      <c r="U187" s="10"/>
      <c r="V187" s="10"/>
      <c r="W187" s="10"/>
      <c r="X187" s="283">
        <f ca="1">AVERAGE(X166:X177)</f>
        <v>0.99098857869434165</v>
      </c>
      <c r="Y187" s="283">
        <f ca="1">AVERAGE(Y166:Y177)</f>
        <v>0.99098857869434165</v>
      </c>
    </row>
    <row r="188" spans="1:25" x14ac:dyDescent="0.2">
      <c r="B188" s="10" t="s">
        <v>584</v>
      </c>
      <c r="C188" s="10"/>
      <c r="D188" s="10"/>
      <c r="E188" s="10"/>
      <c r="F188" s="283">
        <f ca="1">AVERAGE(F178:F183)</f>
        <v>1.0427942864197888</v>
      </c>
      <c r="G188" s="283">
        <f ca="1">AVERAGE(G178:G183)</f>
        <v>1.0427942864197888</v>
      </c>
      <c r="H188" s="10"/>
      <c r="I188" s="10"/>
      <c r="J188" s="10"/>
      <c r="K188" s="10"/>
      <c r="L188" s="283">
        <f ca="1">AVERAGE(L177:L182)</f>
        <v>1.0377924319060294</v>
      </c>
      <c r="M188" s="283">
        <f ca="1">AVERAGE(M177:M182)</f>
        <v>1.0377924319060294</v>
      </c>
      <c r="N188" s="10"/>
      <c r="O188" s="10"/>
      <c r="P188" s="10"/>
      <c r="Q188" s="10"/>
      <c r="R188" s="283">
        <f ca="1">AVERAGE(R176:R181)</f>
        <v>1.0300290445826168</v>
      </c>
      <c r="S188" s="283">
        <f ca="1">AVERAGE(S176:S181)</f>
        <v>1.0300290445826168</v>
      </c>
      <c r="U188" s="10"/>
      <c r="V188" s="10"/>
      <c r="W188" s="10"/>
      <c r="X188" s="283">
        <f ca="1">AVERAGE(X172:X177)</f>
        <v>1.0219976154093875</v>
      </c>
      <c r="Y188" s="283">
        <f ca="1">AVERAGE(Y172:Y177)</f>
        <v>1.0219976154093875</v>
      </c>
    </row>
    <row r="190" spans="1:25" x14ac:dyDescent="0.2">
      <c r="A190" s="3" t="s">
        <v>585</v>
      </c>
      <c r="B190" s="16" t="s">
        <v>574</v>
      </c>
      <c r="C190" s="7"/>
      <c r="D190" s="7"/>
      <c r="E190" s="7"/>
      <c r="F190" s="147">
        <f t="shared" ref="F190:G193" ca="1" si="35">+F185-1</f>
        <v>-1.802878525974827E-3</v>
      </c>
      <c r="G190" s="147">
        <f t="shared" ca="1" si="35"/>
        <v>-1.802878525974827E-3</v>
      </c>
      <c r="H190" s="7"/>
      <c r="I190" s="7"/>
      <c r="J190" s="7"/>
      <c r="K190" s="7"/>
      <c r="L190" s="147">
        <f t="shared" ref="L190:M193" ca="1" si="36">+L185-1</f>
        <v>-7.1988574007391115E-3</v>
      </c>
      <c r="M190" s="147">
        <f t="shared" ca="1" si="36"/>
        <v>-7.1988574007391115E-3</v>
      </c>
      <c r="N190" s="7"/>
      <c r="O190" s="147"/>
      <c r="P190" s="147"/>
      <c r="Q190" s="7"/>
      <c r="R190" s="147">
        <f t="shared" ref="R190:S193" ca="1" si="37">+R185-1</f>
        <v>-1.4571234481074447E-2</v>
      </c>
      <c r="S190" s="147">
        <f t="shared" ca="1" si="37"/>
        <v>-1.4571234481074447E-2</v>
      </c>
      <c r="U190" s="147"/>
      <c r="V190" s="147"/>
      <c r="W190" s="7"/>
      <c r="X190" s="147">
        <f t="shared" ref="X190:Y193" ca="1" si="38">+X185-1</f>
        <v>-1.1264288987076765E-2</v>
      </c>
      <c r="Y190" s="147">
        <f t="shared" ca="1" si="38"/>
        <v>-1.1264288987076765E-2</v>
      </c>
    </row>
    <row r="191" spans="1:25" x14ac:dyDescent="0.2">
      <c r="B191" s="10" t="s">
        <v>582</v>
      </c>
      <c r="C191" s="10"/>
      <c r="D191" s="10"/>
      <c r="E191" s="10"/>
      <c r="F191" s="148">
        <f t="shared" ca="1" si="35"/>
        <v>3.6791988225008954E-3</v>
      </c>
      <c r="G191" s="148">
        <f t="shared" ca="1" si="35"/>
        <v>3.6791988225008954E-3</v>
      </c>
      <c r="H191" s="10"/>
      <c r="I191" s="10"/>
      <c r="J191" s="10"/>
      <c r="K191" s="10"/>
      <c r="L191" s="148">
        <f t="shared" ca="1" si="36"/>
        <v>-4.9865135345914524E-3</v>
      </c>
      <c r="M191" s="148">
        <f t="shared" ca="1" si="36"/>
        <v>-4.9865135345914524E-3</v>
      </c>
      <c r="N191" s="10"/>
      <c r="O191" s="10"/>
      <c r="P191" s="10"/>
      <c r="Q191" s="10"/>
      <c r="R191" s="148">
        <f t="shared" ca="1" si="37"/>
        <v>-1.4004421587901494E-2</v>
      </c>
      <c r="S191" s="148">
        <f t="shared" ca="1" si="37"/>
        <v>-1.4004421587901494E-2</v>
      </c>
      <c r="U191" s="10"/>
      <c r="V191" s="10"/>
      <c r="W191" s="10"/>
      <c r="X191" s="148">
        <f t="shared" ca="1" si="38"/>
        <v>-1.1264288987076765E-2</v>
      </c>
      <c r="Y191" s="148">
        <f t="shared" ca="1" si="38"/>
        <v>-1.1264288987076765E-2</v>
      </c>
    </row>
    <row r="192" spans="1:25" x14ac:dyDescent="0.2">
      <c r="B192" s="10" t="s">
        <v>583</v>
      </c>
      <c r="C192" s="10"/>
      <c r="D192" s="10"/>
      <c r="E192" s="10"/>
      <c r="F192" s="148">
        <f t="shared" ca="1" si="35"/>
        <v>2.0531661909874543E-2</v>
      </c>
      <c r="G192" s="148">
        <f t="shared" ca="1" si="35"/>
        <v>2.0531661909874543E-2</v>
      </c>
      <c r="H192" s="10"/>
      <c r="I192" s="10"/>
      <c r="J192" s="10"/>
      <c r="K192" s="10"/>
      <c r="L192" s="148">
        <f t="shared" ca="1" si="36"/>
        <v>2.9754090348240725E-2</v>
      </c>
      <c r="M192" s="148">
        <f t="shared" ca="1" si="36"/>
        <v>2.9754090348240725E-2</v>
      </c>
      <c r="N192" s="10"/>
      <c r="O192" s="10"/>
      <c r="P192" s="10"/>
      <c r="Q192" s="10"/>
      <c r="R192" s="148">
        <f t="shared" ca="1" si="37"/>
        <v>2.2128774792556927E-2</v>
      </c>
      <c r="S192" s="148">
        <f t="shared" ca="1" si="37"/>
        <v>2.2128774792556927E-2</v>
      </c>
      <c r="U192" s="10"/>
      <c r="V192" s="10"/>
      <c r="W192" s="10"/>
      <c r="X192" s="148">
        <f t="shared" ca="1" si="38"/>
        <v>-9.0114213056583514E-3</v>
      </c>
      <c r="Y192" s="148">
        <f t="shared" ca="1" si="38"/>
        <v>-9.0114213056583514E-3</v>
      </c>
    </row>
    <row r="193" spans="1:25" x14ac:dyDescent="0.2">
      <c r="B193" s="10" t="s">
        <v>584</v>
      </c>
      <c r="C193" s="10"/>
      <c r="D193" s="10"/>
      <c r="E193" s="10"/>
      <c r="F193" s="148">
        <f t="shared" ca="1" si="35"/>
        <v>4.2794286419788774E-2</v>
      </c>
      <c r="G193" s="148">
        <f t="shared" ca="1" si="35"/>
        <v>4.2794286419788774E-2</v>
      </c>
      <c r="H193" s="10"/>
      <c r="I193" s="10"/>
      <c r="J193" s="10"/>
      <c r="K193" s="10"/>
      <c r="L193" s="148">
        <f t="shared" ca="1" si="36"/>
        <v>3.7792431906029433E-2</v>
      </c>
      <c r="M193" s="148">
        <f t="shared" ca="1" si="36"/>
        <v>3.7792431906029433E-2</v>
      </c>
      <c r="N193" s="10"/>
      <c r="O193" s="10"/>
      <c r="P193" s="10"/>
      <c r="Q193" s="10"/>
      <c r="R193" s="148">
        <f t="shared" ca="1" si="37"/>
        <v>3.0029044582616793E-2</v>
      </c>
      <c r="S193" s="148">
        <f t="shared" ca="1" si="37"/>
        <v>3.0029044582616793E-2</v>
      </c>
      <c r="U193" s="10"/>
      <c r="V193" s="10"/>
      <c r="W193" s="10"/>
      <c r="X193" s="148">
        <f t="shared" ca="1" si="38"/>
        <v>2.1997615409387494E-2</v>
      </c>
      <c r="Y193" s="148">
        <f t="shared" ca="1" si="38"/>
        <v>2.1997615409387494E-2</v>
      </c>
    </row>
    <row r="196" spans="1:25" x14ac:dyDescent="0.2">
      <c r="A196" s="3" t="s">
        <v>601</v>
      </c>
    </row>
    <row r="197" spans="1:25" x14ac:dyDescent="0.2">
      <c r="B197" s="2" t="s">
        <v>96</v>
      </c>
      <c r="C197" s="125" t="s">
        <v>580</v>
      </c>
      <c r="D197" s="11"/>
      <c r="E197" s="2" t="s">
        <v>640</v>
      </c>
      <c r="F197" s="125" t="s">
        <v>579</v>
      </c>
      <c r="G197" s="11"/>
      <c r="I197" s="9" t="s">
        <v>575</v>
      </c>
      <c r="J197" s="11"/>
      <c r="L197" s="125" t="s">
        <v>579</v>
      </c>
      <c r="M197" s="11"/>
      <c r="O197" s="9" t="s">
        <v>576</v>
      </c>
      <c r="P197" s="11"/>
      <c r="R197" s="125" t="s">
        <v>579</v>
      </c>
      <c r="S197" s="11"/>
      <c r="U197" s="125" t="s">
        <v>600</v>
      </c>
      <c r="V197" s="11"/>
      <c r="X197" s="125" t="s">
        <v>579</v>
      </c>
      <c r="Y197" s="11"/>
    </row>
    <row r="198" spans="1:25" x14ac:dyDescent="0.2">
      <c r="A198" s="38" t="s">
        <v>41</v>
      </c>
      <c r="B198" s="8" t="s">
        <v>101</v>
      </c>
      <c r="C198" s="8" t="s">
        <v>591</v>
      </c>
      <c r="D198" s="8" t="s">
        <v>236</v>
      </c>
      <c r="E198" s="8" t="s">
        <v>205</v>
      </c>
      <c r="F198" s="8" t="s">
        <v>260</v>
      </c>
      <c r="G198" s="8" t="s">
        <v>236</v>
      </c>
      <c r="I198" s="8" t="s">
        <v>260</v>
      </c>
      <c r="J198" s="8" t="s">
        <v>236</v>
      </c>
      <c r="L198" s="8" t="s">
        <v>260</v>
      </c>
      <c r="M198" s="8" t="s">
        <v>236</v>
      </c>
      <c r="O198" s="8" t="s">
        <v>260</v>
      </c>
      <c r="P198" s="8" t="s">
        <v>236</v>
      </c>
      <c r="R198" s="8" t="s">
        <v>260</v>
      </c>
      <c r="S198" s="8" t="s">
        <v>236</v>
      </c>
      <c r="U198" s="8" t="s">
        <v>260</v>
      </c>
      <c r="V198" s="8" t="s">
        <v>236</v>
      </c>
      <c r="X198" s="8" t="s">
        <v>260</v>
      </c>
      <c r="Y198" s="8" t="s">
        <v>236</v>
      </c>
    </row>
    <row r="199" spans="1:25" x14ac:dyDescent="0.2">
      <c r="A199" s="121">
        <f t="shared" ref="A199:A234" si="39">+A148</f>
        <v>44287</v>
      </c>
      <c r="B199" s="73">
        <f t="shared" ref="B199:B234" si="40">+C148</f>
        <v>35.869891317541402</v>
      </c>
      <c r="C199" s="15">
        <f t="shared" ref="C199:C234" si="41">+B148</f>
        <v>1</v>
      </c>
      <c r="D199" s="73">
        <f>+B199*C199</f>
        <v>35.869891317541402</v>
      </c>
      <c r="E199">
        <f>IF(B199&gt;0,1,0)</f>
        <v>1</v>
      </c>
      <c r="F199" s="290"/>
      <c r="G199" s="290"/>
      <c r="I199" s="120"/>
      <c r="J199" s="120"/>
    </row>
    <row r="200" spans="1:25" x14ac:dyDescent="0.2">
      <c r="A200" s="121">
        <f t="shared" si="39"/>
        <v>44317</v>
      </c>
      <c r="B200" s="73">
        <f t="shared" si="40"/>
        <v>36.591966235234068</v>
      </c>
      <c r="C200" s="15">
        <f t="shared" si="41"/>
        <v>1</v>
      </c>
      <c r="D200" s="73">
        <f t="shared" ref="D200:D234" si="42">+B200*C200</f>
        <v>36.591966235234068</v>
      </c>
      <c r="E200">
        <f t="shared" ref="E200:E234" si="43">IF(B200&gt;0,1,0)</f>
        <v>1</v>
      </c>
      <c r="F200" s="290"/>
      <c r="G200" s="290"/>
      <c r="I200" s="120"/>
      <c r="J200" s="120"/>
      <c r="U200" s="120"/>
      <c r="V200" s="120"/>
    </row>
    <row r="201" spans="1:25" x14ac:dyDescent="0.2">
      <c r="A201" s="121">
        <f t="shared" si="39"/>
        <v>44348</v>
      </c>
      <c r="B201" s="73">
        <f t="shared" si="40"/>
        <v>38.790531392615186</v>
      </c>
      <c r="C201" s="15">
        <f t="shared" si="41"/>
        <v>1</v>
      </c>
      <c r="D201" s="73">
        <f t="shared" si="42"/>
        <v>38.790531392615186</v>
      </c>
      <c r="E201" s="7">
        <f t="shared" si="43"/>
        <v>1</v>
      </c>
      <c r="F201" s="287"/>
      <c r="G201" s="287"/>
      <c r="H201" s="7"/>
      <c r="I201" s="73">
        <f>IF(SUM($E199:$E201)=3,AVERAGE(B199:B201),"NA")</f>
        <v>37.084129648463552</v>
      </c>
      <c r="J201" s="73">
        <f>IF(SUM($E199:$E201)=3,AVERAGE(D199:D201),"NA")</f>
        <v>37.084129648463552</v>
      </c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3"/>
      <c r="V201" s="73"/>
      <c r="W201" s="7"/>
      <c r="X201" s="7"/>
      <c r="Y201" s="7"/>
    </row>
    <row r="202" spans="1:25" x14ac:dyDescent="0.2">
      <c r="A202" s="280">
        <f t="shared" si="39"/>
        <v>44378</v>
      </c>
      <c r="B202" s="281">
        <f t="shared" si="40"/>
        <v>40.350388620093234</v>
      </c>
      <c r="C202" s="282">
        <f t="shared" si="41"/>
        <v>1</v>
      </c>
      <c r="D202" s="281">
        <f t="shared" si="42"/>
        <v>40.350388620093234</v>
      </c>
      <c r="E202" s="10">
        <f t="shared" si="43"/>
        <v>1</v>
      </c>
      <c r="F202" s="283"/>
      <c r="G202" s="283"/>
      <c r="H202" s="10"/>
      <c r="I202" s="281">
        <f>IF(SUM($E200:$E202)=3,AVERAGE(B200:B202),"NA")</f>
        <v>38.577628749314165</v>
      </c>
      <c r="J202" s="281">
        <f>IF(SUM($E200:$E202)=3,AVERAGE(D200:D202),"NA")</f>
        <v>38.577628749314165</v>
      </c>
      <c r="K202" s="10"/>
      <c r="L202" s="10"/>
      <c r="M202" s="10"/>
      <c r="N202" s="10"/>
      <c r="O202" s="117" t="s">
        <v>642</v>
      </c>
      <c r="P202" s="10"/>
      <c r="Q202" s="10"/>
      <c r="R202" s="10"/>
      <c r="S202" s="10"/>
      <c r="T202" s="10"/>
      <c r="U202" s="281"/>
      <c r="V202" s="281"/>
      <c r="W202" s="10"/>
      <c r="X202" s="10"/>
      <c r="Y202" s="10"/>
    </row>
    <row r="203" spans="1:25" x14ac:dyDescent="0.2">
      <c r="A203" s="280">
        <f t="shared" si="39"/>
        <v>44409</v>
      </c>
      <c r="B203" s="281">
        <f t="shared" si="40"/>
        <v>47.798624963803547</v>
      </c>
      <c r="C203" s="282">
        <f t="shared" si="41"/>
        <v>1</v>
      </c>
      <c r="D203" s="281">
        <f t="shared" si="42"/>
        <v>47.798624963803547</v>
      </c>
      <c r="E203" s="10">
        <f t="shared" si="43"/>
        <v>1</v>
      </c>
      <c r="F203" s="283"/>
      <c r="G203" s="283"/>
      <c r="H203" s="10"/>
      <c r="I203" s="281">
        <f t="shared" ref="I203:I234" si="44">IF(SUM($E201:$E203)=3,AVERAGE(B201:B203),"NA")</f>
        <v>42.313181658837323</v>
      </c>
      <c r="J203" s="281">
        <f t="shared" ref="J203:J234" si="45">IF(SUM($E201:$E203)=3,AVERAGE(D201:D203),"NA")</f>
        <v>42.313181658837323</v>
      </c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281"/>
      <c r="V203" s="281"/>
      <c r="W203" s="10"/>
      <c r="X203" s="10"/>
      <c r="Y203" s="10"/>
    </row>
    <row r="204" spans="1:25" x14ac:dyDescent="0.2">
      <c r="A204" s="280">
        <f t="shared" si="39"/>
        <v>44440</v>
      </c>
      <c r="B204" s="281">
        <f t="shared" si="40"/>
        <v>46.237790728679677</v>
      </c>
      <c r="C204" s="282">
        <f t="shared" si="41"/>
        <v>1</v>
      </c>
      <c r="D204" s="281">
        <f t="shared" si="42"/>
        <v>46.237790728679677</v>
      </c>
      <c r="E204" s="10">
        <f t="shared" si="43"/>
        <v>1</v>
      </c>
      <c r="F204" s="283"/>
      <c r="G204" s="283"/>
      <c r="H204" s="10"/>
      <c r="I204" s="281">
        <f t="shared" si="44"/>
        <v>44.795601437525484</v>
      </c>
      <c r="J204" s="281">
        <f t="shared" si="45"/>
        <v>44.795601437525484</v>
      </c>
      <c r="K204" s="10"/>
      <c r="L204" s="10"/>
      <c r="M204" s="10"/>
      <c r="N204" s="10"/>
      <c r="O204" s="281">
        <f>IF(SUM($E199:$E204)=6,AVERAGE(B199:B204),"NA")</f>
        <v>40.939865542994518</v>
      </c>
      <c r="P204" s="281">
        <f>IF(SUM($E199:$E204)=6,AVERAGE(D199:D204),"NA")</f>
        <v>40.939865542994518</v>
      </c>
      <c r="Q204" s="10"/>
      <c r="R204" s="10"/>
      <c r="S204" s="10"/>
      <c r="T204" s="10"/>
      <c r="U204" s="281"/>
      <c r="V204" s="281"/>
      <c r="W204" s="10"/>
      <c r="X204" s="10"/>
      <c r="Y204" s="10"/>
    </row>
    <row r="205" spans="1:25" x14ac:dyDescent="0.2">
      <c r="A205" s="280">
        <f t="shared" si="39"/>
        <v>44470</v>
      </c>
      <c r="B205" s="281">
        <f t="shared" si="40"/>
        <v>47.622125569631088</v>
      </c>
      <c r="C205" s="282">
        <f t="shared" si="41"/>
        <v>1</v>
      </c>
      <c r="D205" s="281">
        <f t="shared" si="42"/>
        <v>47.622125569631088</v>
      </c>
      <c r="E205" s="10">
        <f t="shared" si="43"/>
        <v>1</v>
      </c>
      <c r="F205" s="283"/>
      <c r="G205" s="283"/>
      <c r="H205" s="10"/>
      <c r="I205" s="281">
        <f t="shared" si="44"/>
        <v>47.219513754038104</v>
      </c>
      <c r="J205" s="281">
        <f t="shared" si="45"/>
        <v>47.219513754038104</v>
      </c>
      <c r="K205" s="10"/>
      <c r="L205" s="10"/>
      <c r="M205" s="10"/>
      <c r="N205" s="10"/>
      <c r="O205" s="281">
        <f t="shared" ref="O205:O234" si="46">IF(SUM($E200:$E205)=6,AVERAGE(B200:B205),"NA")</f>
        <v>42.898571251676138</v>
      </c>
      <c r="P205" s="281">
        <f t="shared" ref="P205:P234" si="47">IF(SUM($E200:$E205)=6,AVERAGE(D200:D205),"NA")</f>
        <v>42.898571251676138</v>
      </c>
      <c r="Q205" s="10"/>
      <c r="R205" s="10"/>
      <c r="S205" s="10"/>
      <c r="T205" s="10"/>
      <c r="U205" s="281"/>
      <c r="V205" s="281"/>
      <c r="W205" s="10"/>
      <c r="X205" s="10"/>
      <c r="Y205" s="10"/>
    </row>
    <row r="206" spans="1:25" x14ac:dyDescent="0.2">
      <c r="A206" s="280">
        <f t="shared" si="39"/>
        <v>44501</v>
      </c>
      <c r="B206" s="281">
        <f t="shared" si="40"/>
        <v>47.227304643709218</v>
      </c>
      <c r="C206" s="282">
        <f t="shared" si="41"/>
        <v>1</v>
      </c>
      <c r="D206" s="281">
        <f t="shared" si="42"/>
        <v>47.227304643709218</v>
      </c>
      <c r="E206" s="10">
        <f t="shared" si="43"/>
        <v>1</v>
      </c>
      <c r="F206" s="283"/>
      <c r="G206" s="283"/>
      <c r="H206" s="10"/>
      <c r="I206" s="281">
        <f t="shared" si="44"/>
        <v>47.029073647339999</v>
      </c>
      <c r="J206" s="281">
        <f t="shared" si="45"/>
        <v>47.029073647339999</v>
      </c>
      <c r="K206" s="10"/>
      <c r="L206" s="10"/>
      <c r="M206" s="10"/>
      <c r="N206" s="10"/>
      <c r="O206" s="281">
        <f t="shared" si="46"/>
        <v>44.671127653088661</v>
      </c>
      <c r="P206" s="281">
        <f t="shared" si="47"/>
        <v>44.671127653088661</v>
      </c>
      <c r="Q206" s="10"/>
      <c r="R206" s="10"/>
      <c r="S206" s="10"/>
      <c r="T206" s="10"/>
      <c r="U206" s="281"/>
      <c r="V206" s="281"/>
      <c r="W206" s="10"/>
      <c r="X206" s="10"/>
      <c r="Y206" s="10"/>
    </row>
    <row r="207" spans="1:25" x14ac:dyDescent="0.2">
      <c r="A207" s="280">
        <f t="shared" si="39"/>
        <v>44531</v>
      </c>
      <c r="B207" s="281">
        <f t="shared" si="40"/>
        <v>48.96810775013158</v>
      </c>
      <c r="C207" s="282">
        <f t="shared" si="41"/>
        <v>1</v>
      </c>
      <c r="D207" s="281">
        <f t="shared" si="42"/>
        <v>48.96810775013158</v>
      </c>
      <c r="E207" s="10">
        <f t="shared" si="43"/>
        <v>1</v>
      </c>
      <c r="F207" s="283"/>
      <c r="G207" s="283"/>
      <c r="H207" s="10"/>
      <c r="I207" s="281">
        <f t="shared" si="44"/>
        <v>47.93917932115729</v>
      </c>
      <c r="J207" s="281">
        <f t="shared" si="45"/>
        <v>47.93917932115729</v>
      </c>
      <c r="K207" s="10"/>
      <c r="L207" s="10"/>
      <c r="M207" s="10"/>
      <c r="N207" s="10"/>
      <c r="O207" s="281">
        <f t="shared" si="46"/>
        <v>46.367390379341394</v>
      </c>
      <c r="P207" s="281">
        <f t="shared" si="47"/>
        <v>46.367390379341394</v>
      </c>
      <c r="Q207" s="10"/>
      <c r="R207" s="10"/>
      <c r="S207" s="10"/>
      <c r="T207" s="10"/>
      <c r="U207" s="281"/>
      <c r="V207" s="281"/>
      <c r="W207" s="10"/>
      <c r="X207" s="10"/>
      <c r="Y207" s="10"/>
    </row>
    <row r="208" spans="1:25" x14ac:dyDescent="0.2">
      <c r="A208" s="280">
        <f t="shared" si="39"/>
        <v>44562</v>
      </c>
      <c r="B208" s="281">
        <f t="shared" si="40"/>
        <v>32.792024176098245</v>
      </c>
      <c r="C208" s="282">
        <f t="shared" si="41"/>
        <v>1</v>
      </c>
      <c r="D208" s="281">
        <f t="shared" si="42"/>
        <v>32.792024176098245</v>
      </c>
      <c r="E208" s="10">
        <f t="shared" si="43"/>
        <v>1</v>
      </c>
      <c r="F208" s="283"/>
      <c r="G208" s="283"/>
      <c r="H208" s="10"/>
      <c r="I208" s="281">
        <f t="shared" si="44"/>
        <v>42.995812189979681</v>
      </c>
      <c r="J208" s="281">
        <f t="shared" si="45"/>
        <v>42.995812189979681</v>
      </c>
      <c r="K208" s="10"/>
      <c r="L208" s="10"/>
      <c r="M208" s="10"/>
      <c r="N208" s="10"/>
      <c r="O208" s="281">
        <f t="shared" si="46"/>
        <v>45.107662972008903</v>
      </c>
      <c r="P208" s="281">
        <f t="shared" si="47"/>
        <v>45.107662972008903</v>
      </c>
      <c r="Q208" s="10"/>
      <c r="R208" s="10"/>
      <c r="S208" s="10"/>
      <c r="T208" s="10"/>
      <c r="U208" s="281" t="s">
        <v>641</v>
      </c>
      <c r="V208" s="281"/>
      <c r="W208" s="10"/>
      <c r="X208" s="10"/>
      <c r="Y208" s="10"/>
    </row>
    <row r="209" spans="1:25" x14ac:dyDescent="0.2">
      <c r="A209" s="280">
        <f t="shared" si="39"/>
        <v>44593</v>
      </c>
      <c r="B209" s="281">
        <f t="shared" si="40"/>
        <v>31.17009535145916</v>
      </c>
      <c r="C209" s="282">
        <f t="shared" si="41"/>
        <v>1</v>
      </c>
      <c r="D209" s="281">
        <f t="shared" si="42"/>
        <v>31.17009535145916</v>
      </c>
      <c r="E209" s="10">
        <f t="shared" si="43"/>
        <v>1</v>
      </c>
      <c r="F209" s="283"/>
      <c r="G209" s="283"/>
      <c r="H209" s="10"/>
      <c r="I209" s="281">
        <f t="shared" si="44"/>
        <v>37.643409092562997</v>
      </c>
      <c r="J209" s="281">
        <f t="shared" si="45"/>
        <v>37.643409092562997</v>
      </c>
      <c r="K209" s="10"/>
      <c r="L209" s="10"/>
      <c r="M209" s="10"/>
      <c r="N209" s="10"/>
      <c r="O209" s="281">
        <f t="shared" si="46"/>
        <v>42.336241369951502</v>
      </c>
      <c r="P209" s="281">
        <f t="shared" si="47"/>
        <v>42.336241369951502</v>
      </c>
      <c r="Q209" s="10"/>
      <c r="R209" s="10"/>
      <c r="S209" s="10"/>
      <c r="T209" s="10"/>
      <c r="U209" s="281"/>
      <c r="V209" s="281"/>
      <c r="W209" s="10"/>
      <c r="X209" s="10"/>
      <c r="Y209" s="10"/>
    </row>
    <row r="210" spans="1:25" x14ac:dyDescent="0.2">
      <c r="A210" s="280">
        <f t="shared" si="39"/>
        <v>44621</v>
      </c>
      <c r="B210" s="281">
        <f t="shared" si="40"/>
        <v>39.046129236548509</v>
      </c>
      <c r="C210" s="282">
        <f t="shared" si="41"/>
        <v>1</v>
      </c>
      <c r="D210" s="281">
        <f t="shared" si="42"/>
        <v>39.046129236548509</v>
      </c>
      <c r="E210" s="10">
        <f t="shared" si="43"/>
        <v>1</v>
      </c>
      <c r="F210" s="283"/>
      <c r="G210" s="283"/>
      <c r="H210" s="10"/>
      <c r="I210" s="281">
        <f t="shared" si="44"/>
        <v>34.336082921368636</v>
      </c>
      <c r="J210" s="281">
        <f t="shared" si="45"/>
        <v>34.336082921368636</v>
      </c>
      <c r="K210" s="10"/>
      <c r="L210" s="10"/>
      <c r="M210" s="10"/>
      <c r="N210" s="10"/>
      <c r="O210" s="281">
        <f t="shared" si="46"/>
        <v>41.137631121262963</v>
      </c>
      <c r="P210" s="281">
        <f t="shared" si="47"/>
        <v>41.137631121262963</v>
      </c>
      <c r="Q210" s="10"/>
      <c r="R210" s="10"/>
      <c r="S210" s="10"/>
      <c r="T210" s="10"/>
      <c r="U210" s="281">
        <f t="shared" ref="U210:U233" si="48">IF(SUM($E199:$E210)=12,AVERAGE(B199:B210),"NA")</f>
        <v>41.038748332128741</v>
      </c>
      <c r="V210" s="281">
        <f t="shared" ref="V210:V233" si="49">IF(SUM($E199:$E210)=12,AVERAGE(D199:D210),"NA")</f>
        <v>41.038748332128741</v>
      </c>
      <c r="W210" s="10"/>
      <c r="X210" s="10"/>
      <c r="Y210" s="10"/>
    </row>
    <row r="211" spans="1:25" x14ac:dyDescent="0.2">
      <c r="A211" s="280">
        <f t="shared" si="39"/>
        <v>44652</v>
      </c>
      <c r="B211" s="281">
        <f t="shared" si="40"/>
        <v>37.458797906089245</v>
      </c>
      <c r="C211" s="282">
        <f t="shared" si="41"/>
        <v>1</v>
      </c>
      <c r="D211" s="281">
        <f t="shared" si="42"/>
        <v>37.458797906089245</v>
      </c>
      <c r="E211" s="10">
        <f t="shared" si="43"/>
        <v>1</v>
      </c>
      <c r="F211" s="283">
        <f>IF(B199=0,"NA",+B211/B199)</f>
        <v>1.0442963870306132</v>
      </c>
      <c r="G211" s="283">
        <f>IF(D199=0,"NA",+D211/D199)</f>
        <v>1.0442963870306132</v>
      </c>
      <c r="H211" s="10"/>
      <c r="I211" s="281">
        <f t="shared" si="44"/>
        <v>35.891674164698969</v>
      </c>
      <c r="J211" s="281">
        <f t="shared" si="45"/>
        <v>35.891674164698969</v>
      </c>
      <c r="K211" s="10"/>
      <c r="L211" s="10" t="s">
        <v>643</v>
      </c>
      <c r="M211" s="10"/>
      <c r="N211" s="10"/>
      <c r="O211" s="281">
        <f t="shared" si="46"/>
        <v>39.443743177339329</v>
      </c>
      <c r="P211" s="281">
        <f t="shared" si="47"/>
        <v>39.443743177339329</v>
      </c>
      <c r="Q211" s="10"/>
      <c r="R211" s="10"/>
      <c r="S211" s="10"/>
      <c r="T211" s="10"/>
      <c r="U211" s="281">
        <f t="shared" si="48"/>
        <v>41.17115721450773</v>
      </c>
      <c r="V211" s="281">
        <f t="shared" si="49"/>
        <v>41.17115721450773</v>
      </c>
      <c r="W211" s="10"/>
      <c r="X211" s="10"/>
      <c r="Y211" s="10"/>
    </row>
    <row r="212" spans="1:25" x14ac:dyDescent="0.2">
      <c r="A212" s="280">
        <f t="shared" si="39"/>
        <v>44682</v>
      </c>
      <c r="B212" s="281">
        <f t="shared" si="40"/>
        <v>39.220997237718201</v>
      </c>
      <c r="C212" s="282">
        <f t="shared" si="41"/>
        <v>1</v>
      </c>
      <c r="D212" s="281">
        <f t="shared" si="42"/>
        <v>39.220997237718201</v>
      </c>
      <c r="E212" s="10">
        <f t="shared" si="43"/>
        <v>1</v>
      </c>
      <c r="F212" s="283">
        <f t="shared" ref="F212:F234" si="50">IF(B200=0,"NA",+B212/B200)</f>
        <v>1.0718472187469572</v>
      </c>
      <c r="G212" s="283">
        <f t="shared" ref="G212:G234" si="51">IF(D200=0,"NA",+D212/D200)</f>
        <v>1.0718472187469572</v>
      </c>
      <c r="H212" s="10"/>
      <c r="I212" s="281">
        <f t="shared" si="44"/>
        <v>38.575308126785323</v>
      </c>
      <c r="J212" s="281">
        <f t="shared" si="45"/>
        <v>38.575308126785323</v>
      </c>
      <c r="K212" s="10"/>
      <c r="L212" s="10"/>
      <c r="M212" s="10"/>
      <c r="N212" s="10"/>
      <c r="O212" s="281">
        <f t="shared" si="46"/>
        <v>38.10935860967416</v>
      </c>
      <c r="P212" s="281">
        <f t="shared" si="47"/>
        <v>38.10935860967416</v>
      </c>
      <c r="Q212" s="10"/>
      <c r="R212" s="10"/>
      <c r="S212" s="10"/>
      <c r="T212" s="10"/>
      <c r="U212" s="281">
        <f t="shared" si="48"/>
        <v>41.390243131381411</v>
      </c>
      <c r="V212" s="281">
        <f t="shared" si="49"/>
        <v>41.390243131381411</v>
      </c>
      <c r="W212" s="10"/>
      <c r="X212" s="10"/>
      <c r="Y212" s="10"/>
    </row>
    <row r="213" spans="1:25" x14ac:dyDescent="0.2">
      <c r="A213" s="280">
        <f t="shared" si="39"/>
        <v>44713</v>
      </c>
      <c r="B213" s="281">
        <f t="shared" si="40"/>
        <v>39.387231494672243</v>
      </c>
      <c r="C213" s="282">
        <f t="shared" si="41"/>
        <v>1</v>
      </c>
      <c r="D213" s="281">
        <f t="shared" si="42"/>
        <v>39.387231494672243</v>
      </c>
      <c r="E213" s="10">
        <f t="shared" si="43"/>
        <v>1</v>
      </c>
      <c r="F213" s="283">
        <f t="shared" si="50"/>
        <v>1.0153826225275855</v>
      </c>
      <c r="G213" s="283">
        <f t="shared" si="51"/>
        <v>1.0153826225275855</v>
      </c>
      <c r="H213" s="10"/>
      <c r="I213" s="281">
        <f t="shared" si="44"/>
        <v>38.68900887949323</v>
      </c>
      <c r="J213" s="281">
        <f t="shared" si="45"/>
        <v>38.68900887949323</v>
      </c>
      <c r="K213" s="10"/>
      <c r="L213" s="283">
        <f>IF(I201="NA","NA",+I213/I201)</f>
        <v>1.0432767128753733</v>
      </c>
      <c r="M213" s="283">
        <f>IF(J201="NA","NA",+J213/J201)</f>
        <v>1.0432767128753733</v>
      </c>
      <c r="N213" s="10"/>
      <c r="O213" s="281">
        <f t="shared" si="46"/>
        <v>36.512545900430929</v>
      </c>
      <c r="P213" s="281">
        <f t="shared" si="47"/>
        <v>36.512545900430929</v>
      </c>
      <c r="Q213" s="10"/>
      <c r="R213" s="10"/>
      <c r="S213" s="10"/>
      <c r="T213" s="10"/>
      <c r="U213" s="281">
        <f t="shared" si="48"/>
        <v>41.439968139886162</v>
      </c>
      <c r="V213" s="281">
        <f t="shared" si="49"/>
        <v>41.439968139886162</v>
      </c>
      <c r="W213" s="10"/>
      <c r="X213" s="10"/>
      <c r="Y213" s="10"/>
    </row>
    <row r="214" spans="1:25" x14ac:dyDescent="0.2">
      <c r="A214" s="280">
        <f t="shared" si="39"/>
        <v>44743</v>
      </c>
      <c r="B214" s="281">
        <f t="shared" si="40"/>
        <v>37.986203504258292</v>
      </c>
      <c r="C214" s="282">
        <f t="shared" si="41"/>
        <v>1</v>
      </c>
      <c r="D214" s="281">
        <f t="shared" si="42"/>
        <v>37.986203504258292</v>
      </c>
      <c r="E214" s="10">
        <f t="shared" si="43"/>
        <v>1</v>
      </c>
      <c r="F214" s="283">
        <f t="shared" si="50"/>
        <v>0.94140861595921155</v>
      </c>
      <c r="G214" s="283">
        <f t="shared" si="51"/>
        <v>0.94140861595921155</v>
      </c>
      <c r="H214" s="10"/>
      <c r="I214" s="281">
        <f t="shared" si="44"/>
        <v>38.864810745549583</v>
      </c>
      <c r="J214" s="281">
        <f t="shared" si="45"/>
        <v>38.864810745549583</v>
      </c>
      <c r="K214" s="10"/>
      <c r="L214" s="283">
        <f t="shared" ref="L214:L222" si="52">IF(I202="NA","NA",+I214/I202)</f>
        <v>1.0074442625310536</v>
      </c>
      <c r="M214" s="283">
        <f t="shared" ref="M214:M222" si="53">IF(J202="NA","NA",+J214/J202)</f>
        <v>1.0074442625310536</v>
      </c>
      <c r="N214" s="10"/>
      <c r="O214" s="281">
        <f t="shared" si="46"/>
        <v>37.378242455124273</v>
      </c>
      <c r="P214" s="281">
        <f t="shared" si="47"/>
        <v>37.378242455124273</v>
      </c>
      <c r="Q214" s="10"/>
      <c r="R214" s="117" t="s">
        <v>642</v>
      </c>
      <c r="S214" s="10"/>
      <c r="T214" s="10"/>
      <c r="U214" s="281">
        <f t="shared" si="48"/>
        <v>41.242952713566588</v>
      </c>
      <c r="V214" s="281">
        <f t="shared" si="49"/>
        <v>41.242952713566588</v>
      </c>
      <c r="W214" s="10"/>
      <c r="X214" s="10"/>
      <c r="Y214" s="10"/>
    </row>
    <row r="215" spans="1:25" x14ac:dyDescent="0.2">
      <c r="A215" s="280">
        <f t="shared" si="39"/>
        <v>44774</v>
      </c>
      <c r="B215" s="281">
        <f t="shared" si="40"/>
        <v>44.71334857009554</v>
      </c>
      <c r="C215" s="282">
        <f t="shared" si="41"/>
        <v>1</v>
      </c>
      <c r="D215" s="281">
        <f t="shared" si="42"/>
        <v>44.71334857009554</v>
      </c>
      <c r="E215" s="10">
        <f t="shared" si="43"/>
        <v>1</v>
      </c>
      <c r="F215" s="283">
        <f t="shared" si="50"/>
        <v>0.93545261195182094</v>
      </c>
      <c r="G215" s="283">
        <f t="shared" si="51"/>
        <v>0.93545261195182094</v>
      </c>
      <c r="H215" s="10"/>
      <c r="I215" s="281">
        <f t="shared" si="44"/>
        <v>40.695594523008687</v>
      </c>
      <c r="J215" s="281">
        <f t="shared" si="45"/>
        <v>40.695594523008687</v>
      </c>
      <c r="K215" s="10"/>
      <c r="L215" s="283">
        <f t="shared" si="52"/>
        <v>0.96177108238111431</v>
      </c>
      <c r="M215" s="283">
        <f t="shared" si="53"/>
        <v>0.96177108238111431</v>
      </c>
      <c r="N215" s="10"/>
      <c r="O215" s="281">
        <f t="shared" si="46"/>
        <v>39.635451324897012</v>
      </c>
      <c r="P215" s="281">
        <f t="shared" si="47"/>
        <v>39.635451324897012</v>
      </c>
      <c r="Q215" s="10"/>
      <c r="R215" s="10"/>
      <c r="S215" s="10"/>
      <c r="T215" s="10"/>
      <c r="U215" s="281">
        <f t="shared" si="48"/>
        <v>40.985846347424257</v>
      </c>
      <c r="V215" s="281">
        <f t="shared" si="49"/>
        <v>40.985846347424257</v>
      </c>
      <c r="W215" s="10"/>
      <c r="X215" s="10"/>
      <c r="Y215" s="10"/>
    </row>
    <row r="216" spans="1:25" x14ac:dyDescent="0.2">
      <c r="A216" s="280">
        <f t="shared" si="39"/>
        <v>44805</v>
      </c>
      <c r="B216" s="281">
        <f t="shared" si="40"/>
        <v>40.787181949898923</v>
      </c>
      <c r="C216" s="282">
        <f t="shared" si="41"/>
        <v>1</v>
      </c>
      <c r="D216" s="281">
        <f t="shared" si="42"/>
        <v>40.787181949898923</v>
      </c>
      <c r="E216" s="10">
        <f t="shared" si="43"/>
        <v>1</v>
      </c>
      <c r="F216" s="283">
        <f t="shared" si="50"/>
        <v>0.88211788035538785</v>
      </c>
      <c r="G216" s="283">
        <f t="shared" si="51"/>
        <v>0.88211788035538785</v>
      </c>
      <c r="H216" s="10"/>
      <c r="I216" s="281">
        <f t="shared" si="44"/>
        <v>41.162244674750916</v>
      </c>
      <c r="J216" s="281">
        <f t="shared" si="45"/>
        <v>41.162244674750916</v>
      </c>
      <c r="K216" s="10"/>
      <c r="L216" s="283">
        <f t="shared" si="52"/>
        <v>0.918890323018838</v>
      </c>
      <c r="M216" s="283">
        <f t="shared" si="53"/>
        <v>0.918890323018838</v>
      </c>
      <c r="N216" s="10"/>
      <c r="O216" s="281">
        <f t="shared" si="46"/>
        <v>39.925626777122076</v>
      </c>
      <c r="P216" s="281">
        <f t="shared" si="47"/>
        <v>39.925626777122076</v>
      </c>
      <c r="Q216" s="10"/>
      <c r="R216" s="283">
        <f>IF(O204="NA","NA",+O216/O204)</f>
        <v>0.97522613344180864</v>
      </c>
      <c r="S216" s="283">
        <f>IF(P204="NA","NA",+P216/P204)</f>
        <v>0.97522613344180864</v>
      </c>
      <c r="T216" s="10"/>
      <c r="U216" s="281">
        <f t="shared" si="48"/>
        <v>40.531628949192516</v>
      </c>
      <c r="V216" s="281">
        <f t="shared" si="49"/>
        <v>40.531628949192516</v>
      </c>
      <c r="W216" s="10"/>
      <c r="X216" s="10"/>
      <c r="Y216" s="10"/>
    </row>
    <row r="217" spans="1:25" x14ac:dyDescent="0.2">
      <c r="A217" s="280">
        <f t="shared" si="39"/>
        <v>44835</v>
      </c>
      <c r="B217" s="281">
        <f t="shared" si="40"/>
        <v>41.482201046704006</v>
      </c>
      <c r="C217" s="282">
        <f t="shared" si="41"/>
        <v>1</v>
      </c>
      <c r="D217" s="281">
        <f t="shared" si="42"/>
        <v>41.482201046704006</v>
      </c>
      <c r="E217" s="10">
        <f t="shared" si="43"/>
        <v>1</v>
      </c>
      <c r="F217" s="283">
        <f t="shared" si="50"/>
        <v>0.87106991866733163</v>
      </c>
      <c r="G217" s="283">
        <f t="shared" si="51"/>
        <v>0.87106991866733163</v>
      </c>
      <c r="H217" s="10"/>
      <c r="I217" s="281">
        <f t="shared" si="44"/>
        <v>42.32757718889949</v>
      </c>
      <c r="J217" s="281">
        <f t="shared" si="45"/>
        <v>42.32757718889949</v>
      </c>
      <c r="K217" s="10"/>
      <c r="L217" s="283">
        <f t="shared" si="52"/>
        <v>0.89640010715442264</v>
      </c>
      <c r="M217" s="283">
        <f t="shared" si="53"/>
        <v>0.89640010715442264</v>
      </c>
      <c r="N217" s="10"/>
      <c r="O217" s="281">
        <f t="shared" si="46"/>
        <v>40.596193967224536</v>
      </c>
      <c r="P217" s="281">
        <f t="shared" si="47"/>
        <v>40.596193967224536</v>
      </c>
      <c r="Q217" s="10"/>
      <c r="R217" s="283">
        <f t="shared" ref="R217:R222" si="54">IF(O205="NA","NA",+O217/O205)</f>
        <v>0.94632974438836015</v>
      </c>
      <c r="S217" s="283">
        <f t="shared" ref="S217:S222" si="55">IF(P205="NA","NA",+P217/P205)</f>
        <v>0.94632974438836015</v>
      </c>
      <c r="T217" s="10"/>
      <c r="U217" s="281">
        <f t="shared" si="48"/>
        <v>40.019968572281932</v>
      </c>
      <c r="V217" s="281">
        <f t="shared" si="49"/>
        <v>40.019968572281932</v>
      </c>
      <c r="W217" s="10"/>
      <c r="X217" s="10"/>
      <c r="Y217" s="10"/>
    </row>
    <row r="218" spans="1:25" x14ac:dyDescent="0.2">
      <c r="A218" s="280">
        <f t="shared" si="39"/>
        <v>44866</v>
      </c>
      <c r="B218" s="281">
        <f t="shared" si="40"/>
        <v>39.292868284527216</v>
      </c>
      <c r="C218" s="282">
        <f t="shared" si="41"/>
        <v>1</v>
      </c>
      <c r="D218" s="281">
        <f t="shared" si="42"/>
        <v>39.292868284527216</v>
      </c>
      <c r="E218" s="10">
        <f t="shared" si="43"/>
        <v>1</v>
      </c>
      <c r="F218" s="283">
        <f t="shared" si="50"/>
        <v>0.83199472383527429</v>
      </c>
      <c r="G218" s="283">
        <f t="shared" si="51"/>
        <v>0.83199472383527429</v>
      </c>
      <c r="H218" s="10"/>
      <c r="I218" s="281">
        <f t="shared" si="44"/>
        <v>40.520750427043382</v>
      </c>
      <c r="J218" s="281">
        <f t="shared" si="45"/>
        <v>40.520750427043382</v>
      </c>
      <c r="K218" s="10"/>
      <c r="L218" s="283">
        <f t="shared" si="52"/>
        <v>0.8616106438944342</v>
      </c>
      <c r="M218" s="283">
        <f t="shared" si="53"/>
        <v>0.8616106438944342</v>
      </c>
      <c r="N218" s="10"/>
      <c r="O218" s="281">
        <f t="shared" si="46"/>
        <v>40.608172475026038</v>
      </c>
      <c r="P218" s="281">
        <f t="shared" si="47"/>
        <v>40.608172475026038</v>
      </c>
      <c r="Q218" s="10"/>
      <c r="R218" s="283">
        <f t="shared" si="54"/>
        <v>0.90904740060257461</v>
      </c>
      <c r="S218" s="283">
        <f t="shared" si="55"/>
        <v>0.90904740060257461</v>
      </c>
      <c r="T218" s="10"/>
      <c r="U218" s="281">
        <f t="shared" si="48"/>
        <v>39.358765542350099</v>
      </c>
      <c r="V218" s="281">
        <f t="shared" si="49"/>
        <v>39.358765542350099</v>
      </c>
      <c r="W218" s="10"/>
      <c r="X218" s="10"/>
      <c r="Y218" s="10"/>
    </row>
    <row r="219" spans="1:25" x14ac:dyDescent="0.2">
      <c r="A219" s="280">
        <f t="shared" si="39"/>
        <v>44896</v>
      </c>
      <c r="B219" s="281">
        <f t="shared" si="40"/>
        <v>39.955172982558864</v>
      </c>
      <c r="C219" s="282">
        <f t="shared" si="41"/>
        <v>1</v>
      </c>
      <c r="D219" s="281">
        <f t="shared" si="42"/>
        <v>39.955172982558864</v>
      </c>
      <c r="E219" s="10">
        <f t="shared" si="43"/>
        <v>1</v>
      </c>
      <c r="F219" s="283">
        <f t="shared" si="50"/>
        <v>0.81594275985580644</v>
      </c>
      <c r="G219" s="283">
        <f t="shared" si="51"/>
        <v>0.81594275985580644</v>
      </c>
      <c r="H219" s="10"/>
      <c r="I219" s="281">
        <f t="shared" si="44"/>
        <v>40.243414104596695</v>
      </c>
      <c r="J219" s="281">
        <f t="shared" si="45"/>
        <v>40.243414104596695</v>
      </c>
      <c r="K219" s="10"/>
      <c r="L219" s="283">
        <f t="shared" si="52"/>
        <v>0.83946814848446571</v>
      </c>
      <c r="M219" s="283">
        <f t="shared" si="53"/>
        <v>0.83946814848446571</v>
      </c>
      <c r="N219" s="10"/>
      <c r="O219" s="281">
        <f t="shared" si="46"/>
        <v>40.702829389673809</v>
      </c>
      <c r="P219" s="281">
        <f t="shared" si="47"/>
        <v>40.702829389673809</v>
      </c>
      <c r="Q219" s="10"/>
      <c r="R219" s="283">
        <f t="shared" si="54"/>
        <v>0.87783308606922628</v>
      </c>
      <c r="S219" s="283">
        <f t="shared" si="55"/>
        <v>0.87783308606922628</v>
      </c>
      <c r="T219" s="10"/>
      <c r="U219" s="281">
        <f t="shared" si="48"/>
        <v>38.607687645052373</v>
      </c>
      <c r="V219" s="281">
        <f t="shared" si="49"/>
        <v>38.607687645052373</v>
      </c>
      <c r="W219" s="10"/>
      <c r="X219" s="10"/>
      <c r="Y219" s="10"/>
    </row>
    <row r="220" spans="1:25" x14ac:dyDescent="0.2">
      <c r="A220" s="280">
        <f t="shared" si="39"/>
        <v>44927</v>
      </c>
      <c r="B220" s="281">
        <f t="shared" si="40"/>
        <v>34.457578879124007</v>
      </c>
      <c r="C220" s="282">
        <f t="shared" si="41"/>
        <v>1</v>
      </c>
      <c r="D220" s="281">
        <f t="shared" si="42"/>
        <v>34.457578879124007</v>
      </c>
      <c r="E220" s="10">
        <f t="shared" si="43"/>
        <v>1</v>
      </c>
      <c r="F220" s="283">
        <f t="shared" si="50"/>
        <v>1.0507914575227646</v>
      </c>
      <c r="G220" s="283">
        <f t="shared" si="51"/>
        <v>1.0507914575227646</v>
      </c>
      <c r="H220" s="10"/>
      <c r="I220" s="281">
        <f t="shared" si="44"/>
        <v>37.901873382070029</v>
      </c>
      <c r="J220" s="281">
        <f t="shared" si="45"/>
        <v>37.901873382070029</v>
      </c>
      <c r="K220" s="10"/>
      <c r="L220" s="283">
        <f t="shared" si="52"/>
        <v>0.88152476837972582</v>
      </c>
      <c r="M220" s="283">
        <f t="shared" si="53"/>
        <v>0.88152476837972582</v>
      </c>
      <c r="N220" s="10"/>
      <c r="O220" s="281">
        <f t="shared" si="46"/>
        <v>40.114725285484759</v>
      </c>
      <c r="P220" s="281">
        <f t="shared" si="47"/>
        <v>40.114725285484759</v>
      </c>
      <c r="Q220" s="10"/>
      <c r="R220" s="283">
        <f t="shared" si="54"/>
        <v>0.88931065460823233</v>
      </c>
      <c r="S220" s="283">
        <f t="shared" si="55"/>
        <v>0.88931065460823233</v>
      </c>
      <c r="T220" s="10"/>
      <c r="U220" s="281">
        <f t="shared" si="48"/>
        <v>38.746483870304516</v>
      </c>
      <c r="V220" s="281">
        <f t="shared" si="49"/>
        <v>38.746483870304516</v>
      </c>
      <c r="W220" s="10"/>
      <c r="X220" s="281" t="s">
        <v>641</v>
      </c>
      <c r="Y220" s="10"/>
    </row>
    <row r="221" spans="1:25" x14ac:dyDescent="0.2">
      <c r="A221" s="280">
        <f t="shared" si="39"/>
        <v>44958</v>
      </c>
      <c r="B221" s="281">
        <f t="shared" si="40"/>
        <v>35.59053999092955</v>
      </c>
      <c r="C221" s="282">
        <f t="shared" si="41"/>
        <v>1</v>
      </c>
      <c r="D221" s="281">
        <f t="shared" si="42"/>
        <v>35.59053999092955</v>
      </c>
      <c r="E221" s="10">
        <f t="shared" si="43"/>
        <v>1</v>
      </c>
      <c r="F221" s="283">
        <f t="shared" si="50"/>
        <v>1.141816846872862</v>
      </c>
      <c r="G221" s="283">
        <f t="shared" si="51"/>
        <v>1.141816846872862</v>
      </c>
      <c r="H221" s="10"/>
      <c r="I221" s="281">
        <f t="shared" si="44"/>
        <v>36.667763950870807</v>
      </c>
      <c r="J221" s="281">
        <f t="shared" si="45"/>
        <v>36.667763950870807</v>
      </c>
      <c r="K221" s="10"/>
      <c r="L221" s="283">
        <f t="shared" si="52"/>
        <v>0.97408191326951465</v>
      </c>
      <c r="M221" s="283">
        <f t="shared" si="53"/>
        <v>0.97408191326951465</v>
      </c>
      <c r="N221" s="10"/>
      <c r="O221" s="281">
        <f t="shared" si="46"/>
        <v>38.594257188957094</v>
      </c>
      <c r="P221" s="281">
        <f t="shared" si="47"/>
        <v>38.594257188957094</v>
      </c>
      <c r="Q221" s="10"/>
      <c r="R221" s="283">
        <f t="shared" si="54"/>
        <v>0.91161274454443397</v>
      </c>
      <c r="S221" s="283">
        <f t="shared" si="55"/>
        <v>0.91161274454443397</v>
      </c>
      <c r="T221" s="10"/>
      <c r="U221" s="281">
        <f t="shared" si="48"/>
        <v>39.114854256927053</v>
      </c>
      <c r="V221" s="281">
        <f t="shared" si="49"/>
        <v>39.114854256927053</v>
      </c>
      <c r="W221" s="10"/>
      <c r="X221" s="10"/>
      <c r="Y221" s="10"/>
    </row>
    <row r="222" spans="1:25" x14ac:dyDescent="0.2">
      <c r="A222" s="280">
        <f t="shared" si="39"/>
        <v>44986</v>
      </c>
      <c r="B222" s="281">
        <f t="shared" si="40"/>
        <v>43.272089036718107</v>
      </c>
      <c r="C222" s="282">
        <f t="shared" si="41"/>
        <v>1</v>
      </c>
      <c r="D222" s="281">
        <f t="shared" si="42"/>
        <v>43.272089036718107</v>
      </c>
      <c r="E222" s="10">
        <f t="shared" si="43"/>
        <v>1</v>
      </c>
      <c r="F222" s="283">
        <f t="shared" si="50"/>
        <v>1.1082299291324875</v>
      </c>
      <c r="G222" s="283">
        <f t="shared" si="51"/>
        <v>1.1082299291324875</v>
      </c>
      <c r="H222" s="10"/>
      <c r="I222" s="281">
        <f t="shared" si="44"/>
        <v>37.77340263559055</v>
      </c>
      <c r="J222" s="281">
        <f t="shared" si="45"/>
        <v>37.77340263559055</v>
      </c>
      <c r="K222" s="10"/>
      <c r="L222" s="283">
        <f t="shared" si="52"/>
        <v>1.1001080910159016</v>
      </c>
      <c r="M222" s="283">
        <f t="shared" si="53"/>
        <v>1.1001080910159016</v>
      </c>
      <c r="N222" s="10"/>
      <c r="O222" s="281">
        <f t="shared" si="46"/>
        <v>39.008408370093626</v>
      </c>
      <c r="P222" s="281">
        <f t="shared" si="47"/>
        <v>39.008408370093626</v>
      </c>
      <c r="Q222" s="10"/>
      <c r="R222" s="283">
        <f t="shared" si="54"/>
        <v>0.94824148369426164</v>
      </c>
      <c r="S222" s="283">
        <f t="shared" si="55"/>
        <v>0.94824148369426164</v>
      </c>
      <c r="T222" s="10"/>
      <c r="U222" s="281">
        <f t="shared" si="48"/>
        <v>39.467017573607855</v>
      </c>
      <c r="V222" s="281">
        <f t="shared" si="49"/>
        <v>39.467017573607855</v>
      </c>
      <c r="W222" s="10"/>
      <c r="X222" s="283">
        <f>IF(U210="NA","NA",+U222/U210)</f>
        <v>0.9617012988359005</v>
      </c>
      <c r="Y222" s="283">
        <f>IF(V210="NA","NA",+V222/V210)</f>
        <v>0.9617012988359005</v>
      </c>
    </row>
    <row r="223" spans="1:25" x14ac:dyDescent="0.2">
      <c r="A223" s="280">
        <f t="shared" si="39"/>
        <v>45017</v>
      </c>
      <c r="B223" s="281">
        <f t="shared" ca="1" si="40"/>
        <v>35.983312262958279</v>
      </c>
      <c r="C223" s="282">
        <f t="shared" si="41"/>
        <v>1</v>
      </c>
      <c r="D223" s="281">
        <f t="shared" ca="1" si="42"/>
        <v>35.983312262958279</v>
      </c>
      <c r="E223" s="10">
        <f t="shared" ca="1" si="43"/>
        <v>1</v>
      </c>
      <c r="F223" s="283">
        <f t="shared" ca="1" si="50"/>
        <v>0.96061043798495427</v>
      </c>
      <c r="G223" s="283">
        <f t="shared" ca="1" si="51"/>
        <v>0.96061043798495427</v>
      </c>
      <c r="H223" s="10"/>
      <c r="I223" s="281">
        <f t="shared" ca="1" si="44"/>
        <v>38.281980430201976</v>
      </c>
      <c r="J223" s="281">
        <f t="shared" ca="1" si="45"/>
        <v>38.281980430201976</v>
      </c>
      <c r="K223" s="10"/>
      <c r="L223" s="283">
        <f ca="1">IF(OR(I211="NA",I223="NA"),"NA",+I223/I211)</f>
        <v>1.0665977924165482</v>
      </c>
      <c r="M223" s="283">
        <f ca="1">IF(OR(J211="NA",J223="NA"),"NA",+J223/J211)</f>
        <v>1.0665977924165482</v>
      </c>
      <c r="N223" s="10"/>
      <c r="O223" s="281">
        <f t="shared" ca="1" si="46"/>
        <v>38.091926906136003</v>
      </c>
      <c r="P223" s="281">
        <f t="shared" ca="1" si="47"/>
        <v>38.091926906136003</v>
      </c>
      <c r="Q223" s="10"/>
      <c r="R223" s="283">
        <f ca="1">IF(OR(O211="NA",O223="NA"),"NA",+O223/O211)</f>
        <v>0.9657279922667189</v>
      </c>
      <c r="S223" s="283">
        <f ca="1">IF(OR(P211="NA",P223="NA"),"NA",+P223/P211)</f>
        <v>0.9657279922667189</v>
      </c>
      <c r="T223" s="10"/>
      <c r="U223" s="281">
        <f t="shared" ca="1" si="48"/>
        <v>39.344060436680273</v>
      </c>
      <c r="V223" s="281">
        <f t="shared" ca="1" si="49"/>
        <v>39.344060436680273</v>
      </c>
      <c r="W223" s="10"/>
      <c r="X223" s="283">
        <f ca="1">IF(OR(U211="NA",U223="NA"),"NA",+U223/U211)</f>
        <v>0.95562192317529437</v>
      </c>
      <c r="Y223" s="283">
        <f ca="1">IF(OR(V211="NA",V223="NA"),"NA",+V223/V211)</f>
        <v>0.95562192317529437</v>
      </c>
    </row>
    <row r="224" spans="1:25" x14ac:dyDescent="0.2">
      <c r="A224" s="280">
        <f t="shared" si="39"/>
        <v>45047</v>
      </c>
      <c r="B224" s="281">
        <f t="shared" ca="1" si="40"/>
        <v>40.251983787602725</v>
      </c>
      <c r="C224" s="282">
        <f t="shared" si="41"/>
        <v>1</v>
      </c>
      <c r="D224" s="281">
        <f t="shared" ca="1" si="42"/>
        <v>40.251983787602725</v>
      </c>
      <c r="E224" s="10">
        <f t="shared" ca="1" si="43"/>
        <v>1</v>
      </c>
      <c r="F224" s="283">
        <f t="shared" ca="1" si="50"/>
        <v>1.0262865970397368</v>
      </c>
      <c r="G224" s="283">
        <f t="shared" ca="1" si="51"/>
        <v>1.0262865970397368</v>
      </c>
      <c r="H224" s="10"/>
      <c r="I224" s="281">
        <f t="shared" ca="1" si="44"/>
        <v>39.835795029093035</v>
      </c>
      <c r="J224" s="281">
        <f t="shared" ca="1" si="45"/>
        <v>39.835795029093035</v>
      </c>
      <c r="K224" s="10"/>
      <c r="L224" s="283">
        <f t="shared" ref="L224:M234" ca="1" si="56">IF(OR(I212="NA",I224="NA"),"NA",+I224/I212)</f>
        <v>1.0326760034726068</v>
      </c>
      <c r="M224" s="283">
        <f t="shared" ca="1" si="56"/>
        <v>1.0326760034726068</v>
      </c>
      <c r="N224" s="10"/>
      <c r="O224" s="281">
        <f t="shared" ca="1" si="46"/>
        <v>38.251779489981921</v>
      </c>
      <c r="P224" s="281">
        <f t="shared" ca="1" si="47"/>
        <v>38.251779489981921</v>
      </c>
      <c r="Q224" s="10"/>
      <c r="R224" s="283">
        <f t="shared" ref="R224:R234" ca="1" si="57">IF(OR(O212="NA",O224="NA"),"NA",+O224/O212)</f>
        <v>1.0037371628781915</v>
      </c>
      <c r="S224" s="283">
        <f t="shared" ref="S224:S234" ca="1" si="58">IF(OR(P212="NA",P224="NA"),"NA",+P224/P212)</f>
        <v>1.0037371628781915</v>
      </c>
      <c r="T224" s="10"/>
      <c r="U224" s="281">
        <f t="shared" ca="1" si="48"/>
        <v>39.429975982503983</v>
      </c>
      <c r="V224" s="281">
        <f t="shared" ca="1" si="49"/>
        <v>39.429975982503983</v>
      </c>
      <c r="W224" s="10"/>
      <c r="X224" s="283">
        <f t="shared" ref="X224:X234" ca="1" si="59">IF(OR(U212="NA",U224="NA"),"NA",+U224/U212)</f>
        <v>0.95263939033517819</v>
      </c>
      <c r="Y224" s="283">
        <f t="shared" ref="Y224:Y234" ca="1" si="60">IF(OR(V212="NA",V224="NA"),"NA",+V224/V212)</f>
        <v>0.95263939033517819</v>
      </c>
    </row>
    <row r="225" spans="1:25" x14ac:dyDescent="0.2">
      <c r="A225" s="280">
        <f t="shared" si="39"/>
        <v>45078</v>
      </c>
      <c r="B225" s="281">
        <f t="shared" ca="1" si="40"/>
        <v>40.966554665288186</v>
      </c>
      <c r="C225" s="282">
        <f t="shared" si="41"/>
        <v>1</v>
      </c>
      <c r="D225" s="281">
        <f t="shared" ca="1" si="42"/>
        <v>40.966554665288186</v>
      </c>
      <c r="E225" s="10">
        <f t="shared" ca="1" si="43"/>
        <v>1</v>
      </c>
      <c r="F225" s="283">
        <f t="shared" ca="1" si="50"/>
        <v>1.0400973389264379</v>
      </c>
      <c r="G225" s="283">
        <f t="shared" ca="1" si="51"/>
        <v>1.0400973389264379</v>
      </c>
      <c r="H225" s="10"/>
      <c r="I225" s="281">
        <f t="shared" ca="1" si="44"/>
        <v>39.06728357194973</v>
      </c>
      <c r="J225" s="281">
        <f t="shared" ca="1" si="45"/>
        <v>39.06728357194973</v>
      </c>
      <c r="K225" s="10"/>
      <c r="L225" s="283">
        <f t="shared" ca="1" si="56"/>
        <v>1.0097773166956727</v>
      </c>
      <c r="M225" s="283">
        <f t="shared" ca="1" si="56"/>
        <v>1.0097773166956727</v>
      </c>
      <c r="N225" s="10"/>
      <c r="O225" s="281">
        <f t="shared" ca="1" si="46"/>
        <v>38.420343103770144</v>
      </c>
      <c r="P225" s="281">
        <f t="shared" ca="1" si="47"/>
        <v>38.420343103770144</v>
      </c>
      <c r="Q225" s="10"/>
      <c r="R225" s="283">
        <f t="shared" ca="1" si="57"/>
        <v>1.0522504568304205</v>
      </c>
      <c r="S225" s="283">
        <f t="shared" ca="1" si="58"/>
        <v>1.0522504568304205</v>
      </c>
      <c r="T225" s="10"/>
      <c r="U225" s="281">
        <f t="shared" ca="1" si="48"/>
        <v>39.56158624672198</v>
      </c>
      <c r="V225" s="281">
        <f t="shared" ca="1" si="49"/>
        <v>39.56158624672198</v>
      </c>
      <c r="W225" s="10"/>
      <c r="X225" s="283">
        <f t="shared" ca="1" si="59"/>
        <v>0.95467221676369407</v>
      </c>
      <c r="Y225" s="283">
        <f t="shared" ca="1" si="60"/>
        <v>0.95467221676369407</v>
      </c>
    </row>
    <row r="226" spans="1:25" x14ac:dyDescent="0.2">
      <c r="A226" s="280">
        <f t="shared" si="39"/>
        <v>45108</v>
      </c>
      <c r="B226" s="281">
        <f t="shared" ca="1" si="40"/>
        <v>38.321848276874519</v>
      </c>
      <c r="C226" s="282">
        <f t="shared" si="41"/>
        <v>1</v>
      </c>
      <c r="D226" s="281">
        <f t="shared" ca="1" si="42"/>
        <v>38.321848276874519</v>
      </c>
      <c r="E226" s="10">
        <f t="shared" ca="1" si="43"/>
        <v>1</v>
      </c>
      <c r="F226" s="283">
        <f t="shared" ca="1" si="50"/>
        <v>1.0088359652098058</v>
      </c>
      <c r="G226" s="283">
        <f t="shared" ca="1" si="51"/>
        <v>1.0088359652098058</v>
      </c>
      <c r="H226" s="10"/>
      <c r="I226" s="281">
        <f t="shared" ca="1" si="44"/>
        <v>39.846795576588477</v>
      </c>
      <c r="J226" s="281">
        <f t="shared" ca="1" si="45"/>
        <v>39.846795576588477</v>
      </c>
      <c r="K226" s="10"/>
      <c r="L226" s="283">
        <f t="shared" ca="1" si="56"/>
        <v>1.0252666824358934</v>
      </c>
      <c r="M226" s="283">
        <f t="shared" ca="1" si="56"/>
        <v>1.0252666824358934</v>
      </c>
      <c r="N226" s="10"/>
      <c r="O226" s="281">
        <f t="shared" ca="1" si="46"/>
        <v>39.06438800339523</v>
      </c>
      <c r="P226" s="281">
        <f t="shared" ca="1" si="47"/>
        <v>39.06438800339523</v>
      </c>
      <c r="Q226" s="10"/>
      <c r="R226" s="283">
        <f t="shared" ca="1" si="57"/>
        <v>1.0451103486284921</v>
      </c>
      <c r="S226" s="283">
        <f t="shared" ca="1" si="58"/>
        <v>1.0451103486284921</v>
      </c>
      <c r="T226" s="10"/>
      <c r="U226" s="281">
        <f t="shared" ca="1" si="48"/>
        <v>39.589556644439995</v>
      </c>
      <c r="V226" s="281">
        <f t="shared" ca="1" si="49"/>
        <v>39.589556644439995</v>
      </c>
      <c r="W226" s="10"/>
      <c r="X226" s="283">
        <f t="shared" ca="1" si="59"/>
        <v>0.95991082208372724</v>
      </c>
      <c r="Y226" s="283">
        <f t="shared" ca="1" si="60"/>
        <v>0.95991082208372724</v>
      </c>
    </row>
    <row r="227" spans="1:25" x14ac:dyDescent="0.2">
      <c r="A227" s="280">
        <f t="shared" si="39"/>
        <v>45139</v>
      </c>
      <c r="B227" s="281">
        <f t="shared" ca="1" si="40"/>
        <v>43.908844442170953</v>
      </c>
      <c r="C227" s="282">
        <f t="shared" si="41"/>
        <v>1</v>
      </c>
      <c r="D227" s="281">
        <f t="shared" ca="1" si="42"/>
        <v>43.908844442170953</v>
      </c>
      <c r="E227" s="10">
        <f t="shared" ca="1" si="43"/>
        <v>1</v>
      </c>
      <c r="F227" s="283">
        <f t="shared" ca="1" si="50"/>
        <v>0.98200751780727413</v>
      </c>
      <c r="G227" s="283">
        <f t="shared" ca="1" si="51"/>
        <v>0.98200751780727413</v>
      </c>
      <c r="H227" s="10"/>
      <c r="I227" s="281">
        <f t="shared" ca="1" si="44"/>
        <v>41.065749128111214</v>
      </c>
      <c r="J227" s="281">
        <f t="shared" ca="1" si="45"/>
        <v>41.065749128111214</v>
      </c>
      <c r="K227" s="10"/>
      <c r="L227" s="283">
        <f t="shared" ca="1" si="56"/>
        <v>1.0090956922841672</v>
      </c>
      <c r="M227" s="283">
        <f t="shared" ca="1" si="56"/>
        <v>1.0090956922841672</v>
      </c>
      <c r="N227" s="10"/>
      <c r="O227" s="281">
        <f t="shared" ca="1" si="46"/>
        <v>40.450772078602121</v>
      </c>
      <c r="P227" s="281">
        <f t="shared" ca="1" si="47"/>
        <v>40.450772078602121</v>
      </c>
      <c r="Q227" s="10"/>
      <c r="R227" s="283">
        <f t="shared" ca="1" si="57"/>
        <v>1.0205704924871883</v>
      </c>
      <c r="S227" s="283">
        <f t="shared" ca="1" si="58"/>
        <v>1.0205704924871883</v>
      </c>
      <c r="T227" s="10"/>
      <c r="U227" s="281">
        <f t="shared" ca="1" si="48"/>
        <v>39.522514633779615</v>
      </c>
      <c r="V227" s="281">
        <f t="shared" ca="1" si="49"/>
        <v>39.522514633779615</v>
      </c>
      <c r="W227" s="10"/>
      <c r="X227" s="283">
        <f t="shared" ca="1" si="59"/>
        <v>0.96429665740606074</v>
      </c>
      <c r="Y227" s="283">
        <f t="shared" ca="1" si="60"/>
        <v>0.96429665740606074</v>
      </c>
    </row>
    <row r="228" spans="1:25" x14ac:dyDescent="0.2">
      <c r="A228" s="280">
        <f t="shared" si="39"/>
        <v>45170</v>
      </c>
      <c r="B228" s="281">
        <f t="shared" ca="1" si="40"/>
        <v>39.63601951304247</v>
      </c>
      <c r="C228" s="282">
        <f t="shared" si="41"/>
        <v>1</v>
      </c>
      <c r="D228" s="281">
        <f t="shared" ca="1" si="42"/>
        <v>39.63601951304247</v>
      </c>
      <c r="E228" s="10">
        <f t="shared" ca="1" si="43"/>
        <v>1</v>
      </c>
      <c r="F228" s="283">
        <f t="shared" ca="1" si="50"/>
        <v>0.97177636743155027</v>
      </c>
      <c r="G228" s="283">
        <f t="shared" ca="1" si="51"/>
        <v>0.97177636743155027</v>
      </c>
      <c r="H228" s="10"/>
      <c r="I228" s="281">
        <f t="shared" ca="1" si="44"/>
        <v>40.62223741069598</v>
      </c>
      <c r="J228" s="281">
        <f t="shared" ca="1" si="45"/>
        <v>40.62223741069598</v>
      </c>
      <c r="K228" s="10"/>
      <c r="L228" s="283">
        <f t="shared" ca="1" si="56"/>
        <v>0.98688100543782598</v>
      </c>
      <c r="M228" s="283">
        <f t="shared" ca="1" si="56"/>
        <v>0.98688100543782598</v>
      </c>
      <c r="N228" s="10"/>
      <c r="O228" s="281">
        <f t="shared" ca="1" si="46"/>
        <v>39.844760491322859</v>
      </c>
      <c r="P228" s="281">
        <f t="shared" ca="1" si="47"/>
        <v>39.844760491322859</v>
      </c>
      <c r="Q228" s="10"/>
      <c r="R228" s="283">
        <f t="shared" ca="1" si="57"/>
        <v>0.99797457692397318</v>
      </c>
      <c r="S228" s="283">
        <f t="shared" ca="1" si="58"/>
        <v>0.99797457692397318</v>
      </c>
      <c r="T228" s="10"/>
      <c r="U228" s="281">
        <f t="shared" ca="1" si="48"/>
        <v>39.426584430708239</v>
      </c>
      <c r="V228" s="281">
        <f t="shared" ca="1" si="49"/>
        <v>39.426584430708239</v>
      </c>
      <c r="W228" s="10"/>
      <c r="X228" s="283">
        <f t="shared" ca="1" si="59"/>
        <v>0.97273624211182141</v>
      </c>
      <c r="Y228" s="283">
        <f t="shared" ca="1" si="60"/>
        <v>0.97273624211182141</v>
      </c>
    </row>
    <row r="229" spans="1:25" x14ac:dyDescent="0.2">
      <c r="A229" s="280">
        <f t="shared" si="39"/>
        <v>45200</v>
      </c>
      <c r="B229" s="281">
        <f t="shared" ca="1" si="40"/>
        <v>45.354256209484092</v>
      </c>
      <c r="C229" s="282">
        <f t="shared" si="41"/>
        <v>1</v>
      </c>
      <c r="D229" s="281">
        <f t="shared" ca="1" si="42"/>
        <v>45.354256209484092</v>
      </c>
      <c r="E229" s="10">
        <f t="shared" ca="1" si="43"/>
        <v>1</v>
      </c>
      <c r="F229" s="283">
        <f t="shared" ca="1" si="50"/>
        <v>1.0933425677779396</v>
      </c>
      <c r="G229" s="283">
        <f t="shared" ca="1" si="51"/>
        <v>1.0933425677779396</v>
      </c>
      <c r="H229" s="10"/>
      <c r="I229" s="281">
        <f t="shared" ca="1" si="44"/>
        <v>42.966373388232512</v>
      </c>
      <c r="J229" s="281">
        <f t="shared" ca="1" si="45"/>
        <v>42.966373388232512</v>
      </c>
      <c r="K229" s="10"/>
      <c r="L229" s="283">
        <f t="shared" ca="1" si="56"/>
        <v>1.0150917260508958</v>
      </c>
      <c r="M229" s="283">
        <f t="shared" ca="1" si="56"/>
        <v>1.0150917260508958</v>
      </c>
      <c r="N229" s="10"/>
      <c r="O229" s="281">
        <f t="shared" ca="1" si="46"/>
        <v>41.406584482410494</v>
      </c>
      <c r="P229" s="281">
        <f t="shared" ca="1" si="47"/>
        <v>41.406584482410494</v>
      </c>
      <c r="Q229" s="10"/>
      <c r="R229" s="283">
        <f t="shared" ca="1" si="57"/>
        <v>1.0199622288690469</v>
      </c>
      <c r="S229" s="283">
        <f t="shared" ca="1" si="58"/>
        <v>1.0199622288690469</v>
      </c>
      <c r="T229" s="10"/>
      <c r="U229" s="281">
        <f t="shared" ca="1" si="48"/>
        <v>39.749255694273252</v>
      </c>
      <c r="V229" s="281">
        <f t="shared" ca="1" si="49"/>
        <v>39.749255694273252</v>
      </c>
      <c r="W229" s="10"/>
      <c r="X229" s="283">
        <f t="shared" ca="1" si="59"/>
        <v>0.99323555495752747</v>
      </c>
      <c r="Y229" s="283">
        <f t="shared" ca="1" si="60"/>
        <v>0.99323555495752747</v>
      </c>
    </row>
    <row r="230" spans="1:25" x14ac:dyDescent="0.2">
      <c r="A230" s="280">
        <f t="shared" si="39"/>
        <v>45231</v>
      </c>
      <c r="B230" s="281">
        <f t="shared" ca="1" si="40"/>
        <v>42.107491445560107</v>
      </c>
      <c r="C230" s="282">
        <f t="shared" si="41"/>
        <v>1</v>
      </c>
      <c r="D230" s="281">
        <f t="shared" ca="1" si="42"/>
        <v>42.107491445560107</v>
      </c>
      <c r="E230" s="10">
        <f t="shared" ca="1" si="43"/>
        <v>1</v>
      </c>
      <c r="F230" s="283">
        <f t="shared" ca="1" si="50"/>
        <v>1.0716319088912436</v>
      </c>
      <c r="G230" s="283">
        <f t="shared" ca="1" si="51"/>
        <v>1.0716319088912436</v>
      </c>
      <c r="H230" s="10"/>
      <c r="I230" s="281">
        <f t="shared" ca="1" si="44"/>
        <v>42.365922389362225</v>
      </c>
      <c r="J230" s="281">
        <f t="shared" ca="1" si="45"/>
        <v>42.365922389362225</v>
      </c>
      <c r="K230" s="10"/>
      <c r="L230" s="283">
        <f t="shared" ca="1" si="56"/>
        <v>1.0455364706446153</v>
      </c>
      <c r="M230" s="283">
        <f t="shared" ca="1" si="56"/>
        <v>1.0455364706446153</v>
      </c>
      <c r="N230" s="10"/>
      <c r="O230" s="281">
        <f t="shared" ca="1" si="46"/>
        <v>41.715835758736723</v>
      </c>
      <c r="P230" s="281">
        <f t="shared" ca="1" si="47"/>
        <v>41.715835758736723</v>
      </c>
      <c r="Q230" s="10"/>
      <c r="R230" s="283">
        <f t="shared" ca="1" si="57"/>
        <v>1.0272768562631549</v>
      </c>
      <c r="S230" s="283">
        <f t="shared" ca="1" si="58"/>
        <v>1.0272768562631549</v>
      </c>
      <c r="T230" s="10"/>
      <c r="U230" s="281">
        <f t="shared" ca="1" si="48"/>
        <v>39.983807624359322</v>
      </c>
      <c r="V230" s="281">
        <f t="shared" ca="1" si="49"/>
        <v>39.983807624359322</v>
      </c>
      <c r="W230" s="10"/>
      <c r="X230" s="283">
        <f t="shared" ca="1" si="59"/>
        <v>1.015880632265681</v>
      </c>
      <c r="Y230" s="283">
        <f t="shared" ca="1" si="60"/>
        <v>1.015880632265681</v>
      </c>
    </row>
    <row r="231" spans="1:25" x14ac:dyDescent="0.2">
      <c r="A231" s="280">
        <f t="shared" si="39"/>
        <v>45261</v>
      </c>
      <c r="B231" s="281">
        <f t="shared" ca="1" si="40"/>
        <v>39.732638501839261</v>
      </c>
      <c r="C231" s="282">
        <f t="shared" si="41"/>
        <v>1</v>
      </c>
      <c r="D231" s="281">
        <f t="shared" ca="1" si="42"/>
        <v>39.732638501839261</v>
      </c>
      <c r="E231" s="10">
        <f t="shared" ca="1" si="43"/>
        <v>1</v>
      </c>
      <c r="F231" s="283">
        <f t="shared" ca="1" si="50"/>
        <v>0.9944303962639145</v>
      </c>
      <c r="G231" s="283">
        <f t="shared" ca="1" si="51"/>
        <v>0.9944303962639145</v>
      </c>
      <c r="H231" s="10"/>
      <c r="I231" s="281">
        <f t="shared" ca="1" si="44"/>
        <v>42.398128718961154</v>
      </c>
      <c r="J231" s="281">
        <f t="shared" ca="1" si="45"/>
        <v>42.398128718961154</v>
      </c>
      <c r="K231" s="10"/>
      <c r="L231" s="283">
        <f t="shared" ca="1" si="56"/>
        <v>1.0535420431468399</v>
      </c>
      <c r="M231" s="283">
        <f t="shared" ca="1" si="56"/>
        <v>1.0535420431468399</v>
      </c>
      <c r="N231" s="10"/>
      <c r="O231" s="281">
        <f t="shared" ca="1" si="46"/>
        <v>41.510183064828567</v>
      </c>
      <c r="P231" s="281">
        <f t="shared" ca="1" si="47"/>
        <v>41.510183064828567</v>
      </c>
      <c r="Q231" s="10"/>
      <c r="R231" s="283">
        <f t="shared" ca="1" si="57"/>
        <v>1.0198353207199788</v>
      </c>
      <c r="S231" s="283">
        <f t="shared" ca="1" si="58"/>
        <v>1.0198353207199788</v>
      </c>
      <c r="T231" s="10"/>
      <c r="U231" s="281">
        <f t="shared" ca="1" si="48"/>
        <v>39.965263084299359</v>
      </c>
      <c r="V231" s="281">
        <f t="shared" ca="1" si="49"/>
        <v>39.965263084299359</v>
      </c>
      <c r="W231" s="10"/>
      <c r="X231" s="283">
        <f t="shared" ca="1" si="59"/>
        <v>1.0351633449723312</v>
      </c>
      <c r="Y231" s="283">
        <f t="shared" ca="1" si="60"/>
        <v>1.0351633449723312</v>
      </c>
    </row>
    <row r="232" spans="1:25" x14ac:dyDescent="0.2">
      <c r="A232" s="280">
        <f t="shared" si="39"/>
        <v>45292</v>
      </c>
      <c r="B232" s="281">
        <f t="shared" ca="1" si="40"/>
        <v>37.056707228213348</v>
      </c>
      <c r="C232" s="282">
        <f t="shared" si="41"/>
        <v>1</v>
      </c>
      <c r="D232" s="281">
        <f t="shared" ca="1" si="42"/>
        <v>37.056707228213348</v>
      </c>
      <c r="E232" s="10">
        <f t="shared" ca="1" si="43"/>
        <v>1</v>
      </c>
      <c r="F232" s="283">
        <f t="shared" ca="1" si="50"/>
        <v>1.0754298019082245</v>
      </c>
      <c r="G232" s="283">
        <f t="shared" ca="1" si="51"/>
        <v>1.0754298019082245</v>
      </c>
      <c r="H232" s="10"/>
      <c r="I232" s="281">
        <f t="shared" ca="1" si="44"/>
        <v>39.63227905853757</v>
      </c>
      <c r="J232" s="281">
        <f t="shared" ca="1" si="45"/>
        <v>39.63227905853757</v>
      </c>
      <c r="K232" s="10"/>
      <c r="L232" s="283">
        <f t="shared" ca="1" si="56"/>
        <v>1.0456548851563134</v>
      </c>
      <c r="M232" s="283">
        <f t="shared" ca="1" si="56"/>
        <v>1.0456548851563134</v>
      </c>
      <c r="N232" s="10"/>
      <c r="O232" s="281">
        <f t="shared" ca="1" si="46"/>
        <v>41.299326223385044</v>
      </c>
      <c r="P232" s="281">
        <f t="shared" ca="1" si="47"/>
        <v>41.299326223385044</v>
      </c>
      <c r="Q232" s="10"/>
      <c r="R232" s="283">
        <f t="shared" ca="1" si="57"/>
        <v>1.0295303265688553</v>
      </c>
      <c r="S232" s="283">
        <f t="shared" ca="1" si="58"/>
        <v>1.0295303265688553</v>
      </c>
      <c r="T232" s="10"/>
      <c r="U232" s="281">
        <f t="shared" ca="1" si="48"/>
        <v>40.18185711339013</v>
      </c>
      <c r="V232" s="281">
        <f t="shared" ca="1" si="49"/>
        <v>40.18185711339013</v>
      </c>
      <c r="W232" s="10"/>
      <c r="X232" s="283">
        <f t="shared" ca="1" si="59"/>
        <v>1.0370452515869624</v>
      </c>
      <c r="Y232" s="283">
        <f t="shared" ca="1" si="60"/>
        <v>1.0370452515869624</v>
      </c>
    </row>
    <row r="233" spans="1:25" x14ac:dyDescent="0.2">
      <c r="A233" s="280">
        <f t="shared" si="39"/>
        <v>45323</v>
      </c>
      <c r="B233" s="281">
        <f t="shared" ca="1" si="40"/>
        <v>37.540722153702205</v>
      </c>
      <c r="C233" s="282">
        <f t="shared" si="41"/>
        <v>1</v>
      </c>
      <c r="D233" s="281">
        <f t="shared" ca="1" si="42"/>
        <v>37.540722153702205</v>
      </c>
      <c r="E233" s="10">
        <f t="shared" ca="1" si="43"/>
        <v>1</v>
      </c>
      <c r="F233" s="283">
        <f t="shared" ca="1" si="50"/>
        <v>1.0547949585274534</v>
      </c>
      <c r="G233" s="283">
        <f t="shared" ca="1" si="51"/>
        <v>1.0547949585274534</v>
      </c>
      <c r="H233" s="10"/>
      <c r="I233" s="281">
        <f t="shared" ca="1" si="44"/>
        <v>38.110022627918276</v>
      </c>
      <c r="J233" s="281">
        <f t="shared" ca="1" si="45"/>
        <v>38.110022627918276</v>
      </c>
      <c r="K233" s="10"/>
      <c r="L233" s="283">
        <f t="shared" ca="1" si="56"/>
        <v>1.0393331504746206</v>
      </c>
      <c r="M233" s="283">
        <f t="shared" ca="1" si="56"/>
        <v>1.0393331504746206</v>
      </c>
      <c r="N233" s="10"/>
      <c r="O233" s="281">
        <f t="shared" ca="1" si="46"/>
        <v>40.237972508640247</v>
      </c>
      <c r="P233" s="281">
        <f t="shared" ca="1" si="47"/>
        <v>40.237972508640247</v>
      </c>
      <c r="Q233" s="10"/>
      <c r="R233" s="283">
        <f t="shared" ca="1" si="57"/>
        <v>1.0425896348162769</v>
      </c>
      <c r="S233" s="283">
        <f t="shared" ca="1" si="58"/>
        <v>1.0425896348162769</v>
      </c>
      <c r="T233" s="10"/>
      <c r="U233" s="281">
        <f t="shared" ca="1" si="48"/>
        <v>40.344372293621184</v>
      </c>
      <c r="V233" s="281">
        <f t="shared" ca="1" si="49"/>
        <v>40.344372293621184</v>
      </c>
      <c r="W233" s="10"/>
      <c r="X233" s="283">
        <f t="shared" ca="1" si="59"/>
        <v>1.0314335323511117</v>
      </c>
      <c r="Y233" s="283">
        <f t="shared" ca="1" si="60"/>
        <v>1.0314335323511117</v>
      </c>
    </row>
    <row r="234" spans="1:25" x14ac:dyDescent="0.2">
      <c r="A234" s="280">
        <f t="shared" si="39"/>
        <v>45352</v>
      </c>
      <c r="B234" s="281">
        <f t="shared" ca="1" si="40"/>
        <v>41.849998787231975</v>
      </c>
      <c r="C234" s="282">
        <f t="shared" si="41"/>
        <v>1</v>
      </c>
      <c r="D234" s="281">
        <f t="shared" ca="1" si="42"/>
        <v>41.849998787231975</v>
      </c>
      <c r="E234" s="10">
        <f t="shared" ca="1" si="43"/>
        <v>1</v>
      </c>
      <c r="F234" s="283">
        <f t="shared" ca="1" si="50"/>
        <v>0.96713608514995819</v>
      </c>
      <c r="G234" s="283">
        <f t="shared" ca="1" si="51"/>
        <v>0.96713608514995819</v>
      </c>
      <c r="H234" s="10"/>
      <c r="I234" s="281">
        <f t="shared" ca="1" si="44"/>
        <v>38.815809389715845</v>
      </c>
      <c r="J234" s="281">
        <f t="shared" ca="1" si="45"/>
        <v>38.815809389715845</v>
      </c>
      <c r="K234" s="10"/>
      <c r="L234" s="283">
        <f t="shared" ca="1" si="56"/>
        <v>1.027596315962892</v>
      </c>
      <c r="M234" s="283">
        <f t="shared" ca="1" si="56"/>
        <v>1.027596315962892</v>
      </c>
      <c r="N234" s="10"/>
      <c r="O234" s="281">
        <f t="shared" ca="1" si="46"/>
        <v>40.606969054338499</v>
      </c>
      <c r="P234" s="281">
        <f t="shared" ca="1" si="47"/>
        <v>40.606969054338499</v>
      </c>
      <c r="Q234" s="10"/>
      <c r="R234" s="283">
        <f t="shared" ca="1" si="57"/>
        <v>1.0409799002583873</v>
      </c>
      <c r="S234" s="283">
        <f t="shared" ca="1" si="58"/>
        <v>1.0409799002583873</v>
      </c>
      <c r="T234" s="10"/>
      <c r="U234" s="281">
        <f ca="1">IF(SUM($E223:$E234)=12,AVERAGE(B223:B234),"NA")</f>
        <v>40.225864772830683</v>
      </c>
      <c r="V234" s="281">
        <f ca="1">IF(SUM($E223:$E234)=12,AVERAGE(D223:D234),"NA")</f>
        <v>40.225864772830683</v>
      </c>
      <c r="W234" s="10"/>
      <c r="X234" s="283">
        <f t="shared" ca="1" si="59"/>
        <v>1.0192273763227115</v>
      </c>
      <c r="Y234" s="283">
        <f t="shared" ca="1" si="60"/>
        <v>1.0192273763227115</v>
      </c>
    </row>
    <row r="236" spans="1:25" x14ac:dyDescent="0.2">
      <c r="A236" t="s">
        <v>607</v>
      </c>
    </row>
    <row r="237" spans="1:25" x14ac:dyDescent="0.2">
      <c r="B237" s="2" t="s">
        <v>96</v>
      </c>
      <c r="C237" s="125" t="s">
        <v>580</v>
      </c>
      <c r="D237" s="11"/>
      <c r="F237" s="125" t="s">
        <v>579</v>
      </c>
      <c r="G237" s="11"/>
      <c r="I237" s="9" t="s">
        <v>575</v>
      </c>
      <c r="J237" s="11"/>
      <c r="L237" s="125" t="s">
        <v>579</v>
      </c>
      <c r="M237" s="11"/>
      <c r="O237" s="9" t="s">
        <v>576</v>
      </c>
      <c r="P237" s="11"/>
      <c r="R237" s="125" t="s">
        <v>579</v>
      </c>
      <c r="S237" s="11"/>
      <c r="U237" s="125" t="s">
        <v>600</v>
      </c>
      <c r="V237" s="11"/>
      <c r="X237" s="125" t="s">
        <v>579</v>
      </c>
      <c r="Y237" s="11"/>
    </row>
    <row r="238" spans="1:25" x14ac:dyDescent="0.2">
      <c r="A238" s="38" t="s">
        <v>41</v>
      </c>
      <c r="B238" s="8" t="s">
        <v>101</v>
      </c>
      <c r="C238" s="8" t="s">
        <v>591</v>
      </c>
      <c r="D238" s="8" t="s">
        <v>236</v>
      </c>
      <c r="F238" s="8" t="s">
        <v>260</v>
      </c>
      <c r="G238" s="8" t="s">
        <v>236</v>
      </c>
      <c r="I238" s="8" t="s">
        <v>260</v>
      </c>
      <c r="J238" s="8" t="s">
        <v>236</v>
      </c>
      <c r="L238" s="8" t="s">
        <v>260</v>
      </c>
      <c r="M238" s="8" t="s">
        <v>236</v>
      </c>
      <c r="O238" s="8" t="s">
        <v>260</v>
      </c>
      <c r="P238" s="8" t="s">
        <v>236</v>
      </c>
      <c r="R238" s="8" t="s">
        <v>260</v>
      </c>
      <c r="S238" s="8" t="s">
        <v>236</v>
      </c>
      <c r="U238" s="8" t="s">
        <v>260</v>
      </c>
      <c r="V238" s="8" t="s">
        <v>236</v>
      </c>
      <c r="X238" s="8" t="s">
        <v>260</v>
      </c>
      <c r="Y238" s="8" t="s">
        <v>236</v>
      </c>
    </row>
    <row r="239" spans="1:25" x14ac:dyDescent="0.2">
      <c r="A239" s="318">
        <f>+A199</f>
        <v>44287</v>
      </c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</row>
    <row r="240" spans="1:25" x14ac:dyDescent="0.2">
      <c r="A240" s="319">
        <f t="shared" ref="A240:A274" si="61">+A200</f>
        <v>44317</v>
      </c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</row>
    <row r="241" spans="1:25" x14ac:dyDescent="0.2">
      <c r="A241" s="319">
        <f t="shared" si="61"/>
        <v>44348</v>
      </c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</row>
    <row r="242" spans="1:25" x14ac:dyDescent="0.2">
      <c r="A242" s="319">
        <f t="shared" si="61"/>
        <v>44378</v>
      </c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</row>
    <row r="243" spans="1:25" x14ac:dyDescent="0.2">
      <c r="A243" s="319">
        <f t="shared" si="61"/>
        <v>44409</v>
      </c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</row>
    <row r="244" spans="1:25" x14ac:dyDescent="0.2">
      <c r="A244" s="319">
        <f t="shared" si="61"/>
        <v>44440</v>
      </c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</row>
    <row r="245" spans="1:25" x14ac:dyDescent="0.2">
      <c r="A245" s="319">
        <f t="shared" si="61"/>
        <v>44470</v>
      </c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</row>
    <row r="246" spans="1:25" x14ac:dyDescent="0.2">
      <c r="A246" s="319">
        <f t="shared" si="61"/>
        <v>44501</v>
      </c>
      <c r="B246" s="10"/>
      <c r="C246" s="10"/>
      <c r="D246" s="10"/>
      <c r="E246" s="10"/>
      <c r="F246" s="148"/>
      <c r="G246" s="148"/>
      <c r="H246" s="10"/>
      <c r="I246" s="10"/>
      <c r="J246" s="10"/>
      <c r="K246" s="10"/>
      <c r="L246" s="148"/>
      <c r="M246" s="148"/>
      <c r="N246" s="10"/>
      <c r="O246" s="10"/>
      <c r="P246" s="10"/>
      <c r="Q246" s="10"/>
      <c r="R246" s="148"/>
      <c r="S246" s="148"/>
      <c r="T246" s="10"/>
      <c r="U246" s="10"/>
      <c r="V246" s="10"/>
      <c r="W246" s="10"/>
      <c r="X246" s="148"/>
      <c r="Y246" s="148"/>
    </row>
    <row r="247" spans="1:25" x14ac:dyDescent="0.2">
      <c r="A247" s="319">
        <f t="shared" si="61"/>
        <v>44531</v>
      </c>
      <c r="B247" s="10"/>
      <c r="C247" s="10"/>
      <c r="D247" s="10"/>
      <c r="E247" s="10"/>
      <c r="F247" s="148"/>
      <c r="G247" s="148"/>
      <c r="H247" s="10"/>
      <c r="I247" s="10"/>
      <c r="J247" s="10"/>
      <c r="K247" s="10"/>
      <c r="L247" s="148"/>
      <c r="M247" s="148"/>
      <c r="N247" s="10"/>
      <c r="O247" s="10"/>
      <c r="P247" s="10"/>
      <c r="Q247" s="10"/>
      <c r="R247" s="148"/>
      <c r="S247" s="148"/>
      <c r="T247" s="10"/>
      <c r="U247" s="10"/>
      <c r="V247" s="10"/>
      <c r="W247" s="10"/>
      <c r="X247" s="148"/>
      <c r="Y247" s="148"/>
    </row>
    <row r="248" spans="1:25" x14ac:dyDescent="0.2">
      <c r="A248" s="319">
        <f t="shared" si="61"/>
        <v>44562</v>
      </c>
      <c r="B248" s="10"/>
      <c r="C248" s="10"/>
      <c r="D248" s="10"/>
      <c r="E248" s="10"/>
      <c r="F248" s="148"/>
      <c r="G248" s="148"/>
      <c r="H248" s="10"/>
      <c r="I248" s="10"/>
      <c r="J248" s="10"/>
      <c r="K248" s="10"/>
      <c r="L248" s="148"/>
      <c r="M248" s="148"/>
      <c r="N248" s="10"/>
      <c r="O248" s="10"/>
      <c r="P248" s="10"/>
      <c r="Q248" s="10"/>
      <c r="R248" s="148"/>
      <c r="S248" s="148"/>
      <c r="T248" s="10"/>
      <c r="U248" s="10"/>
      <c r="V248" s="10"/>
      <c r="W248" s="10"/>
      <c r="X248" s="148"/>
      <c r="Y248" s="148"/>
    </row>
    <row r="249" spans="1:25" x14ac:dyDescent="0.2">
      <c r="A249" s="319">
        <f t="shared" si="61"/>
        <v>44593</v>
      </c>
      <c r="B249" s="10"/>
      <c r="C249" s="10"/>
      <c r="D249" s="10"/>
      <c r="E249" s="10"/>
      <c r="F249" s="148" t="s">
        <v>644</v>
      </c>
      <c r="G249" s="148"/>
      <c r="H249" s="10"/>
      <c r="I249" s="10"/>
      <c r="J249" s="10"/>
      <c r="K249" s="10"/>
      <c r="L249" s="148"/>
      <c r="M249" s="148"/>
      <c r="N249" s="10"/>
      <c r="O249" s="10"/>
      <c r="P249" s="10"/>
      <c r="Q249" s="10"/>
      <c r="R249" s="148"/>
      <c r="S249" s="148"/>
      <c r="T249" s="10"/>
      <c r="U249" s="10"/>
      <c r="V249" s="10"/>
      <c r="W249" s="10"/>
      <c r="X249" s="148"/>
      <c r="Y249" s="148"/>
    </row>
    <row r="250" spans="1:25" x14ac:dyDescent="0.2">
      <c r="A250" s="319">
        <f t="shared" si="61"/>
        <v>44621</v>
      </c>
      <c r="B250" s="10"/>
      <c r="C250" s="10"/>
      <c r="D250" s="10"/>
      <c r="E250" s="10"/>
      <c r="F250" s="148"/>
      <c r="G250" s="148"/>
      <c r="H250" s="10"/>
      <c r="I250" s="10"/>
      <c r="J250" s="10"/>
      <c r="K250" s="10"/>
      <c r="L250" s="148"/>
      <c r="M250" s="148"/>
      <c r="N250" s="10"/>
      <c r="O250" s="10"/>
      <c r="P250" s="10"/>
      <c r="Q250" s="10"/>
      <c r="R250" s="148"/>
      <c r="S250" s="148"/>
      <c r="T250" s="10"/>
      <c r="U250" s="10"/>
      <c r="V250" s="10"/>
      <c r="W250" s="10"/>
      <c r="X250" s="148"/>
      <c r="Y250" s="148"/>
    </row>
    <row r="251" spans="1:25" x14ac:dyDescent="0.2">
      <c r="A251" s="319">
        <f t="shared" si="61"/>
        <v>44652</v>
      </c>
      <c r="B251" s="10"/>
      <c r="C251" s="10"/>
      <c r="D251" s="10"/>
      <c r="E251" s="10"/>
      <c r="F251" s="148">
        <f t="shared" ref="F251:F273" si="62">+F211-1</f>
        <v>4.4296387030613227E-2</v>
      </c>
      <c r="G251" s="148">
        <f t="shared" ref="G251:G273" si="63">+G211-1</f>
        <v>4.4296387030613227E-2</v>
      </c>
      <c r="H251" s="10"/>
      <c r="I251" s="10"/>
      <c r="J251" s="10"/>
      <c r="K251" s="10"/>
      <c r="L251" s="148" t="s">
        <v>643</v>
      </c>
      <c r="M251" s="148"/>
      <c r="N251" s="10"/>
      <c r="O251" s="10"/>
      <c r="P251" s="10"/>
      <c r="Q251" s="10"/>
      <c r="R251" s="148"/>
      <c r="S251" s="148"/>
      <c r="T251" s="10"/>
      <c r="U251" s="10"/>
      <c r="V251" s="10"/>
      <c r="W251" s="10"/>
      <c r="X251" s="148"/>
      <c r="Y251" s="148"/>
    </row>
    <row r="252" spans="1:25" x14ac:dyDescent="0.2">
      <c r="A252" s="319">
        <f t="shared" si="61"/>
        <v>44682</v>
      </c>
      <c r="B252" s="10"/>
      <c r="C252" s="10"/>
      <c r="D252" s="10"/>
      <c r="E252" s="10"/>
      <c r="F252" s="148">
        <f t="shared" si="62"/>
        <v>7.1847218746957209E-2</v>
      </c>
      <c r="G252" s="148">
        <f t="shared" si="63"/>
        <v>7.1847218746957209E-2</v>
      </c>
      <c r="H252" s="10"/>
      <c r="I252" s="10"/>
      <c r="J252" s="10"/>
      <c r="K252" s="10"/>
      <c r="L252" s="148"/>
      <c r="M252" s="148"/>
      <c r="N252" s="10"/>
      <c r="O252" s="10"/>
      <c r="P252" s="10"/>
      <c r="Q252" s="10"/>
      <c r="R252" s="148"/>
      <c r="S252" s="148"/>
      <c r="T252" s="10"/>
      <c r="U252" s="10"/>
      <c r="V252" s="10"/>
      <c r="W252" s="10"/>
      <c r="X252" s="148"/>
      <c r="Y252" s="148"/>
    </row>
    <row r="253" spans="1:25" x14ac:dyDescent="0.2">
      <c r="A253" s="319">
        <f t="shared" si="61"/>
        <v>44713</v>
      </c>
      <c r="B253" s="10"/>
      <c r="C253" s="10"/>
      <c r="D253" s="10"/>
      <c r="E253" s="10"/>
      <c r="F253" s="148">
        <f t="shared" si="62"/>
        <v>1.5382622527585488E-2</v>
      </c>
      <c r="G253" s="148">
        <f t="shared" si="63"/>
        <v>1.5382622527585488E-2</v>
      </c>
      <c r="H253" s="10"/>
      <c r="I253" s="10"/>
      <c r="J253" s="10"/>
      <c r="K253" s="10"/>
      <c r="L253" s="148">
        <f t="shared" ref="L253:L273" si="64">+L213-1</f>
        <v>4.3276712875373269E-2</v>
      </c>
      <c r="M253" s="148">
        <f t="shared" ref="M253:M273" si="65">+M213-1</f>
        <v>4.3276712875373269E-2</v>
      </c>
      <c r="N253" s="10"/>
      <c r="O253" s="10"/>
      <c r="P253" s="10"/>
      <c r="Q253" s="10"/>
      <c r="R253" s="148"/>
      <c r="S253" s="148"/>
      <c r="T253" s="10"/>
      <c r="U253" s="10"/>
      <c r="V253" s="10"/>
      <c r="W253" s="10"/>
      <c r="X253" s="148"/>
      <c r="Y253" s="148"/>
    </row>
    <row r="254" spans="1:25" x14ac:dyDescent="0.2">
      <c r="A254" s="319">
        <f t="shared" si="61"/>
        <v>44743</v>
      </c>
      <c r="B254" s="10"/>
      <c r="C254" s="10"/>
      <c r="D254" s="10"/>
      <c r="E254" s="10"/>
      <c r="F254" s="148">
        <f t="shared" si="62"/>
        <v>-5.8591384040788452E-2</v>
      </c>
      <c r="G254" s="148">
        <f t="shared" si="63"/>
        <v>-5.8591384040788452E-2</v>
      </c>
      <c r="H254" s="10"/>
      <c r="I254" s="10"/>
      <c r="J254" s="10"/>
      <c r="K254" s="10"/>
      <c r="L254" s="148">
        <f t="shared" si="64"/>
        <v>7.4442625310535693E-3</v>
      </c>
      <c r="M254" s="148">
        <f t="shared" si="65"/>
        <v>7.4442625310535693E-3</v>
      </c>
      <c r="N254" s="10"/>
      <c r="O254" s="10"/>
      <c r="P254" s="10"/>
      <c r="Q254" s="10"/>
      <c r="R254" s="148" t="s">
        <v>642</v>
      </c>
      <c r="S254" s="148"/>
      <c r="T254" s="10"/>
      <c r="U254" s="10"/>
      <c r="V254" s="10"/>
      <c r="W254" s="10"/>
      <c r="X254" s="148"/>
      <c r="Y254" s="148"/>
    </row>
    <row r="255" spans="1:25" x14ac:dyDescent="0.2">
      <c r="A255" s="319">
        <f t="shared" si="61"/>
        <v>44774</v>
      </c>
      <c r="B255" s="10"/>
      <c r="C255" s="10"/>
      <c r="D255" s="10"/>
      <c r="E255" s="10"/>
      <c r="F255" s="148">
        <f t="shared" si="62"/>
        <v>-6.4547388048179055E-2</v>
      </c>
      <c r="G255" s="148">
        <f t="shared" si="63"/>
        <v>-6.4547388048179055E-2</v>
      </c>
      <c r="H255" s="10"/>
      <c r="I255" s="10"/>
      <c r="J255" s="10"/>
      <c r="K255" s="10"/>
      <c r="L255" s="148">
        <f t="shared" si="64"/>
        <v>-3.8228917618885694E-2</v>
      </c>
      <c r="M255" s="148">
        <f t="shared" si="65"/>
        <v>-3.8228917618885694E-2</v>
      </c>
      <c r="N255" s="10"/>
      <c r="O255" s="10"/>
      <c r="P255" s="10"/>
      <c r="Q255" s="10"/>
      <c r="R255" s="148"/>
      <c r="S255" s="148"/>
      <c r="T255" s="10"/>
      <c r="U255" s="10"/>
      <c r="V255" s="10"/>
      <c r="W255" s="10"/>
      <c r="X255" s="148"/>
      <c r="Y255" s="148"/>
    </row>
    <row r="256" spans="1:25" x14ac:dyDescent="0.2">
      <c r="A256" s="319">
        <f t="shared" si="61"/>
        <v>44805</v>
      </c>
      <c r="B256" s="10"/>
      <c r="C256" s="10"/>
      <c r="D256" s="10"/>
      <c r="E256" s="10"/>
      <c r="F256" s="148">
        <f t="shared" si="62"/>
        <v>-0.11788211964461215</v>
      </c>
      <c r="G256" s="148">
        <f t="shared" si="63"/>
        <v>-0.11788211964461215</v>
      </c>
      <c r="H256" s="10"/>
      <c r="I256" s="10"/>
      <c r="J256" s="10"/>
      <c r="K256" s="10"/>
      <c r="L256" s="148">
        <f t="shared" si="64"/>
        <v>-8.1109676981162004E-2</v>
      </c>
      <c r="M256" s="148">
        <f t="shared" si="65"/>
        <v>-8.1109676981162004E-2</v>
      </c>
      <c r="N256" s="10"/>
      <c r="O256" s="10"/>
      <c r="P256" s="10"/>
      <c r="Q256" s="10"/>
      <c r="R256" s="148">
        <f t="shared" ref="R256:R273" si="66">+R216-1</f>
        <v>-2.477386655819136E-2</v>
      </c>
      <c r="S256" s="148">
        <f t="shared" ref="S256:S273" si="67">+S216-1</f>
        <v>-2.477386655819136E-2</v>
      </c>
      <c r="T256" s="10"/>
      <c r="U256" s="10"/>
      <c r="V256" s="10"/>
      <c r="W256" s="10"/>
      <c r="X256" s="148"/>
      <c r="Y256" s="148"/>
    </row>
    <row r="257" spans="1:25" x14ac:dyDescent="0.2">
      <c r="A257" s="319">
        <f t="shared" si="61"/>
        <v>44835</v>
      </c>
      <c r="B257" s="10"/>
      <c r="C257" s="10"/>
      <c r="D257" s="10"/>
      <c r="E257" s="10"/>
      <c r="F257" s="148">
        <f t="shared" si="62"/>
        <v>-0.12893008133266837</v>
      </c>
      <c r="G257" s="148">
        <f t="shared" si="63"/>
        <v>-0.12893008133266837</v>
      </c>
      <c r="H257" s="10"/>
      <c r="I257" s="10"/>
      <c r="J257" s="10"/>
      <c r="K257" s="10"/>
      <c r="L257" s="148">
        <f t="shared" si="64"/>
        <v>-0.10359989284557736</v>
      </c>
      <c r="M257" s="148">
        <f t="shared" si="65"/>
        <v>-0.10359989284557736</v>
      </c>
      <c r="N257" s="10"/>
      <c r="O257" s="10"/>
      <c r="P257" s="10"/>
      <c r="Q257" s="10"/>
      <c r="R257" s="148">
        <f t="shared" si="66"/>
        <v>-5.367025561163985E-2</v>
      </c>
      <c r="S257" s="148">
        <f t="shared" si="67"/>
        <v>-5.367025561163985E-2</v>
      </c>
      <c r="T257" s="10"/>
      <c r="U257" s="10"/>
      <c r="V257" s="10"/>
      <c r="W257" s="10"/>
      <c r="X257" s="148"/>
      <c r="Y257" s="148"/>
    </row>
    <row r="258" spans="1:25" x14ac:dyDescent="0.2">
      <c r="A258" s="319">
        <f t="shared" si="61"/>
        <v>44866</v>
      </c>
      <c r="B258" s="10"/>
      <c r="C258" s="10"/>
      <c r="D258" s="10"/>
      <c r="E258" s="10"/>
      <c r="F258" s="148">
        <f t="shared" si="62"/>
        <v>-0.16800527616472571</v>
      </c>
      <c r="G258" s="148">
        <f t="shared" si="63"/>
        <v>-0.16800527616472571</v>
      </c>
      <c r="H258" s="10"/>
      <c r="I258" s="10"/>
      <c r="J258" s="10"/>
      <c r="K258" s="10"/>
      <c r="L258" s="148">
        <f t="shared" si="64"/>
        <v>-0.1383893561055658</v>
      </c>
      <c r="M258" s="148">
        <f t="shared" si="65"/>
        <v>-0.1383893561055658</v>
      </c>
      <c r="N258" s="10"/>
      <c r="O258" s="10"/>
      <c r="P258" s="10"/>
      <c r="Q258" s="10"/>
      <c r="R258" s="148">
        <f t="shared" si="66"/>
        <v>-9.0952599397425393E-2</v>
      </c>
      <c r="S258" s="148">
        <f t="shared" si="67"/>
        <v>-9.0952599397425393E-2</v>
      </c>
      <c r="T258" s="10"/>
      <c r="U258" s="10"/>
      <c r="V258" s="10"/>
      <c r="W258" s="10"/>
      <c r="X258" s="148"/>
      <c r="Y258" s="148"/>
    </row>
    <row r="259" spans="1:25" x14ac:dyDescent="0.2">
      <c r="A259" s="319">
        <f t="shared" si="61"/>
        <v>44896</v>
      </c>
      <c r="B259" s="10"/>
      <c r="C259" s="10"/>
      <c r="D259" s="10"/>
      <c r="E259" s="10"/>
      <c r="F259" s="148">
        <f t="shared" si="62"/>
        <v>-0.18405724014419356</v>
      </c>
      <c r="G259" s="148">
        <f t="shared" si="63"/>
        <v>-0.18405724014419356</v>
      </c>
      <c r="H259" s="10"/>
      <c r="I259" s="10"/>
      <c r="J259" s="10"/>
      <c r="K259" s="10"/>
      <c r="L259" s="148">
        <f t="shared" si="64"/>
        <v>-0.16053185151553429</v>
      </c>
      <c r="M259" s="148">
        <f t="shared" si="65"/>
        <v>-0.16053185151553429</v>
      </c>
      <c r="N259" s="10"/>
      <c r="O259" s="10"/>
      <c r="P259" s="10"/>
      <c r="Q259" s="10"/>
      <c r="R259" s="148">
        <f t="shared" si="66"/>
        <v>-0.12216691393077372</v>
      </c>
      <c r="S259" s="148">
        <f t="shared" si="67"/>
        <v>-0.12216691393077372</v>
      </c>
      <c r="T259" s="10"/>
      <c r="U259" s="10"/>
      <c r="V259" s="10"/>
      <c r="W259" s="10"/>
      <c r="X259" s="148"/>
      <c r="Y259" s="148"/>
    </row>
    <row r="260" spans="1:25" x14ac:dyDescent="0.2">
      <c r="A260" s="319">
        <f t="shared" si="61"/>
        <v>44927</v>
      </c>
      <c r="B260" s="10"/>
      <c r="C260" s="10"/>
      <c r="D260" s="10"/>
      <c r="E260" s="10"/>
      <c r="F260" s="148">
        <f t="shared" si="62"/>
        <v>5.0791457522764594E-2</v>
      </c>
      <c r="G260" s="148">
        <f t="shared" si="63"/>
        <v>5.0791457522764594E-2</v>
      </c>
      <c r="H260" s="10"/>
      <c r="I260" s="10"/>
      <c r="J260" s="10"/>
      <c r="K260" s="10"/>
      <c r="L260" s="148">
        <f t="shared" si="64"/>
        <v>-0.11847523162027418</v>
      </c>
      <c r="M260" s="148">
        <f t="shared" si="65"/>
        <v>-0.11847523162027418</v>
      </c>
      <c r="N260" s="10"/>
      <c r="O260" s="10"/>
      <c r="P260" s="10"/>
      <c r="Q260" s="10"/>
      <c r="R260" s="148">
        <f t="shared" si="66"/>
        <v>-0.11068934539176767</v>
      </c>
      <c r="S260" s="148">
        <f t="shared" si="67"/>
        <v>-0.11068934539176767</v>
      </c>
      <c r="T260" s="10"/>
      <c r="U260" s="10"/>
      <c r="V260" s="10"/>
      <c r="W260" s="10"/>
      <c r="X260" s="320" t="s">
        <v>641</v>
      </c>
      <c r="Y260" s="148"/>
    </row>
    <row r="261" spans="1:25" x14ac:dyDescent="0.2">
      <c r="A261" s="319">
        <f t="shared" si="61"/>
        <v>44958</v>
      </c>
      <c r="B261" s="10"/>
      <c r="C261" s="10"/>
      <c r="D261" s="10"/>
      <c r="E261" s="10"/>
      <c r="F261" s="148">
        <f t="shared" si="62"/>
        <v>0.141816846872862</v>
      </c>
      <c r="G261" s="148">
        <f t="shared" si="63"/>
        <v>0.141816846872862</v>
      </c>
      <c r="H261" s="10"/>
      <c r="I261" s="10"/>
      <c r="J261" s="10"/>
      <c r="K261" s="10"/>
      <c r="L261" s="148">
        <f t="shared" si="64"/>
        <v>-2.5918086730485346E-2</v>
      </c>
      <c r="M261" s="148">
        <f t="shared" si="65"/>
        <v>-2.5918086730485346E-2</v>
      </c>
      <c r="N261" s="10"/>
      <c r="O261" s="10"/>
      <c r="P261" s="10"/>
      <c r="Q261" s="10"/>
      <c r="R261" s="148">
        <f t="shared" si="66"/>
        <v>-8.8387255455566027E-2</v>
      </c>
      <c r="S261" s="148">
        <f t="shared" si="67"/>
        <v>-8.8387255455566027E-2</v>
      </c>
      <c r="T261" s="10"/>
      <c r="U261" s="10"/>
      <c r="V261" s="10"/>
      <c r="W261" s="10"/>
      <c r="X261" s="148"/>
      <c r="Y261" s="148"/>
    </row>
    <row r="262" spans="1:25" x14ac:dyDescent="0.2">
      <c r="A262" s="319">
        <f t="shared" si="61"/>
        <v>44986</v>
      </c>
      <c r="B262" s="10"/>
      <c r="C262" s="10"/>
      <c r="D262" s="10"/>
      <c r="E262" s="10"/>
      <c r="F262" s="148">
        <f t="shared" si="62"/>
        <v>0.10822992913248752</v>
      </c>
      <c r="G262" s="148">
        <f t="shared" si="63"/>
        <v>0.10822992913248752</v>
      </c>
      <c r="H262" s="10"/>
      <c r="I262" s="10"/>
      <c r="J262" s="10"/>
      <c r="K262" s="10"/>
      <c r="L262" s="148">
        <f t="shared" si="64"/>
        <v>0.10010809101590157</v>
      </c>
      <c r="M262" s="148">
        <f t="shared" si="65"/>
        <v>0.10010809101590157</v>
      </c>
      <c r="N262" s="10"/>
      <c r="O262" s="10"/>
      <c r="P262" s="10"/>
      <c r="Q262" s="10"/>
      <c r="R262" s="148">
        <f t="shared" si="66"/>
        <v>-5.1758516305738356E-2</v>
      </c>
      <c r="S262" s="148">
        <f t="shared" si="67"/>
        <v>-5.1758516305738356E-2</v>
      </c>
      <c r="T262" s="10"/>
      <c r="U262" s="10"/>
      <c r="V262" s="10"/>
      <c r="W262" s="10"/>
      <c r="X262" s="148">
        <f t="shared" ref="X262:X273" si="68">+X222-1</f>
        <v>-3.8298701164099502E-2</v>
      </c>
      <c r="Y262" s="148">
        <f t="shared" ref="Y262:Y273" si="69">+Y222-1</f>
        <v>-3.8298701164099502E-2</v>
      </c>
    </row>
    <row r="263" spans="1:25" x14ac:dyDescent="0.2">
      <c r="A263" s="319">
        <f t="shared" si="61"/>
        <v>45017</v>
      </c>
      <c r="B263" s="10"/>
      <c r="C263" s="10"/>
      <c r="D263" s="10"/>
      <c r="E263" s="10"/>
      <c r="F263" s="148">
        <f t="shared" ca="1" si="62"/>
        <v>-3.9389562015045732E-2</v>
      </c>
      <c r="G263" s="148">
        <f t="shared" ca="1" si="63"/>
        <v>-3.9389562015045732E-2</v>
      </c>
      <c r="H263" s="10"/>
      <c r="I263" s="10"/>
      <c r="J263" s="10"/>
      <c r="K263" s="10"/>
      <c r="L263" s="148">
        <f t="shared" ca="1" si="64"/>
        <v>6.6597792416548174E-2</v>
      </c>
      <c r="M263" s="148">
        <f t="shared" ca="1" si="65"/>
        <v>6.6597792416548174E-2</v>
      </c>
      <c r="N263" s="10"/>
      <c r="O263" s="10"/>
      <c r="P263" s="10"/>
      <c r="Q263" s="10"/>
      <c r="R263" s="148">
        <f t="shared" ca="1" si="66"/>
        <v>-3.4272007733281096E-2</v>
      </c>
      <c r="S263" s="148">
        <f t="shared" ca="1" si="67"/>
        <v>-3.4272007733281096E-2</v>
      </c>
      <c r="T263" s="10"/>
      <c r="U263" s="10"/>
      <c r="V263" s="10"/>
      <c r="W263" s="10"/>
      <c r="X263" s="148">
        <f t="shared" ca="1" si="68"/>
        <v>-4.4378076824705626E-2</v>
      </c>
      <c r="Y263" s="148">
        <f t="shared" ca="1" si="69"/>
        <v>-4.4378076824705626E-2</v>
      </c>
    </row>
    <row r="264" spans="1:25" x14ac:dyDescent="0.2">
      <c r="A264" s="319">
        <f t="shared" si="61"/>
        <v>45047</v>
      </c>
      <c r="B264" s="10"/>
      <c r="C264" s="10"/>
      <c r="D264" s="10"/>
      <c r="E264" s="10"/>
      <c r="F264" s="148">
        <f t="shared" ca="1" si="62"/>
        <v>2.6286597039736792E-2</v>
      </c>
      <c r="G264" s="148">
        <f t="shared" ca="1" si="63"/>
        <v>2.6286597039736792E-2</v>
      </c>
      <c r="H264" s="10"/>
      <c r="I264" s="10"/>
      <c r="J264" s="10"/>
      <c r="K264" s="10"/>
      <c r="L264" s="148">
        <f t="shared" ca="1" si="64"/>
        <v>3.2676003472606796E-2</v>
      </c>
      <c r="M264" s="148">
        <f t="shared" ca="1" si="65"/>
        <v>3.2676003472606796E-2</v>
      </c>
      <c r="N264" s="10"/>
      <c r="O264" s="10"/>
      <c r="P264" s="10"/>
      <c r="Q264" s="10"/>
      <c r="R264" s="148">
        <f t="shared" ca="1" si="66"/>
        <v>3.7371628781914801E-3</v>
      </c>
      <c r="S264" s="148">
        <f t="shared" ca="1" si="67"/>
        <v>3.7371628781914801E-3</v>
      </c>
      <c r="T264" s="10"/>
      <c r="U264" s="10"/>
      <c r="V264" s="10"/>
      <c r="W264" s="10"/>
      <c r="X264" s="148">
        <f t="shared" ca="1" si="68"/>
        <v>-4.7360609664821807E-2</v>
      </c>
      <c r="Y264" s="148">
        <f t="shared" ca="1" si="69"/>
        <v>-4.7360609664821807E-2</v>
      </c>
    </row>
    <row r="265" spans="1:25" x14ac:dyDescent="0.2">
      <c r="A265" s="319">
        <f t="shared" si="61"/>
        <v>45078</v>
      </c>
      <c r="B265" s="10"/>
      <c r="C265" s="10"/>
      <c r="D265" s="10"/>
      <c r="E265" s="10"/>
      <c r="F265" s="148">
        <f t="shared" ca="1" si="62"/>
        <v>4.0097338926437853E-2</v>
      </c>
      <c r="G265" s="148">
        <f t="shared" ca="1" si="63"/>
        <v>4.0097338926437853E-2</v>
      </c>
      <c r="H265" s="10"/>
      <c r="I265" s="10"/>
      <c r="J265" s="10"/>
      <c r="K265" s="10"/>
      <c r="L265" s="148">
        <f t="shared" ca="1" si="64"/>
        <v>9.777316695672722E-3</v>
      </c>
      <c r="M265" s="148">
        <f t="shared" ca="1" si="65"/>
        <v>9.777316695672722E-3</v>
      </c>
      <c r="N265" s="10"/>
      <c r="O265" s="10"/>
      <c r="P265" s="10"/>
      <c r="Q265" s="10"/>
      <c r="R265" s="148">
        <f t="shared" ca="1" si="66"/>
        <v>5.2250456830420511E-2</v>
      </c>
      <c r="S265" s="148">
        <f t="shared" ca="1" si="67"/>
        <v>5.2250456830420511E-2</v>
      </c>
      <c r="T265" s="10"/>
      <c r="U265" s="10"/>
      <c r="V265" s="10"/>
      <c r="W265" s="10"/>
      <c r="X265" s="148">
        <f t="shared" ca="1" si="68"/>
        <v>-4.532778323630593E-2</v>
      </c>
      <c r="Y265" s="148">
        <f t="shared" ca="1" si="69"/>
        <v>-4.532778323630593E-2</v>
      </c>
    </row>
    <row r="266" spans="1:25" x14ac:dyDescent="0.2">
      <c r="A266" s="319">
        <f t="shared" si="61"/>
        <v>45108</v>
      </c>
      <c r="B266" s="10"/>
      <c r="C266" s="10"/>
      <c r="D266" s="10"/>
      <c r="E266" s="10"/>
      <c r="F266" s="148">
        <f t="shared" ca="1" si="62"/>
        <v>8.835965209805785E-3</v>
      </c>
      <c r="G266" s="148">
        <f t="shared" ca="1" si="63"/>
        <v>8.835965209805785E-3</v>
      </c>
      <c r="H266" s="10"/>
      <c r="I266" s="10"/>
      <c r="J266" s="10"/>
      <c r="K266" s="10"/>
      <c r="L266" s="148">
        <f t="shared" ca="1" si="64"/>
        <v>2.5266682435893362E-2</v>
      </c>
      <c r="M266" s="148">
        <f t="shared" ca="1" si="65"/>
        <v>2.5266682435893362E-2</v>
      </c>
      <c r="N266" s="10"/>
      <c r="O266" s="10"/>
      <c r="P266" s="10"/>
      <c r="Q266" s="10"/>
      <c r="R266" s="148">
        <f t="shared" ca="1" si="66"/>
        <v>4.5110348628492059E-2</v>
      </c>
      <c r="S266" s="148">
        <f t="shared" ca="1" si="67"/>
        <v>4.5110348628492059E-2</v>
      </c>
      <c r="T266" s="10"/>
      <c r="U266" s="10"/>
      <c r="V266" s="10"/>
      <c r="W266" s="10"/>
      <c r="X266" s="148">
        <f t="shared" ca="1" si="68"/>
        <v>-4.0089177916272756E-2</v>
      </c>
      <c r="Y266" s="148">
        <f t="shared" ca="1" si="69"/>
        <v>-4.0089177916272756E-2</v>
      </c>
    </row>
    <row r="267" spans="1:25" x14ac:dyDescent="0.2">
      <c r="A267" s="319">
        <f t="shared" si="61"/>
        <v>45139</v>
      </c>
      <c r="B267" s="10"/>
      <c r="C267" s="10"/>
      <c r="D267" s="10"/>
      <c r="E267" s="10"/>
      <c r="F267" s="148">
        <f t="shared" ca="1" si="62"/>
        <v>-1.7992482192725867E-2</v>
      </c>
      <c r="G267" s="148">
        <f t="shared" ca="1" si="63"/>
        <v>-1.7992482192725867E-2</v>
      </c>
      <c r="H267" s="10"/>
      <c r="I267" s="10"/>
      <c r="J267" s="10"/>
      <c r="K267" s="10"/>
      <c r="L267" s="148">
        <f t="shared" ca="1" si="64"/>
        <v>9.0956922841671783E-3</v>
      </c>
      <c r="M267" s="148">
        <f t="shared" ca="1" si="65"/>
        <v>9.0956922841671783E-3</v>
      </c>
      <c r="N267" s="10"/>
      <c r="O267" s="10"/>
      <c r="P267" s="10"/>
      <c r="Q267" s="10"/>
      <c r="R267" s="148">
        <f t="shared" ca="1" si="66"/>
        <v>2.0570492487188341E-2</v>
      </c>
      <c r="S267" s="148">
        <f t="shared" ca="1" si="67"/>
        <v>2.0570492487188341E-2</v>
      </c>
      <c r="T267" s="10"/>
      <c r="U267" s="10"/>
      <c r="V267" s="10"/>
      <c r="W267" s="10"/>
      <c r="X267" s="148">
        <f t="shared" ca="1" si="68"/>
        <v>-3.5703342593939258E-2</v>
      </c>
      <c r="Y267" s="148">
        <f t="shared" ca="1" si="69"/>
        <v>-3.5703342593939258E-2</v>
      </c>
    </row>
    <row r="268" spans="1:25" x14ac:dyDescent="0.2">
      <c r="A268" s="319">
        <f t="shared" si="61"/>
        <v>45170</v>
      </c>
      <c r="B268" s="10"/>
      <c r="C268" s="10"/>
      <c r="D268" s="10"/>
      <c r="E268" s="10"/>
      <c r="F268" s="148">
        <f t="shared" ca="1" si="62"/>
        <v>-2.822363256844973E-2</v>
      </c>
      <c r="G268" s="148">
        <f t="shared" ca="1" si="63"/>
        <v>-2.822363256844973E-2</v>
      </c>
      <c r="H268" s="10"/>
      <c r="I268" s="10"/>
      <c r="J268" s="10"/>
      <c r="K268" s="10"/>
      <c r="L268" s="148">
        <f t="shared" ca="1" si="64"/>
        <v>-1.3118994562174024E-2</v>
      </c>
      <c r="M268" s="148">
        <f t="shared" ca="1" si="65"/>
        <v>-1.3118994562174024E-2</v>
      </c>
      <c r="N268" s="10"/>
      <c r="O268" s="10"/>
      <c r="P268" s="10"/>
      <c r="Q268" s="10"/>
      <c r="R268" s="148">
        <f t="shared" ca="1" si="66"/>
        <v>-2.0254230760268221E-3</v>
      </c>
      <c r="S268" s="148">
        <f t="shared" ca="1" si="67"/>
        <v>-2.0254230760268221E-3</v>
      </c>
      <c r="T268" s="10"/>
      <c r="U268" s="10"/>
      <c r="V268" s="10"/>
      <c r="W268" s="10"/>
      <c r="X268" s="148">
        <f t="shared" ca="1" si="68"/>
        <v>-2.7263757888178586E-2</v>
      </c>
      <c r="Y268" s="148">
        <f t="shared" ca="1" si="69"/>
        <v>-2.7263757888178586E-2</v>
      </c>
    </row>
    <row r="269" spans="1:25" x14ac:dyDescent="0.2">
      <c r="A269" s="319">
        <f t="shared" si="61"/>
        <v>45200</v>
      </c>
      <c r="B269" s="10"/>
      <c r="C269" s="10"/>
      <c r="D269" s="10"/>
      <c r="E269" s="10"/>
      <c r="F269" s="148">
        <f t="shared" ca="1" si="62"/>
        <v>9.3342567777939589E-2</v>
      </c>
      <c r="G269" s="148">
        <f t="shared" ca="1" si="63"/>
        <v>9.3342567777939589E-2</v>
      </c>
      <c r="H269" s="10"/>
      <c r="I269" s="10"/>
      <c r="J269" s="10"/>
      <c r="K269" s="10"/>
      <c r="L269" s="148">
        <f t="shared" ca="1" si="64"/>
        <v>1.5091726050895815E-2</v>
      </c>
      <c r="M269" s="148">
        <f t="shared" ca="1" si="65"/>
        <v>1.5091726050895815E-2</v>
      </c>
      <c r="N269" s="10"/>
      <c r="O269" s="10"/>
      <c r="P269" s="10"/>
      <c r="Q269" s="10"/>
      <c r="R269" s="148">
        <f t="shared" ca="1" si="66"/>
        <v>1.9962228869046861E-2</v>
      </c>
      <c r="S269" s="148">
        <f t="shared" ca="1" si="67"/>
        <v>1.9962228869046861E-2</v>
      </c>
      <c r="T269" s="10"/>
      <c r="U269" s="10"/>
      <c r="V269" s="10"/>
      <c r="W269" s="10"/>
      <c r="X269" s="148">
        <f t="shared" ca="1" si="68"/>
        <v>-6.7644450424725333E-3</v>
      </c>
      <c r="Y269" s="148">
        <f t="shared" ca="1" si="69"/>
        <v>-6.7644450424725333E-3</v>
      </c>
    </row>
    <row r="270" spans="1:25" x14ac:dyDescent="0.2">
      <c r="A270" s="319">
        <f t="shared" si="61"/>
        <v>45231</v>
      </c>
      <c r="B270" s="10"/>
      <c r="C270" s="10"/>
      <c r="D270" s="10"/>
      <c r="E270" s="10"/>
      <c r="F270" s="148">
        <f t="shared" ca="1" si="62"/>
        <v>7.1631908891243601E-2</v>
      </c>
      <c r="G270" s="148">
        <f t="shared" ca="1" si="63"/>
        <v>7.1631908891243601E-2</v>
      </c>
      <c r="H270" s="10"/>
      <c r="I270" s="10"/>
      <c r="J270" s="10"/>
      <c r="K270" s="10"/>
      <c r="L270" s="148">
        <f t="shared" ca="1" si="64"/>
        <v>4.5536470644615301E-2</v>
      </c>
      <c r="M270" s="148">
        <f t="shared" ca="1" si="65"/>
        <v>4.5536470644615301E-2</v>
      </c>
      <c r="N270" s="10"/>
      <c r="O270" s="10"/>
      <c r="P270" s="10"/>
      <c r="Q270" s="10"/>
      <c r="R270" s="148">
        <f t="shared" ca="1" si="66"/>
        <v>2.7276856263154903E-2</v>
      </c>
      <c r="S270" s="148">
        <f t="shared" ca="1" si="67"/>
        <v>2.7276856263154903E-2</v>
      </c>
      <c r="T270" s="10"/>
      <c r="U270" s="10"/>
      <c r="V270" s="10"/>
      <c r="W270" s="10"/>
      <c r="X270" s="148">
        <f t="shared" ca="1" si="68"/>
        <v>1.5880632265681038E-2</v>
      </c>
      <c r="Y270" s="148">
        <f t="shared" ca="1" si="69"/>
        <v>1.5880632265681038E-2</v>
      </c>
    </row>
    <row r="271" spans="1:25" x14ac:dyDescent="0.2">
      <c r="A271" s="319">
        <f t="shared" si="61"/>
        <v>45261</v>
      </c>
      <c r="B271" s="10"/>
      <c r="C271" s="10"/>
      <c r="D271" s="10"/>
      <c r="E271" s="10"/>
      <c r="F271" s="148">
        <f t="shared" ca="1" si="62"/>
        <v>-5.5696037360855044E-3</v>
      </c>
      <c r="G271" s="148">
        <f t="shared" ca="1" si="63"/>
        <v>-5.5696037360855044E-3</v>
      </c>
      <c r="H271" s="10"/>
      <c r="I271" s="10"/>
      <c r="J271" s="10"/>
      <c r="K271" s="10"/>
      <c r="L271" s="148">
        <f t="shared" ca="1" si="64"/>
        <v>5.3542043146839857E-2</v>
      </c>
      <c r="M271" s="148">
        <f t="shared" ca="1" si="65"/>
        <v>5.3542043146839857E-2</v>
      </c>
      <c r="N271" s="10"/>
      <c r="O271" s="10"/>
      <c r="P271" s="10"/>
      <c r="Q271" s="10"/>
      <c r="R271" s="148">
        <f t="shared" ca="1" si="66"/>
        <v>1.9835320719978844E-2</v>
      </c>
      <c r="S271" s="148">
        <f t="shared" ca="1" si="67"/>
        <v>1.9835320719978844E-2</v>
      </c>
      <c r="T271" s="10"/>
      <c r="U271" s="10"/>
      <c r="V271" s="10"/>
      <c r="W271" s="10"/>
      <c r="X271" s="148">
        <f t="shared" ca="1" si="68"/>
        <v>3.5163344972331201E-2</v>
      </c>
      <c r="Y271" s="148">
        <f t="shared" ca="1" si="69"/>
        <v>3.5163344972331201E-2</v>
      </c>
    </row>
    <row r="272" spans="1:25" x14ac:dyDescent="0.2">
      <c r="A272" s="319">
        <f t="shared" si="61"/>
        <v>45292</v>
      </c>
      <c r="B272" s="10"/>
      <c r="C272" s="10"/>
      <c r="D272" s="10"/>
      <c r="E272" s="10"/>
      <c r="F272" s="148">
        <f t="shared" ca="1" si="62"/>
        <v>7.5429801908224459E-2</v>
      </c>
      <c r="G272" s="148">
        <f t="shared" ca="1" si="63"/>
        <v>7.5429801908224459E-2</v>
      </c>
      <c r="H272" s="10"/>
      <c r="I272" s="10"/>
      <c r="J272" s="10"/>
      <c r="K272" s="10"/>
      <c r="L272" s="148">
        <f t="shared" ca="1" si="64"/>
        <v>4.5654885156313441E-2</v>
      </c>
      <c r="M272" s="148">
        <f t="shared" ca="1" si="65"/>
        <v>4.5654885156313441E-2</v>
      </c>
      <c r="N272" s="10"/>
      <c r="O272" s="10"/>
      <c r="P272" s="10"/>
      <c r="Q272" s="10"/>
      <c r="R272" s="148">
        <f t="shared" ca="1" si="66"/>
        <v>2.9530326568855347E-2</v>
      </c>
      <c r="S272" s="148">
        <f t="shared" ca="1" si="67"/>
        <v>2.9530326568855347E-2</v>
      </c>
      <c r="T272" s="10"/>
      <c r="U272" s="10"/>
      <c r="V272" s="10"/>
      <c r="W272" s="10"/>
      <c r="X272" s="148">
        <f t="shared" ca="1" si="68"/>
        <v>3.7045251586962369E-2</v>
      </c>
      <c r="Y272" s="148">
        <f t="shared" ca="1" si="69"/>
        <v>3.7045251586962369E-2</v>
      </c>
    </row>
    <row r="273" spans="1:25" x14ac:dyDescent="0.2">
      <c r="A273" s="319">
        <f t="shared" si="61"/>
        <v>45323</v>
      </c>
      <c r="B273" s="10"/>
      <c r="C273" s="10"/>
      <c r="D273" s="10"/>
      <c r="E273" s="10"/>
      <c r="F273" s="148">
        <f t="shared" ca="1" si="62"/>
        <v>5.4794958527453419E-2</v>
      </c>
      <c r="G273" s="148">
        <f t="shared" ca="1" si="63"/>
        <v>5.4794958527453419E-2</v>
      </c>
      <c r="H273" s="10"/>
      <c r="I273" s="10"/>
      <c r="J273" s="10"/>
      <c r="K273" s="10"/>
      <c r="L273" s="148">
        <f t="shared" ca="1" si="64"/>
        <v>3.9333150474620604E-2</v>
      </c>
      <c r="M273" s="148">
        <f t="shared" ca="1" si="65"/>
        <v>3.9333150474620604E-2</v>
      </c>
      <c r="N273" s="10"/>
      <c r="O273" s="10"/>
      <c r="P273" s="10"/>
      <c r="Q273" s="10"/>
      <c r="R273" s="148">
        <f t="shared" ca="1" si="66"/>
        <v>4.2589634816276867E-2</v>
      </c>
      <c r="S273" s="148">
        <f t="shared" ca="1" si="67"/>
        <v>4.2589634816276867E-2</v>
      </c>
      <c r="T273" s="10"/>
      <c r="U273" s="10"/>
      <c r="V273" s="10"/>
      <c r="W273" s="10"/>
      <c r="X273" s="148">
        <f t="shared" ca="1" si="68"/>
        <v>3.1433532351111682E-2</v>
      </c>
      <c r="Y273" s="148">
        <f t="shared" ca="1" si="69"/>
        <v>3.1433532351111682E-2</v>
      </c>
    </row>
    <row r="274" spans="1:25" x14ac:dyDescent="0.2">
      <c r="A274" s="319">
        <f t="shared" si="61"/>
        <v>45352</v>
      </c>
      <c r="B274" s="10"/>
      <c r="C274" s="10"/>
      <c r="D274" s="10"/>
      <c r="E274" s="10"/>
      <c r="F274" s="148">
        <f ca="1">+F234-1</f>
        <v>-3.2863914850041809E-2</v>
      </c>
      <c r="G274" s="148">
        <f ca="1">+G234-1</f>
        <v>-3.2863914850041809E-2</v>
      </c>
      <c r="H274" s="10"/>
      <c r="I274" s="10"/>
      <c r="J274" s="10"/>
      <c r="K274" s="10"/>
      <c r="L274" s="148">
        <f ca="1">+L234-1</f>
        <v>2.7596315962892026E-2</v>
      </c>
      <c r="M274" s="148">
        <f ca="1">+M234-1</f>
        <v>2.7596315962892026E-2</v>
      </c>
      <c r="N274" s="10"/>
      <c r="O274" s="10"/>
      <c r="P274" s="10"/>
      <c r="Q274" s="10"/>
      <c r="R274" s="148">
        <f ca="1">+R234-1</f>
        <v>4.097990025838727E-2</v>
      </c>
      <c r="S274" s="148">
        <f ca="1">+S234-1</f>
        <v>4.097990025838727E-2</v>
      </c>
      <c r="T274" s="10"/>
      <c r="U274" s="10"/>
      <c r="V274" s="10"/>
      <c r="W274" s="10"/>
      <c r="X274" s="148">
        <f ca="1">+X234-1</f>
        <v>1.9227376322711542E-2</v>
      </c>
      <c r="Y274" s="148">
        <f ca="1">+Y234-1</f>
        <v>1.9227376322711542E-2</v>
      </c>
    </row>
    <row r="275" spans="1:25" x14ac:dyDescent="0.2">
      <c r="A275" s="139"/>
    </row>
    <row r="276" spans="1:25" x14ac:dyDescent="0.2">
      <c r="A276" s="139"/>
    </row>
  </sheetData>
  <phoneticPr fontId="0" type="noConversion"/>
  <pageMargins left="0.5" right="0.5" top="0.5" bottom="0.25" header="0.5" footer="0.25"/>
  <pageSetup firstPageNumber="10" orientation="landscape" useFirstPageNumber="1" r:id="rId1"/>
  <headerFooter alignWithMargins="0">
    <oddFooter>&amp;L&amp;D  &amp;F:  &amp;A     Page &amp;P</oddFooter>
  </headerFooter>
  <rowBreaks count="1" manualBreakCount="1">
    <brk id="144" max="18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PrintBox">
                <anchor moveWithCells="1" sizeWithCells="1">
                  <from>
                    <xdr:col>14</xdr:col>
                    <xdr:colOff>209550</xdr:colOff>
                    <xdr:row>0</xdr:row>
                    <xdr:rowOff>47625</xdr:rowOff>
                  </from>
                  <to>
                    <xdr:col>15</xdr:col>
                    <xdr:colOff>485775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5" name="Button 8">
              <controlPr defaultSize="0" print="0" autoFill="0" autoPict="0" macro="[0]!ChartFixTrends">
                <anchor moveWithCells="1" sizeWithCells="1">
                  <from>
                    <xdr:col>11</xdr:col>
                    <xdr:colOff>485775</xdr:colOff>
                    <xdr:row>0</xdr:row>
                    <xdr:rowOff>28575</xdr:rowOff>
                  </from>
                  <to>
                    <xdr:col>13</xdr:col>
                    <xdr:colOff>466725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rgb="FFFF0066"/>
  </sheetPr>
  <dimension ref="A1:AC56"/>
  <sheetViews>
    <sheetView workbookViewId="0">
      <selection activeCell="I15" sqref="I15"/>
    </sheetView>
  </sheetViews>
  <sheetFormatPr defaultRowHeight="11.25" x14ac:dyDescent="0.2"/>
  <cols>
    <col min="4" max="4" width="11.5" customWidth="1"/>
    <col min="6" max="6" width="10.5" bestFit="1" customWidth="1"/>
    <col min="8" max="8" width="10" bestFit="1" customWidth="1"/>
    <col min="9" max="9" width="10.5" customWidth="1"/>
    <col min="11" max="11" width="11.1640625" bestFit="1" customWidth="1"/>
    <col min="12" max="13" width="12.1640625" bestFit="1" customWidth="1"/>
    <col min="19" max="19" width="6" bestFit="1" customWidth="1"/>
    <col min="20" max="20" width="8.6640625" bestFit="1" customWidth="1"/>
    <col min="21" max="22" width="9.6640625" bestFit="1" customWidth="1"/>
  </cols>
  <sheetData>
    <row r="1" spans="1:29" ht="12.75" x14ac:dyDescent="0.2">
      <c r="A1" s="34" t="str">
        <f>Name</f>
        <v>Allied Pacific (APC Commerical)</v>
      </c>
      <c r="B1" s="34"/>
      <c r="C1" s="34"/>
    </row>
    <row r="3" spans="1:29" x14ac:dyDescent="0.2">
      <c r="A3" s="130" t="s">
        <v>813</v>
      </c>
      <c r="B3" s="3"/>
      <c r="C3" s="3"/>
      <c r="G3" s="413" t="str">
        <f>Final!A3</f>
        <v>Reserve Date:</v>
      </c>
      <c r="H3" s="413"/>
      <c r="I3" s="414">
        <f>Final!C3</f>
        <v>45382</v>
      </c>
    </row>
    <row r="4" spans="1:29" x14ac:dyDescent="0.2">
      <c r="A4" s="3" t="s">
        <v>783</v>
      </c>
    </row>
    <row r="5" spans="1:29" x14ac:dyDescent="0.2">
      <c r="A5" s="16" t="s">
        <v>784</v>
      </c>
      <c r="B5" s="7"/>
      <c r="C5" s="7"/>
      <c r="D5" s="7"/>
      <c r="E5" s="391">
        <v>0.8</v>
      </c>
      <c r="F5" s="7" t="s">
        <v>777</v>
      </c>
      <c r="G5" s="16" t="s">
        <v>787</v>
      </c>
      <c r="H5" s="7"/>
      <c r="I5" s="7"/>
      <c r="J5" s="7"/>
      <c r="M5" s="387"/>
    </row>
    <row r="6" spans="1:29" x14ac:dyDescent="0.2">
      <c r="A6" s="117" t="s">
        <v>785</v>
      </c>
      <c r="B6" s="10"/>
      <c r="C6" s="10"/>
      <c r="D6" s="390">
        <f>RSTrend+1</f>
        <v>1.05</v>
      </c>
      <c r="G6" s="16" t="s">
        <v>797</v>
      </c>
      <c r="H6" s="7"/>
      <c r="I6" s="7"/>
      <c r="J6" s="7"/>
      <c r="K6" s="7"/>
      <c r="L6" s="7"/>
      <c r="M6" s="7"/>
      <c r="N6" s="7"/>
    </row>
    <row r="7" spans="1:29" x14ac:dyDescent="0.2">
      <c r="A7" s="117" t="s">
        <v>786</v>
      </c>
      <c r="B7" s="10"/>
      <c r="C7" s="10"/>
      <c r="D7" s="393">
        <f>PMPM!E108</f>
        <v>0</v>
      </c>
      <c r="E7" s="7"/>
      <c r="G7" s="387"/>
    </row>
    <row r="8" spans="1:29" x14ac:dyDescent="0.2">
      <c r="D8" s="37" t="s">
        <v>792</v>
      </c>
      <c r="E8" s="37" t="s">
        <v>793</v>
      </c>
      <c r="F8" s="37" t="s">
        <v>794</v>
      </c>
      <c r="G8" s="37" t="s">
        <v>795</v>
      </c>
      <c r="H8" s="37" t="s">
        <v>796</v>
      </c>
      <c r="I8" s="2" t="s">
        <v>798</v>
      </c>
    </row>
    <row r="9" spans="1:29" x14ac:dyDescent="0.2">
      <c r="E9" s="37" t="s">
        <v>789</v>
      </c>
      <c r="H9" s="2" t="s">
        <v>157</v>
      </c>
      <c r="I9" s="2" t="s">
        <v>799</v>
      </c>
      <c r="J9" s="630" t="s">
        <v>807</v>
      </c>
      <c r="K9" s="631"/>
      <c r="L9" s="631"/>
      <c r="M9" s="631"/>
      <c r="N9" s="632"/>
      <c r="R9" s="1" t="s">
        <v>800</v>
      </c>
      <c r="Y9" s="1" t="s">
        <v>814</v>
      </c>
    </row>
    <row r="10" spans="1:29" x14ac:dyDescent="0.2">
      <c r="A10" s="2" t="s">
        <v>96</v>
      </c>
      <c r="B10" s="2"/>
      <c r="C10" s="2"/>
      <c r="D10" s="2" t="s">
        <v>184</v>
      </c>
      <c r="E10" s="37" t="s">
        <v>778</v>
      </c>
      <c r="F10" s="2" t="s">
        <v>779</v>
      </c>
      <c r="G10" s="2" t="s">
        <v>155</v>
      </c>
      <c r="H10" s="2" t="s">
        <v>780</v>
      </c>
      <c r="I10" s="37" t="s">
        <v>778</v>
      </c>
      <c r="S10" s="633" t="s">
        <v>802</v>
      </c>
      <c r="T10" s="633"/>
      <c r="U10" s="633"/>
      <c r="V10" s="633"/>
      <c r="W10" s="633"/>
      <c r="Y10" s="633" t="s">
        <v>802</v>
      </c>
      <c r="Z10" s="633"/>
      <c r="AA10" s="633"/>
      <c r="AB10" s="633"/>
      <c r="AC10" s="633"/>
    </row>
    <row r="11" spans="1:29" x14ac:dyDescent="0.2">
      <c r="A11" s="29" t="s">
        <v>41</v>
      </c>
      <c r="B11" s="29" t="s">
        <v>42</v>
      </c>
      <c r="C11" s="29" t="s">
        <v>41</v>
      </c>
      <c r="D11" s="103" t="s">
        <v>790</v>
      </c>
      <c r="E11" s="394">
        <f>I3</f>
        <v>45382</v>
      </c>
      <c r="F11" s="103" t="s">
        <v>788</v>
      </c>
      <c r="G11" s="103" t="s">
        <v>791</v>
      </c>
      <c r="H11" s="29" t="s">
        <v>781</v>
      </c>
      <c r="I11" s="398">
        <f ca="1">SUMPRODUCT(H12:H47,R12:R47)</f>
        <v>37.43</v>
      </c>
      <c r="J11" s="29" t="s">
        <v>808</v>
      </c>
      <c r="K11" s="17" t="s">
        <v>839</v>
      </c>
      <c r="L11" s="17" t="s">
        <v>840</v>
      </c>
      <c r="M11" s="17" t="s">
        <v>841</v>
      </c>
      <c r="N11" s="29" t="s">
        <v>809</v>
      </c>
      <c r="R11" s="2" t="s">
        <v>801</v>
      </c>
      <c r="S11" s="2" t="s">
        <v>803</v>
      </c>
      <c r="T11" s="37" t="s">
        <v>836</v>
      </c>
      <c r="U11" s="37" t="s">
        <v>837</v>
      </c>
      <c r="V11" s="37" t="s">
        <v>838</v>
      </c>
      <c r="W11" s="2" t="s">
        <v>812</v>
      </c>
      <c r="Y11" t="s">
        <v>803</v>
      </c>
      <c r="Z11" t="s">
        <v>804</v>
      </c>
      <c r="AA11" t="s">
        <v>805</v>
      </c>
      <c r="AB11" s="1" t="s">
        <v>806</v>
      </c>
      <c r="AC11" s="28" t="s">
        <v>812</v>
      </c>
    </row>
    <row r="12" spans="1:29" x14ac:dyDescent="0.2">
      <c r="A12" s="52">
        <f>Data!AN8</f>
        <v>45352</v>
      </c>
      <c r="B12" s="388">
        <f>VALUE(A12)</f>
        <v>45352</v>
      </c>
      <c r="C12" s="389">
        <f>VALUE(A12)</f>
        <v>45352</v>
      </c>
      <c r="D12" s="54">
        <f ca="1">IF(Final!J11&gt;=PAD!$E$5,Final!F11,0)</f>
        <v>0</v>
      </c>
      <c r="E12" s="392">
        <f t="shared" ref="E12:E47" ca="1" si="0">IF(D12&gt;0,ROUND(D$6^((E$11-DATE(YEAR(A12),MONTH(A12),15))/365),3),0)</f>
        <v>0</v>
      </c>
      <c r="F12" s="269">
        <f>VLOOKUP(MONTH(C12),PMPM!$A$112:$F$123,6)</f>
        <v>1</v>
      </c>
      <c r="G12" s="395">
        <f t="shared" ref="G12:G47" ca="1" si="1">IF(D12=0,0,VLOOKUP(A12,FSAT,3))</f>
        <v>0</v>
      </c>
      <c r="H12" s="54">
        <f ca="1">IF(D12=0,0,ROUND(D12*E12*F$12/F12*G12,2))</f>
        <v>0</v>
      </c>
      <c r="I12" s="401">
        <f ca="1">IF(H12=0,0,ROUND(H12/I$11,4))</f>
        <v>0</v>
      </c>
      <c r="J12" s="401">
        <f ca="1">$I12*S12</f>
        <v>0</v>
      </c>
      <c r="K12" s="401">
        <f ca="1">$I12*T12</f>
        <v>0</v>
      </c>
      <c r="L12" s="401">
        <f ca="1">$I12*U12</f>
        <v>0</v>
      </c>
      <c r="M12" s="401">
        <f ca="1">$I12*V12</f>
        <v>0</v>
      </c>
      <c r="N12" s="401">
        <f ca="1">I12</f>
        <v>0</v>
      </c>
      <c r="R12" s="396">
        <f ca="1">IF(H12&gt;0,1,0)</f>
        <v>0</v>
      </c>
      <c r="S12" s="396">
        <f ca="1">IF($I12&gt;0,1,0)</f>
        <v>0</v>
      </c>
      <c r="T12" s="396">
        <f ca="1">IF($I12&gt;0,1,0)</f>
        <v>0</v>
      </c>
      <c r="U12" s="396">
        <f ca="1">IF($I12&gt;0,1,0)</f>
        <v>0</v>
      </c>
      <c r="V12" s="396">
        <f ca="1">IF($I12&gt;0,1,0)</f>
        <v>0</v>
      </c>
      <c r="W12" s="396">
        <f ca="1">IF($I12&gt;0,1,0)</f>
        <v>0</v>
      </c>
      <c r="Y12" s="401">
        <f t="shared" ref="Y12:Y47" ca="1" si="2">IF(S12=0,0,(J12-J$49)^2)</f>
        <v>0</v>
      </c>
      <c r="Z12" s="401">
        <f t="shared" ref="Z12:Z47" ca="1" si="3">IF(T12=0,0,(K12-K$49)^2)</f>
        <v>0</v>
      </c>
      <c r="AA12" s="401">
        <f t="shared" ref="AA12:AA47" ca="1" si="4">IF(U12=0,0,(L12-L$49)^2)</f>
        <v>0</v>
      </c>
      <c r="AB12" s="401">
        <f t="shared" ref="AB12:AB47" ca="1" si="5">IF(V12=0,0,(M12-M$49)^2)</f>
        <v>0</v>
      </c>
      <c r="AC12" s="401">
        <f t="shared" ref="AC12:AC47" ca="1" si="6">IF(W12=0,0,(N12-N$49)^2)</f>
        <v>0</v>
      </c>
    </row>
    <row r="13" spans="1:29" x14ac:dyDescent="0.2">
      <c r="A13" s="52">
        <f>Data!AN9</f>
        <v>45323</v>
      </c>
      <c r="B13" s="388">
        <f t="shared" ref="B13:B46" si="7">VALUE(A13)</f>
        <v>45323</v>
      </c>
      <c r="C13" s="389">
        <f t="shared" ref="C13:C47" si="8">VALUE(A13)</f>
        <v>45323</v>
      </c>
      <c r="D13" s="54">
        <f ca="1">IF(Final!J12&gt;=PAD!$E$5,Final!F12,0)</f>
        <v>0</v>
      </c>
      <c r="E13" s="392">
        <f t="shared" ca="1" si="0"/>
        <v>0</v>
      </c>
      <c r="F13" s="269">
        <f>VLOOKUP(MONTH(C13),PMPM!$A$112:$F$123,6)</f>
        <v>1</v>
      </c>
      <c r="G13" s="395">
        <f t="shared" ca="1" si="1"/>
        <v>0</v>
      </c>
      <c r="H13" s="54">
        <f t="shared" ref="H13:H47" ca="1" si="9">IF(D13=0,0,ROUND(D13*E13*F$12/F13*G13,2))</f>
        <v>0</v>
      </c>
      <c r="I13" s="401">
        <f t="shared" ref="I13:I47" ca="1" si="10">IF(H13=0,0,ROUND(H13/I$11,4))</f>
        <v>0</v>
      </c>
      <c r="J13" s="401">
        <f t="shared" ref="J13:J47" ca="1" si="11">$I13*S13</f>
        <v>0</v>
      </c>
      <c r="K13" s="401">
        <f t="shared" ref="K13:K27" ca="1" si="12">$I13*T13</f>
        <v>0</v>
      </c>
      <c r="L13" s="401">
        <f t="shared" ref="L13:L27" ca="1" si="13">$I13*U13</f>
        <v>0</v>
      </c>
      <c r="M13" s="401">
        <f t="shared" ref="M13:M27" ca="1" si="14">$I13*V13</f>
        <v>0</v>
      </c>
      <c r="N13" s="401">
        <f t="shared" ref="N13:N47" ca="1" si="15">I13</f>
        <v>0</v>
      </c>
      <c r="R13" s="397">
        <f ca="1">IF(AND(H13&gt;0,SUM($R$12:R12)=0),1,0)</f>
        <v>0</v>
      </c>
      <c r="S13" s="397">
        <f ca="1">IF(AND($I13&gt;0,SUM(S$12:S12)&lt;6),1,0)</f>
        <v>0</v>
      </c>
      <c r="T13" s="397">
        <f ca="1">IF(AND($I13&gt;0,SUM(S$12:S12)=6,SUM(T$12:T12)&lt;6),1,0)</f>
        <v>0</v>
      </c>
      <c r="U13" s="397">
        <f ca="1">IF(AND($I13&gt;0,SUM(T$12:T12)=6,SUM(U$12:U12)&lt;6),1,0)</f>
        <v>0</v>
      </c>
      <c r="V13" s="397">
        <f ca="1">IF(AND($I13&gt;0,SUM(U$12:U12)=6,SUM(V$12:V12)&lt;6),1,0)</f>
        <v>0</v>
      </c>
      <c r="W13" s="396">
        <f t="shared" ref="W13:W47" ca="1" si="16">IF($I13&gt;0,1,0)</f>
        <v>0</v>
      </c>
      <c r="Y13" s="401">
        <f t="shared" ca="1" si="2"/>
        <v>0</v>
      </c>
      <c r="Z13" s="401">
        <f t="shared" ca="1" si="3"/>
        <v>0</v>
      </c>
      <c r="AA13" s="401">
        <f t="shared" ca="1" si="4"/>
        <v>0</v>
      </c>
      <c r="AB13" s="401">
        <f t="shared" ca="1" si="5"/>
        <v>0</v>
      </c>
      <c r="AC13" s="401">
        <f t="shared" ca="1" si="6"/>
        <v>0</v>
      </c>
    </row>
    <row r="14" spans="1:29" x14ac:dyDescent="0.2">
      <c r="A14" s="52">
        <f>Data!AN10</f>
        <v>45292</v>
      </c>
      <c r="B14" s="388">
        <f t="shared" si="7"/>
        <v>45292</v>
      </c>
      <c r="C14" s="389">
        <f t="shared" si="8"/>
        <v>45292</v>
      </c>
      <c r="D14" s="54">
        <f ca="1">IF(Final!J13&gt;=PAD!$E$5,Final!F13,0)</f>
        <v>37.056707228213348</v>
      </c>
      <c r="E14" s="392">
        <f t="shared" ca="1" si="0"/>
        <v>1.01</v>
      </c>
      <c r="F14" s="269">
        <f>VLOOKUP(MONTH(C14),PMPM!$A$112:$F$123,6)</f>
        <v>1</v>
      </c>
      <c r="G14" s="395">
        <f t="shared" ca="1" si="1"/>
        <v>1</v>
      </c>
      <c r="H14" s="54">
        <f t="shared" ca="1" si="9"/>
        <v>37.43</v>
      </c>
      <c r="I14" s="401">
        <f t="shared" ca="1" si="10"/>
        <v>1</v>
      </c>
      <c r="J14" s="401">
        <f t="shared" ca="1" si="11"/>
        <v>1</v>
      </c>
      <c r="K14" s="401">
        <f t="shared" ca="1" si="12"/>
        <v>0</v>
      </c>
      <c r="L14" s="401">
        <f t="shared" ca="1" si="13"/>
        <v>0</v>
      </c>
      <c r="M14" s="401">
        <f t="shared" ca="1" si="14"/>
        <v>0</v>
      </c>
      <c r="N14" s="401">
        <f t="shared" ca="1" si="15"/>
        <v>1</v>
      </c>
      <c r="R14" s="397">
        <f ca="1">IF(AND(H14&gt;0,SUM($R$12:R13)=0),1,0)</f>
        <v>1</v>
      </c>
      <c r="S14" s="397">
        <f ca="1">IF(AND($I14&gt;0,SUM(S$12:S13)&lt;6),1,0)</f>
        <v>1</v>
      </c>
      <c r="T14" s="397">
        <f ca="1">IF(AND($I14&gt;0,SUM(S$12:S13)=6,SUM(T$12:T13)&lt;6),1,0)</f>
        <v>0</v>
      </c>
      <c r="U14" s="397">
        <f ca="1">IF(AND($I14&gt;0,SUM(T$12:T13)=6,SUM(U$12:U13)&lt;6),1,0)</f>
        <v>0</v>
      </c>
      <c r="V14" s="397">
        <f ca="1">IF(AND($I14&gt;0,SUM(U$12:U13)=6,SUM(V$12:V13)&lt;6),1,0)</f>
        <v>0</v>
      </c>
      <c r="W14" s="396">
        <f t="shared" ca="1" si="16"/>
        <v>1</v>
      </c>
      <c r="Y14" s="401">
        <f t="shared" ca="1" si="2"/>
        <v>1.5976960000000016E-2</v>
      </c>
      <c r="Z14" s="401">
        <f t="shared" ca="1" si="3"/>
        <v>0</v>
      </c>
      <c r="AA14" s="401">
        <f t="shared" ca="1" si="4"/>
        <v>0</v>
      </c>
      <c r="AB14" s="401">
        <f t="shared" ca="1" si="5"/>
        <v>0</v>
      </c>
      <c r="AC14" s="401">
        <f t="shared" ca="1" si="6"/>
        <v>2.6830439999999983E-2</v>
      </c>
    </row>
    <row r="15" spans="1:29" x14ac:dyDescent="0.2">
      <c r="A15" s="52">
        <f>Data!AN11</f>
        <v>45261</v>
      </c>
      <c r="B15" s="388">
        <f t="shared" si="7"/>
        <v>45261</v>
      </c>
      <c r="C15" s="389">
        <f t="shared" si="8"/>
        <v>45261</v>
      </c>
      <c r="D15" s="54">
        <f ca="1">IF(Final!J14&gt;=PAD!$E$5,Final!F14,0)</f>
        <v>39.732638501839261</v>
      </c>
      <c r="E15" s="392">
        <f t="shared" ca="1" si="0"/>
        <v>1.014</v>
      </c>
      <c r="F15" s="269">
        <f>VLOOKUP(MONTH(C15),PMPM!$A$112:$F$123,6)</f>
        <v>1</v>
      </c>
      <c r="G15" s="395">
        <f t="shared" ca="1" si="1"/>
        <v>1</v>
      </c>
      <c r="H15" s="54">
        <f t="shared" ca="1" si="9"/>
        <v>40.29</v>
      </c>
      <c r="I15" s="401">
        <f t="shared" ca="1" si="10"/>
        <v>1.0764</v>
      </c>
      <c r="J15" s="401">
        <f t="shared" ca="1" si="11"/>
        <v>1.0764</v>
      </c>
      <c r="K15" s="401">
        <f t="shared" ca="1" si="12"/>
        <v>0</v>
      </c>
      <c r="L15" s="401">
        <f t="shared" ca="1" si="13"/>
        <v>0</v>
      </c>
      <c r="M15" s="401">
        <f t="shared" ca="1" si="14"/>
        <v>0</v>
      </c>
      <c r="N15" s="401">
        <f t="shared" ca="1" si="15"/>
        <v>1.0764</v>
      </c>
      <c r="R15" s="397">
        <f ca="1">IF(AND(H15&gt;0,SUM($R$12:R14)=0),1,0)</f>
        <v>0</v>
      </c>
      <c r="S15" s="397">
        <f ca="1">IF(AND($I15&gt;0,SUM(S$12:S14)&lt;6),1,0)</f>
        <v>1</v>
      </c>
      <c r="T15" s="397">
        <f ca="1">IF(AND($I15&gt;0,SUM(S$12:S14)=6,SUM(T$12:T14)&lt;6),1,0)</f>
        <v>0</v>
      </c>
      <c r="U15" s="397">
        <f ca="1">IF(AND($I15&gt;0,SUM(T$12:T14)=6,SUM(U$12:U14)&lt;6),1,0)</f>
        <v>0</v>
      </c>
      <c r="V15" s="397">
        <f ca="1">IF(AND($I15&gt;0,SUM(U$12:U14)=6,SUM(V$12:V14)&lt;6),1,0)</f>
        <v>0</v>
      </c>
      <c r="W15" s="396">
        <f t="shared" ca="1" si="16"/>
        <v>1</v>
      </c>
      <c r="Y15" s="401">
        <f t="shared" ca="1" si="2"/>
        <v>2.5000000000000044E-3</v>
      </c>
      <c r="Z15" s="401">
        <f t="shared" ca="1" si="3"/>
        <v>0</v>
      </c>
      <c r="AA15" s="401">
        <f t="shared" ca="1" si="4"/>
        <v>0</v>
      </c>
      <c r="AB15" s="401">
        <f t="shared" ca="1" si="5"/>
        <v>0</v>
      </c>
      <c r="AC15" s="401">
        <f t="shared" ca="1" si="6"/>
        <v>7.6387599999999866E-3</v>
      </c>
    </row>
    <row r="16" spans="1:29" x14ac:dyDescent="0.2">
      <c r="A16" s="52">
        <f>Data!AN12</f>
        <v>45231</v>
      </c>
      <c r="B16" s="388">
        <f t="shared" si="7"/>
        <v>45231</v>
      </c>
      <c r="C16" s="389">
        <f t="shared" si="8"/>
        <v>45231</v>
      </c>
      <c r="D16" s="54">
        <f ca="1">IF(Final!J15&gt;=PAD!$E$5,Final!F15,0)</f>
        <v>42.107491445560107</v>
      </c>
      <c r="E16" s="392">
        <f t="shared" ca="1" si="0"/>
        <v>1.018</v>
      </c>
      <c r="F16" s="269">
        <f>VLOOKUP(MONTH(C16),PMPM!$A$112:$F$123,6)</f>
        <v>1</v>
      </c>
      <c r="G16" s="395">
        <f t="shared" ca="1" si="1"/>
        <v>1</v>
      </c>
      <c r="H16" s="54">
        <f t="shared" ca="1" si="9"/>
        <v>42.87</v>
      </c>
      <c r="I16" s="401">
        <f t="shared" ca="1" si="10"/>
        <v>1.1453</v>
      </c>
      <c r="J16" s="401">
        <f t="shared" ca="1" si="11"/>
        <v>1.1453</v>
      </c>
      <c r="K16" s="401">
        <f t="shared" ca="1" si="12"/>
        <v>0</v>
      </c>
      <c r="L16" s="401">
        <f t="shared" ca="1" si="13"/>
        <v>0</v>
      </c>
      <c r="M16" s="401">
        <f t="shared" ca="1" si="14"/>
        <v>0</v>
      </c>
      <c r="N16" s="401">
        <f t="shared" ca="1" si="15"/>
        <v>1.1453</v>
      </c>
      <c r="R16" s="397">
        <f ca="1">IF(AND(H16&gt;0,SUM($R$12:R15)=0),1,0)</f>
        <v>0</v>
      </c>
      <c r="S16" s="397">
        <f ca="1">IF(AND($I16&gt;0,SUM(S$12:S15)&lt;6),1,0)</f>
        <v>1</v>
      </c>
      <c r="T16" s="397">
        <f ca="1">IF(AND($I16&gt;0,SUM(S$12:S15)=6,SUM(T$12:T15)&lt;6),1,0)</f>
        <v>0</v>
      </c>
      <c r="U16" s="397">
        <f ca="1">IF(AND($I16&gt;0,SUM(T$12:T15)=6,SUM(U$12:U15)&lt;6),1,0)</f>
        <v>0</v>
      </c>
      <c r="V16" s="397">
        <f ca="1">IF(AND($I16&gt;0,SUM(U$12:U15)=6,SUM(V$12:V15)&lt;6),1,0)</f>
        <v>0</v>
      </c>
      <c r="W16" s="396">
        <f t="shared" ca="1" si="16"/>
        <v>1</v>
      </c>
      <c r="Y16" s="401">
        <f t="shared" ca="1" si="2"/>
        <v>3.5720999999999686E-4</v>
      </c>
      <c r="Z16" s="401">
        <f t="shared" ca="1" si="3"/>
        <v>0</v>
      </c>
      <c r="AA16" s="401">
        <f t="shared" ca="1" si="4"/>
        <v>0</v>
      </c>
      <c r="AB16" s="401">
        <f t="shared" ca="1" si="5"/>
        <v>0</v>
      </c>
      <c r="AC16" s="401">
        <f t="shared" ca="1" si="6"/>
        <v>3.4224999999999853E-4</v>
      </c>
    </row>
    <row r="17" spans="1:29" x14ac:dyDescent="0.2">
      <c r="A17" s="52">
        <f>Data!AN13</f>
        <v>45200</v>
      </c>
      <c r="B17" s="388">
        <f t="shared" si="7"/>
        <v>45200</v>
      </c>
      <c r="C17" s="389">
        <f t="shared" si="8"/>
        <v>45200</v>
      </c>
      <c r="D17" s="54">
        <f ca="1">IF(Final!J16&gt;=PAD!$E$5,Final!F16,0)</f>
        <v>45.354256209484092</v>
      </c>
      <c r="E17" s="392">
        <f t="shared" ca="1" si="0"/>
        <v>1.0229999999999999</v>
      </c>
      <c r="F17" s="269">
        <f>VLOOKUP(MONTH(C17),PMPM!$A$112:$F$123,6)</f>
        <v>1</v>
      </c>
      <c r="G17" s="395">
        <f t="shared" ca="1" si="1"/>
        <v>1</v>
      </c>
      <c r="H17" s="54">
        <f t="shared" ca="1" si="9"/>
        <v>46.4</v>
      </c>
      <c r="I17" s="401">
        <f t="shared" ca="1" si="10"/>
        <v>1.2396</v>
      </c>
      <c r="J17" s="401">
        <f t="shared" ca="1" si="11"/>
        <v>1.2396</v>
      </c>
      <c r="K17" s="401">
        <f t="shared" ca="1" si="12"/>
        <v>0</v>
      </c>
      <c r="L17" s="401">
        <f t="shared" ca="1" si="13"/>
        <v>0</v>
      </c>
      <c r="M17" s="401">
        <f t="shared" ca="1" si="14"/>
        <v>0</v>
      </c>
      <c r="N17" s="401">
        <f t="shared" ca="1" si="15"/>
        <v>1.2396</v>
      </c>
      <c r="R17" s="397">
        <f ca="1">IF(AND(H17&gt;0,SUM($R$12:R16)=0),1,0)</f>
        <v>0</v>
      </c>
      <c r="S17" s="397">
        <f ca="1">IF(AND($I17&gt;0,SUM(S$12:S16)&lt;6),1,0)</f>
        <v>1</v>
      </c>
      <c r="T17" s="397">
        <f ca="1">IF(AND($I17&gt;0,SUM(S$12:S16)=6,SUM(T$12:T16)&lt;6),1,0)</f>
        <v>0</v>
      </c>
      <c r="U17" s="397">
        <f ca="1">IF(AND($I17&gt;0,SUM(T$12:T16)=6,SUM(U$12:U16)&lt;6),1,0)</f>
        <v>0</v>
      </c>
      <c r="V17" s="397">
        <f ca="1">IF(AND($I17&gt;0,SUM(U$12:U16)=6,SUM(V$12:V16)&lt;6),1,0)</f>
        <v>0</v>
      </c>
      <c r="W17" s="396">
        <f t="shared" ca="1" si="16"/>
        <v>1</v>
      </c>
      <c r="Y17" s="401">
        <f t="shared" ca="1" si="2"/>
        <v>1.2814239999999992E-2</v>
      </c>
      <c r="Z17" s="401">
        <f t="shared" ca="1" si="3"/>
        <v>0</v>
      </c>
      <c r="AA17" s="401">
        <f t="shared" ca="1" si="4"/>
        <v>0</v>
      </c>
      <c r="AB17" s="401">
        <f t="shared" ca="1" si="5"/>
        <v>0</v>
      </c>
      <c r="AC17" s="401">
        <f t="shared" ca="1" si="6"/>
        <v>5.7456400000000137E-3</v>
      </c>
    </row>
    <row r="18" spans="1:29" x14ac:dyDescent="0.2">
      <c r="A18" s="52">
        <f>Data!AN14</f>
        <v>45170</v>
      </c>
      <c r="B18" s="388">
        <f t="shared" si="7"/>
        <v>45170</v>
      </c>
      <c r="C18" s="389">
        <f t="shared" si="8"/>
        <v>45170</v>
      </c>
      <c r="D18" s="54">
        <f ca="1">IF(Final!J17&gt;=PAD!$E$5,Final!F17,0)</f>
        <v>39.63601951304247</v>
      </c>
      <c r="E18" s="392">
        <f t="shared" ca="1" si="0"/>
        <v>1.0269999999999999</v>
      </c>
      <c r="F18" s="269">
        <f>VLOOKUP(MONTH(C18),PMPM!$A$112:$F$123,6)</f>
        <v>1</v>
      </c>
      <c r="G18" s="395">
        <f t="shared" ca="1" si="1"/>
        <v>1</v>
      </c>
      <c r="H18" s="54">
        <f t="shared" ca="1" si="9"/>
        <v>40.71</v>
      </c>
      <c r="I18" s="401">
        <f t="shared" ca="1" si="10"/>
        <v>1.0875999999999999</v>
      </c>
      <c r="J18" s="401">
        <f t="shared" ca="1" si="11"/>
        <v>1.0875999999999999</v>
      </c>
      <c r="K18" s="401">
        <f t="shared" ca="1" si="12"/>
        <v>0</v>
      </c>
      <c r="L18" s="401">
        <f t="shared" ca="1" si="13"/>
        <v>0</v>
      </c>
      <c r="M18" s="401">
        <f t="shared" ca="1" si="14"/>
        <v>0</v>
      </c>
      <c r="N18" s="401">
        <f t="shared" ca="1" si="15"/>
        <v>1.0875999999999999</v>
      </c>
      <c r="R18" s="397">
        <f ca="1">IF(AND(H18&gt;0,SUM($R$12:R17)=0),1,0)</f>
        <v>0</v>
      </c>
      <c r="S18" s="397">
        <f ca="1">IF(AND($I18&gt;0,SUM(S$12:S17)&lt;6),1,0)</f>
        <v>1</v>
      </c>
      <c r="T18" s="397">
        <f ca="1">IF(AND($I18&gt;0,SUM(S$12:S17)=6,SUM(T$12:T17)&lt;6),1,0)</f>
        <v>0</v>
      </c>
      <c r="U18" s="397">
        <f ca="1">IF(AND($I18&gt;0,SUM(T$12:T17)=6,SUM(U$12:U17)&lt;6),1,0)</f>
        <v>0</v>
      </c>
      <c r="V18" s="397">
        <f ca="1">IF(AND($I18&gt;0,SUM(U$12:U17)=6,SUM(V$12:V17)&lt;6),1,0)</f>
        <v>0</v>
      </c>
      <c r="W18" s="396">
        <f t="shared" ca="1" si="16"/>
        <v>1</v>
      </c>
      <c r="Y18" s="401">
        <f t="shared" ca="1" si="2"/>
        <v>1.505440000000013E-3</v>
      </c>
      <c r="Z18" s="401">
        <f t="shared" ca="1" si="3"/>
        <v>0</v>
      </c>
      <c r="AA18" s="401">
        <f t="shared" ca="1" si="4"/>
        <v>0</v>
      </c>
      <c r="AB18" s="401">
        <f t="shared" ca="1" si="5"/>
        <v>0</v>
      </c>
      <c r="AC18" s="401">
        <f t="shared" ca="1" si="6"/>
        <v>5.8064400000000073E-3</v>
      </c>
    </row>
    <row r="19" spans="1:29" x14ac:dyDescent="0.2">
      <c r="A19" s="52">
        <f>Data!AN15</f>
        <v>45139</v>
      </c>
      <c r="B19" s="388">
        <f t="shared" si="7"/>
        <v>45139</v>
      </c>
      <c r="C19" s="389">
        <f t="shared" si="8"/>
        <v>45139</v>
      </c>
      <c r="D19" s="54">
        <f ca="1">IF(Final!J18&gt;=PAD!$E$5,Final!F18,0)</f>
        <v>43.908844442170953</v>
      </c>
      <c r="E19" s="392">
        <f t="shared" ca="1" si="0"/>
        <v>1.0309999999999999</v>
      </c>
      <c r="F19" s="269">
        <f>VLOOKUP(MONTH(C19),PMPM!$A$112:$F$123,6)</f>
        <v>1</v>
      </c>
      <c r="G19" s="395">
        <f t="shared" ca="1" si="1"/>
        <v>1</v>
      </c>
      <c r="H19" s="54">
        <f t="shared" ca="1" si="9"/>
        <v>45.27</v>
      </c>
      <c r="I19" s="401">
        <f t="shared" ca="1" si="10"/>
        <v>1.2095</v>
      </c>
      <c r="J19" s="401">
        <f t="shared" ca="1" si="11"/>
        <v>1.2095</v>
      </c>
      <c r="K19" s="401">
        <f t="shared" ca="1" si="12"/>
        <v>0</v>
      </c>
      <c r="L19" s="401">
        <f t="shared" ca="1" si="13"/>
        <v>0</v>
      </c>
      <c r="M19" s="401">
        <f t="shared" ca="1" si="14"/>
        <v>0</v>
      </c>
      <c r="N19" s="401">
        <f t="shared" ca="1" si="15"/>
        <v>1.2095</v>
      </c>
      <c r="R19" s="397">
        <f ca="1">IF(AND(H19&gt;0,SUM($R$12:R18)=0),1,0)</f>
        <v>0</v>
      </c>
      <c r="S19" s="397">
        <f ca="1">IF(AND($I19&gt;0,SUM(S$12:S18)&lt;6),1,0)</f>
        <v>1</v>
      </c>
      <c r="T19" s="397">
        <f ca="1">IF(AND($I19&gt;0,SUM(S$12:S18)=6,SUM(T$12:T18)&lt;6),1,0)</f>
        <v>0</v>
      </c>
      <c r="U19" s="397">
        <f ca="1">IF(AND($I19&gt;0,SUM(T$12:T18)=6,SUM(U$12:U18)&lt;6),1,0)</f>
        <v>0</v>
      </c>
      <c r="V19" s="397">
        <f ca="1">IF(AND($I19&gt;0,SUM(U$12:U18)=6,SUM(V$12:V18)&lt;6),1,0)</f>
        <v>0</v>
      </c>
      <c r="W19" s="396">
        <f t="shared" ca="1" si="16"/>
        <v>1</v>
      </c>
      <c r="Y19" s="401">
        <f t="shared" ca="1" si="2"/>
        <v>6.9056099999999917E-3</v>
      </c>
      <c r="Z19" s="401">
        <f t="shared" ca="1" si="3"/>
        <v>0</v>
      </c>
      <c r="AA19" s="401">
        <f t="shared" ca="1" si="4"/>
        <v>0</v>
      </c>
      <c r="AB19" s="401">
        <f t="shared" ca="1" si="5"/>
        <v>0</v>
      </c>
      <c r="AC19" s="401">
        <f t="shared" ca="1" si="6"/>
        <v>2.0884900000000066E-3</v>
      </c>
    </row>
    <row r="20" spans="1:29" x14ac:dyDescent="0.2">
      <c r="A20" s="52">
        <f>Data!AN16</f>
        <v>45108</v>
      </c>
      <c r="B20" s="388">
        <f t="shared" si="7"/>
        <v>45108</v>
      </c>
      <c r="C20" s="389">
        <f t="shared" si="8"/>
        <v>45108</v>
      </c>
      <c r="D20" s="54">
        <f ca="1">IF(Final!J19&gt;=PAD!$E$5,Final!F19,0)</f>
        <v>38.321848276874519</v>
      </c>
      <c r="E20" s="392">
        <f t="shared" ca="1" si="0"/>
        <v>1.0349999999999999</v>
      </c>
      <c r="F20" s="269">
        <f>VLOOKUP(MONTH(C20),PMPM!$A$112:$F$123,6)</f>
        <v>1</v>
      </c>
      <c r="G20" s="395">
        <f t="shared" ca="1" si="1"/>
        <v>1</v>
      </c>
      <c r="H20" s="54">
        <f t="shared" ca="1" si="9"/>
        <v>39.659999999999997</v>
      </c>
      <c r="I20" s="401">
        <f t="shared" ca="1" si="10"/>
        <v>1.0596000000000001</v>
      </c>
      <c r="J20" s="401">
        <f t="shared" ca="1" si="11"/>
        <v>0</v>
      </c>
      <c r="K20" s="401">
        <f t="shared" ca="1" si="12"/>
        <v>1.0596000000000001</v>
      </c>
      <c r="L20" s="401">
        <f t="shared" ca="1" si="13"/>
        <v>0</v>
      </c>
      <c r="M20" s="401">
        <f t="shared" ca="1" si="14"/>
        <v>0</v>
      </c>
      <c r="N20" s="401">
        <f t="shared" ca="1" si="15"/>
        <v>1.0596000000000001</v>
      </c>
      <c r="R20" s="397">
        <f ca="1">IF(AND(H20&gt;0,SUM($R$12:R19)=0),1,0)</f>
        <v>0</v>
      </c>
      <c r="S20" s="397">
        <f ca="1">IF(AND($I20&gt;0,SUM(S$12:S19)&lt;6),1,0)</f>
        <v>0</v>
      </c>
      <c r="T20" s="397">
        <f ca="1">IF(AND($I20&gt;0,SUM(S$12:S19)=6,SUM(T$12:T19)&lt;6),1,0)</f>
        <v>1</v>
      </c>
      <c r="U20" s="397">
        <f ca="1">IF(AND($I20&gt;0,SUM(T$12:T19)=6,SUM(U$12:U19)&lt;6),1,0)</f>
        <v>0</v>
      </c>
      <c r="V20" s="397">
        <f ca="1">IF(AND($I20&gt;0,SUM(U$12:U19)=6,SUM(V$12:V19)&lt;6),1,0)</f>
        <v>0</v>
      </c>
      <c r="W20" s="396">
        <f t="shared" ca="1" si="16"/>
        <v>1</v>
      </c>
      <c r="Y20" s="401">
        <f t="shared" ca="1" si="2"/>
        <v>0</v>
      </c>
      <c r="Z20" s="401">
        <f t="shared" ca="1" si="3"/>
        <v>1.011239999999989E-3</v>
      </c>
      <c r="AA20" s="401">
        <f t="shared" ca="1" si="4"/>
        <v>0</v>
      </c>
      <c r="AB20" s="401">
        <f t="shared" ca="1" si="5"/>
        <v>0</v>
      </c>
      <c r="AC20" s="401">
        <f t="shared" ca="1" si="6"/>
        <v>1.0857639999999969E-2</v>
      </c>
    </row>
    <row r="21" spans="1:29" x14ac:dyDescent="0.2">
      <c r="A21" s="52">
        <f>Data!AN17</f>
        <v>45078</v>
      </c>
      <c r="B21" s="388">
        <f t="shared" si="7"/>
        <v>45078</v>
      </c>
      <c r="C21" s="389">
        <f t="shared" si="8"/>
        <v>45078</v>
      </c>
      <c r="D21" s="54">
        <f ca="1">IF(Final!J20&gt;=PAD!$E$5,Final!F20,0)</f>
        <v>40.966554665288186</v>
      </c>
      <c r="E21" s="392">
        <f t="shared" ca="1" si="0"/>
        <v>1.04</v>
      </c>
      <c r="F21" s="269">
        <f>VLOOKUP(MONTH(C21),PMPM!$A$112:$F$123,6)</f>
        <v>1</v>
      </c>
      <c r="G21" s="395">
        <f t="shared" ca="1" si="1"/>
        <v>1</v>
      </c>
      <c r="H21" s="54">
        <f t="shared" ca="1" si="9"/>
        <v>42.61</v>
      </c>
      <c r="I21" s="401">
        <f t="shared" ca="1" si="10"/>
        <v>1.1384000000000001</v>
      </c>
      <c r="J21" s="401">
        <f t="shared" ca="1" si="11"/>
        <v>0</v>
      </c>
      <c r="K21" s="401">
        <f t="shared" ca="1" si="12"/>
        <v>1.1384000000000001</v>
      </c>
      <c r="L21" s="401">
        <f t="shared" ca="1" si="13"/>
        <v>0</v>
      </c>
      <c r="M21" s="401">
        <f t="shared" ca="1" si="14"/>
        <v>0</v>
      </c>
      <c r="N21" s="401">
        <f t="shared" ca="1" si="15"/>
        <v>1.1384000000000001</v>
      </c>
      <c r="R21" s="397">
        <f ca="1">IF(AND(H21&gt;0,SUM($R$12:R20)=0),1,0)</f>
        <v>0</v>
      </c>
      <c r="S21" s="397">
        <f ca="1">IF(AND($I21&gt;0,SUM(S$12:S20)&lt;6),1,0)</f>
        <v>0</v>
      </c>
      <c r="T21" s="397">
        <f ca="1">IF(AND($I21&gt;0,SUM(S$12:S20)=6,SUM(T$12:T20)&lt;6),1,0)</f>
        <v>1</v>
      </c>
      <c r="U21" s="397">
        <f ca="1">IF(AND($I21&gt;0,SUM(T$12:T20)=6,SUM(U$12:U20)&lt;6),1,0)</f>
        <v>0</v>
      </c>
      <c r="V21" s="397">
        <f ca="1">IF(AND($I21&gt;0,SUM(U$12:U20)=6,SUM(V$12:V20)&lt;6),1,0)</f>
        <v>0</v>
      </c>
      <c r="W21" s="396">
        <f t="shared" ca="1" si="16"/>
        <v>1</v>
      </c>
      <c r="Y21" s="401">
        <f t="shared" ca="1" si="2"/>
        <v>0</v>
      </c>
      <c r="Z21" s="401">
        <f t="shared" ca="1" si="3"/>
        <v>2.2090000000000143E-3</v>
      </c>
      <c r="AA21" s="401">
        <f t="shared" ca="1" si="4"/>
        <v>0</v>
      </c>
      <c r="AB21" s="401">
        <f t="shared" ca="1" si="5"/>
        <v>0</v>
      </c>
      <c r="AC21" s="401">
        <f t="shared" ca="1" si="6"/>
        <v>6.4515999999999326E-4</v>
      </c>
    </row>
    <row r="22" spans="1:29" x14ac:dyDescent="0.2">
      <c r="A22" s="52">
        <f>Data!AN18</f>
        <v>45047</v>
      </c>
      <c r="B22" s="388">
        <f t="shared" si="7"/>
        <v>45047</v>
      </c>
      <c r="C22" s="389">
        <f t="shared" si="8"/>
        <v>45047</v>
      </c>
      <c r="D22" s="54">
        <f ca="1">IF(Final!J21&gt;=PAD!$E$5,Final!F21,0)</f>
        <v>40.251983787602725</v>
      </c>
      <c r="E22" s="392">
        <f t="shared" ca="1" si="0"/>
        <v>1.044</v>
      </c>
      <c r="F22" s="269">
        <f>VLOOKUP(MONTH(C22),PMPM!$A$112:$F$123,6)</f>
        <v>1</v>
      </c>
      <c r="G22" s="395">
        <f t="shared" ca="1" si="1"/>
        <v>1</v>
      </c>
      <c r="H22" s="54">
        <f t="shared" ca="1" si="9"/>
        <v>42.02</v>
      </c>
      <c r="I22" s="401">
        <f t="shared" ca="1" si="10"/>
        <v>1.1226</v>
      </c>
      <c r="J22" s="401">
        <f t="shared" ca="1" si="11"/>
        <v>0</v>
      </c>
      <c r="K22" s="401">
        <f t="shared" ca="1" si="12"/>
        <v>1.1226</v>
      </c>
      <c r="L22" s="401">
        <f t="shared" ca="1" si="13"/>
        <v>0</v>
      </c>
      <c r="M22" s="401">
        <f t="shared" ca="1" si="14"/>
        <v>0</v>
      </c>
      <c r="N22" s="401">
        <f t="shared" ca="1" si="15"/>
        <v>1.1226</v>
      </c>
      <c r="R22" s="397">
        <f ca="1">IF(AND(H22&gt;0,SUM($R$12:R21)=0),1,0)</f>
        <v>0</v>
      </c>
      <c r="S22" s="397">
        <f ca="1">IF(AND($I22&gt;0,SUM(S$12:S21)&lt;6),1,0)</f>
        <v>0</v>
      </c>
      <c r="T22" s="397">
        <f ca="1">IF(AND($I22&gt;0,SUM(S$12:S21)=6,SUM(T$12:T21)&lt;6),1,0)</f>
        <v>1</v>
      </c>
      <c r="U22" s="397">
        <f ca="1">IF(AND($I22&gt;0,SUM(T$12:T21)=6,SUM(U$12:U21)&lt;6),1,0)</f>
        <v>0</v>
      </c>
      <c r="V22" s="397">
        <f ca="1">IF(AND($I22&gt;0,SUM(U$12:U21)=6,SUM(V$12:V21)&lt;6),1,0)</f>
        <v>0</v>
      </c>
      <c r="W22" s="396">
        <f t="shared" ca="1" si="16"/>
        <v>1</v>
      </c>
      <c r="Y22" s="401">
        <f t="shared" ca="1" si="2"/>
        <v>0</v>
      </c>
      <c r="Z22" s="401">
        <f t="shared" ca="1" si="3"/>
        <v>9.7344000000000727E-4</v>
      </c>
      <c r="AA22" s="401">
        <f t="shared" ca="1" si="4"/>
        <v>0</v>
      </c>
      <c r="AB22" s="401">
        <f t="shared" ca="1" si="5"/>
        <v>0</v>
      </c>
      <c r="AC22" s="401">
        <f t="shared" ca="1" si="6"/>
        <v>1.6974399999999921E-3</v>
      </c>
    </row>
    <row r="23" spans="1:29" x14ac:dyDescent="0.2">
      <c r="A23" s="52">
        <f>Data!AN19</f>
        <v>45017</v>
      </c>
      <c r="B23" s="388">
        <f t="shared" si="7"/>
        <v>45017</v>
      </c>
      <c r="C23" s="389">
        <f t="shared" si="8"/>
        <v>45017</v>
      </c>
      <c r="D23" s="54">
        <f ca="1">IF(Final!J22&gt;=PAD!$E$5,Final!F22,0)</f>
        <v>35.983312262958279</v>
      </c>
      <c r="E23" s="392">
        <f t="shared" ca="1" si="0"/>
        <v>1.048</v>
      </c>
      <c r="F23" s="269">
        <f>VLOOKUP(MONTH(C23),PMPM!$A$112:$F$123,6)</f>
        <v>1</v>
      </c>
      <c r="G23" s="395">
        <f t="shared" ca="1" si="1"/>
        <v>1</v>
      </c>
      <c r="H23" s="54">
        <f t="shared" ca="1" si="9"/>
        <v>37.71</v>
      </c>
      <c r="I23" s="401">
        <f t="shared" ca="1" si="10"/>
        <v>1.0075000000000001</v>
      </c>
      <c r="J23" s="401">
        <f t="shared" ca="1" si="11"/>
        <v>0</v>
      </c>
      <c r="K23" s="401">
        <f t="shared" ca="1" si="12"/>
        <v>1.0075000000000001</v>
      </c>
      <c r="L23" s="401">
        <f t="shared" ca="1" si="13"/>
        <v>0</v>
      </c>
      <c r="M23" s="401">
        <f t="shared" ca="1" si="14"/>
        <v>0</v>
      </c>
      <c r="N23" s="401">
        <f t="shared" ca="1" si="15"/>
        <v>1.0075000000000001</v>
      </c>
      <c r="R23" s="397">
        <f ca="1">IF(AND(H23&gt;0,SUM($R$12:R22)=0),1,0)</f>
        <v>0</v>
      </c>
      <c r="S23" s="397">
        <f ca="1">IF(AND($I23&gt;0,SUM(S$12:S22)&lt;6),1,0)</f>
        <v>0</v>
      </c>
      <c r="T23" s="397">
        <f ca="1">IF(AND($I23&gt;0,SUM(S$12:S22)=6,SUM(T$12:T22)&lt;6),1,0)</f>
        <v>1</v>
      </c>
      <c r="U23" s="397">
        <f ca="1">IF(AND($I23&gt;0,SUM(T$12:T22)=6,SUM(U$12:U22)&lt;6),1,0)</f>
        <v>0</v>
      </c>
      <c r="V23" s="397">
        <f ca="1">IF(AND($I23&gt;0,SUM(U$12:U22)=6,SUM(V$12:V22)&lt;6),1,0)</f>
        <v>0</v>
      </c>
      <c r="W23" s="396">
        <f t="shared" ca="1" si="16"/>
        <v>1</v>
      </c>
      <c r="Y23" s="401">
        <f t="shared" ca="1" si="2"/>
        <v>0</v>
      </c>
      <c r="Z23" s="401">
        <f t="shared" ca="1" si="3"/>
        <v>7.0392099999999772E-3</v>
      </c>
      <c r="AA23" s="401">
        <f t="shared" ca="1" si="4"/>
        <v>0</v>
      </c>
      <c r="AB23" s="401">
        <f t="shared" ca="1" si="5"/>
        <v>0</v>
      </c>
      <c r="AC23" s="401">
        <f t="shared" ca="1" si="6"/>
        <v>2.4429689999999962E-2</v>
      </c>
    </row>
    <row r="24" spans="1:29" x14ac:dyDescent="0.2">
      <c r="A24" s="52">
        <f>Data!AN20</f>
        <v>44986</v>
      </c>
      <c r="B24" s="388">
        <f t="shared" si="7"/>
        <v>44986</v>
      </c>
      <c r="C24" s="389">
        <f t="shared" si="8"/>
        <v>44986</v>
      </c>
      <c r="D24" s="54">
        <f>IF(Final!J23&gt;=PAD!$E$5,Final!F23,0)</f>
        <v>43.272089036718107</v>
      </c>
      <c r="E24" s="392">
        <f t="shared" si="0"/>
        <v>1.052</v>
      </c>
      <c r="F24" s="269">
        <f>VLOOKUP(MONTH(C24),PMPM!$A$112:$F$123,6)</f>
        <v>1</v>
      </c>
      <c r="G24" s="395">
        <f t="shared" si="1"/>
        <v>1</v>
      </c>
      <c r="H24" s="54">
        <f t="shared" si="9"/>
        <v>45.52</v>
      </c>
      <c r="I24" s="401">
        <f t="shared" ca="1" si="10"/>
        <v>1.2161</v>
      </c>
      <c r="J24" s="401">
        <f t="shared" ca="1" si="11"/>
        <v>0</v>
      </c>
      <c r="K24" s="401">
        <f t="shared" ca="1" si="12"/>
        <v>1.2161</v>
      </c>
      <c r="L24" s="401">
        <f t="shared" ca="1" si="13"/>
        <v>0</v>
      </c>
      <c r="M24" s="401">
        <f t="shared" ca="1" si="14"/>
        <v>0</v>
      </c>
      <c r="N24" s="401">
        <f t="shared" ca="1" si="15"/>
        <v>1.2161</v>
      </c>
      <c r="R24" s="397">
        <f ca="1">IF(AND(H24&gt;0,SUM($R$12:R23)=0),1,0)</f>
        <v>0</v>
      </c>
      <c r="S24" s="397">
        <f ca="1">IF(AND($I24&gt;0,SUM(S$12:S23)&lt;6),1,0)</f>
        <v>0</v>
      </c>
      <c r="T24" s="397">
        <f ca="1">IF(AND($I24&gt;0,SUM(S$12:S23)=6,SUM(T$12:T23)&lt;6),1,0)</f>
        <v>1</v>
      </c>
      <c r="U24" s="397">
        <f ca="1">IF(AND($I24&gt;0,SUM(T$12:T23)=6,SUM(U$12:U23)&lt;6),1,0)</f>
        <v>0</v>
      </c>
      <c r="V24" s="397">
        <f ca="1">IF(AND($I24&gt;0,SUM(U$12:U23)=6,SUM(V$12:V23)&lt;6),1,0)</f>
        <v>0</v>
      </c>
      <c r="W24" s="396">
        <f t="shared" ca="1" si="16"/>
        <v>1</v>
      </c>
      <c r="Y24" s="401">
        <f t="shared" ca="1" si="2"/>
        <v>0</v>
      </c>
      <c r="Z24" s="401">
        <f t="shared" ca="1" si="3"/>
        <v>1.5550090000000008E-2</v>
      </c>
      <c r="AA24" s="401">
        <f t="shared" ca="1" si="4"/>
        <v>0</v>
      </c>
      <c r="AB24" s="401">
        <f t="shared" ca="1" si="5"/>
        <v>0</v>
      </c>
      <c r="AC24" s="401">
        <f t="shared" ca="1" si="6"/>
        <v>2.7352900000000013E-3</v>
      </c>
    </row>
    <row r="25" spans="1:29" x14ac:dyDescent="0.2">
      <c r="A25" s="52">
        <f>Data!AN21</f>
        <v>44958</v>
      </c>
      <c r="B25" s="388">
        <f t="shared" si="7"/>
        <v>44958</v>
      </c>
      <c r="C25" s="389">
        <f t="shared" si="8"/>
        <v>44958</v>
      </c>
      <c r="D25" s="54">
        <f>IF(Final!J24&gt;=PAD!$E$5,Final!F24,0)</f>
        <v>35.59053999092955</v>
      </c>
      <c r="E25" s="392">
        <f t="shared" si="0"/>
        <v>1.056</v>
      </c>
      <c r="F25" s="269">
        <f>VLOOKUP(MONTH(C25),PMPM!$A$112:$F$123,6)</f>
        <v>1</v>
      </c>
      <c r="G25" s="395">
        <f t="shared" si="1"/>
        <v>1</v>
      </c>
      <c r="H25" s="54">
        <f t="shared" si="9"/>
        <v>37.58</v>
      </c>
      <c r="I25" s="401">
        <f t="shared" ca="1" si="10"/>
        <v>1.004</v>
      </c>
      <c r="J25" s="401">
        <f t="shared" ca="1" si="11"/>
        <v>0</v>
      </c>
      <c r="K25" s="401">
        <f t="shared" ca="1" si="12"/>
        <v>1.004</v>
      </c>
      <c r="L25" s="401">
        <f t="shared" ca="1" si="13"/>
        <v>0</v>
      </c>
      <c r="M25" s="401">
        <f t="shared" ca="1" si="14"/>
        <v>0</v>
      </c>
      <c r="N25" s="401">
        <f t="shared" ca="1" si="15"/>
        <v>1.004</v>
      </c>
      <c r="R25" s="397">
        <f ca="1">IF(AND(H25&gt;0,SUM($R$12:R24)=0),1,0)</f>
        <v>0</v>
      </c>
      <c r="S25" s="397">
        <f ca="1">IF(AND($I25&gt;0,SUM(S$12:S24)&lt;6),1,0)</f>
        <v>0</v>
      </c>
      <c r="T25" s="397">
        <f ca="1">IF(AND($I25&gt;0,SUM(S$12:S24)=6,SUM(T$12:T24)&lt;6),1,0)</f>
        <v>1</v>
      </c>
      <c r="U25" s="397">
        <f ca="1">IF(AND($I25&gt;0,SUM(T$12:T24)=6,SUM(U$12:U24)&lt;6),1,0)</f>
        <v>0</v>
      </c>
      <c r="V25" s="397">
        <f ca="1">IF(AND($I25&gt;0,SUM(U$12:U24)=6,SUM(V$12:V24)&lt;6),1,0)</f>
        <v>0</v>
      </c>
      <c r="W25" s="396">
        <f t="shared" ca="1" si="16"/>
        <v>1</v>
      </c>
      <c r="Y25" s="401">
        <f t="shared" ca="1" si="2"/>
        <v>0</v>
      </c>
      <c r="Z25" s="401">
        <f t="shared" ca="1" si="3"/>
        <v>7.6387599999999866E-3</v>
      </c>
      <c r="AA25" s="401">
        <f t="shared" ca="1" si="4"/>
        <v>0</v>
      </c>
      <c r="AB25" s="401">
        <f t="shared" ca="1" si="5"/>
        <v>0</v>
      </c>
      <c r="AC25" s="401">
        <f t="shared" ca="1" si="6"/>
        <v>2.5536039999999982E-2</v>
      </c>
    </row>
    <row r="26" spans="1:29" x14ac:dyDescent="0.2">
      <c r="A26" s="52">
        <f>Data!AN22</f>
        <v>44927</v>
      </c>
      <c r="B26" s="388">
        <f t="shared" si="7"/>
        <v>44927</v>
      </c>
      <c r="C26" s="389">
        <f t="shared" si="8"/>
        <v>44927</v>
      </c>
      <c r="D26" s="54">
        <f>IF(Final!J25&gt;=PAD!$E$5,Final!F25,0)</f>
        <v>34.457578879124007</v>
      </c>
      <c r="E26" s="392">
        <f t="shared" si="0"/>
        <v>1.0609999999999999</v>
      </c>
      <c r="F26" s="269">
        <f>VLOOKUP(MONTH(C26),PMPM!$A$112:$F$123,6)</f>
        <v>1</v>
      </c>
      <c r="G26" s="395">
        <f t="shared" si="1"/>
        <v>1</v>
      </c>
      <c r="H26" s="54">
        <f t="shared" si="9"/>
        <v>36.56</v>
      </c>
      <c r="I26" s="401">
        <f t="shared" ca="1" si="10"/>
        <v>0.9768</v>
      </c>
      <c r="J26" s="401">
        <f t="shared" ca="1" si="11"/>
        <v>0</v>
      </c>
      <c r="K26" s="401">
        <f t="shared" ca="1" si="12"/>
        <v>0</v>
      </c>
      <c r="L26" s="401">
        <f t="shared" ca="1" si="13"/>
        <v>0.9768</v>
      </c>
      <c r="M26" s="401">
        <f t="shared" ca="1" si="14"/>
        <v>0</v>
      </c>
      <c r="N26" s="401">
        <f t="shared" ca="1" si="15"/>
        <v>0.9768</v>
      </c>
      <c r="R26" s="397">
        <f ca="1">IF(AND(H26&gt;0,SUM($R$12:R25)=0),1,0)</f>
        <v>0</v>
      </c>
      <c r="S26" s="397">
        <f ca="1">IF(AND($I26&gt;0,SUM(S$12:S25)&lt;6),1,0)</f>
        <v>0</v>
      </c>
      <c r="T26" s="397">
        <f ca="1">IF(AND($I26&gt;0,SUM(S$12:S25)=6,SUM(T$12:T25)&lt;6),1,0)</f>
        <v>0</v>
      </c>
      <c r="U26" s="397">
        <f ca="1">IF(AND($I26&gt;0,SUM(T$12:T25)=6,SUM(U$12:U25)&lt;6),1,0)</f>
        <v>1</v>
      </c>
      <c r="V26" s="397">
        <f ca="1">IF(AND($I26&gt;0,SUM(U$12:U25)=6,SUM(V$12:V25)&lt;6),1,0)</f>
        <v>0</v>
      </c>
      <c r="W26" s="396">
        <f t="shared" ca="1" si="16"/>
        <v>1</v>
      </c>
      <c r="Y26" s="401">
        <f t="shared" ca="1" si="2"/>
        <v>0</v>
      </c>
      <c r="Z26" s="401">
        <f t="shared" ca="1" si="3"/>
        <v>0</v>
      </c>
      <c r="AA26" s="401">
        <f t="shared" ca="1" si="4"/>
        <v>2.9652840000000007E-2</v>
      </c>
      <c r="AB26" s="401">
        <f t="shared" ca="1" si="5"/>
        <v>0</v>
      </c>
      <c r="AC26" s="401">
        <f t="shared" ca="1" si="6"/>
        <v>3.4968999999999979E-2</v>
      </c>
    </row>
    <row r="27" spans="1:29" x14ac:dyDescent="0.2">
      <c r="A27" s="52">
        <f>Data!AN23</f>
        <v>44896</v>
      </c>
      <c r="B27" s="388">
        <f t="shared" si="7"/>
        <v>44896</v>
      </c>
      <c r="C27" s="389">
        <f t="shared" si="8"/>
        <v>44896</v>
      </c>
      <c r="D27" s="54">
        <f>IF(Final!J26&gt;=PAD!$E$5,Final!F26,0)</f>
        <v>39.955172982558864</v>
      </c>
      <c r="E27" s="392">
        <f t="shared" si="0"/>
        <v>1.0649999999999999</v>
      </c>
      <c r="F27" s="269">
        <f>VLOOKUP(MONTH(C27),PMPM!$A$112:$F$123,6)</f>
        <v>1</v>
      </c>
      <c r="G27" s="395">
        <f t="shared" si="1"/>
        <v>1</v>
      </c>
      <c r="H27" s="54">
        <f t="shared" si="9"/>
        <v>42.55</v>
      </c>
      <c r="I27" s="401">
        <f t="shared" ca="1" si="10"/>
        <v>1.1368</v>
      </c>
      <c r="J27" s="401">
        <f t="shared" ca="1" si="11"/>
        <v>0</v>
      </c>
      <c r="K27" s="401">
        <f t="shared" ca="1" si="12"/>
        <v>0</v>
      </c>
      <c r="L27" s="401">
        <f t="shared" ca="1" si="13"/>
        <v>1.1368</v>
      </c>
      <c r="M27" s="401">
        <f t="shared" ca="1" si="14"/>
        <v>0</v>
      </c>
      <c r="N27" s="401">
        <f t="shared" ca="1" si="15"/>
        <v>1.1368</v>
      </c>
      <c r="R27" s="397">
        <f ca="1">IF(AND(H27&gt;0,SUM($R$12:R26)=0),1,0)</f>
        <v>0</v>
      </c>
      <c r="S27" s="397">
        <f ca="1">IF(AND($I27&gt;0,SUM(S$12:S26)&lt;6),1,0)</f>
        <v>0</v>
      </c>
      <c r="T27" s="397">
        <f ca="1">IF(AND($I27&gt;0,SUM(S$12:S26)=6,SUM(T$12:T26)&lt;6),1,0)</f>
        <v>0</v>
      </c>
      <c r="U27" s="397">
        <f ca="1">IF(AND($I27&gt;0,SUM(T$12:T26)=6,SUM(U$12:U26)&lt;6),1,0)</f>
        <v>1</v>
      </c>
      <c r="V27" s="397">
        <f ca="1">IF(AND($I27&gt;0,SUM(U$12:U26)=6,SUM(V$12:V26)&lt;6),1,0)</f>
        <v>0</v>
      </c>
      <c r="W27" s="396">
        <f t="shared" ca="1" si="16"/>
        <v>1</v>
      </c>
      <c r="Y27" s="401">
        <f t="shared" ca="1" si="2"/>
        <v>0</v>
      </c>
      <c r="Z27" s="401">
        <f t="shared" ca="1" si="3"/>
        <v>0</v>
      </c>
      <c r="AA27" s="401">
        <f t="shared" ca="1" si="4"/>
        <v>1.4883999999999972E-4</v>
      </c>
      <c r="AB27" s="401">
        <f t="shared" ca="1" si="5"/>
        <v>0</v>
      </c>
      <c r="AC27" s="401">
        <f t="shared" ca="1" si="6"/>
        <v>7.2899999999999528E-4</v>
      </c>
    </row>
    <row r="28" spans="1:29" x14ac:dyDescent="0.2">
      <c r="A28" s="52">
        <f>Data!AN24</f>
        <v>44866</v>
      </c>
      <c r="B28" s="388">
        <f t="shared" si="7"/>
        <v>44866</v>
      </c>
      <c r="C28" s="389">
        <f t="shared" si="8"/>
        <v>44866</v>
      </c>
      <c r="D28" s="54">
        <f>IF(Final!J27&gt;=PAD!$E$5,Final!F27,0)</f>
        <v>39.292868284527216</v>
      </c>
      <c r="E28" s="392">
        <f t="shared" si="0"/>
        <v>1.069</v>
      </c>
      <c r="F28" s="269">
        <f>VLOOKUP(MONTH(C28),PMPM!$A$112:$F$123,6)</f>
        <v>1</v>
      </c>
      <c r="G28" s="395">
        <f t="shared" si="1"/>
        <v>1</v>
      </c>
      <c r="H28" s="54">
        <f t="shared" si="9"/>
        <v>42</v>
      </c>
      <c r="I28" s="401">
        <f t="shared" ca="1" si="10"/>
        <v>1.1221000000000001</v>
      </c>
      <c r="J28" s="401">
        <f t="shared" ca="1" si="11"/>
        <v>0</v>
      </c>
      <c r="K28" s="401">
        <f t="shared" ref="K28:K47" ca="1" si="17">$I28*T28</f>
        <v>0</v>
      </c>
      <c r="L28" s="401">
        <f t="shared" ref="L28:L47" ca="1" si="18">$I28*U28</f>
        <v>1.1221000000000001</v>
      </c>
      <c r="M28" s="401">
        <f t="shared" ref="M28:M47" ca="1" si="19">$I28*V28</f>
        <v>0</v>
      </c>
      <c r="N28" s="401">
        <f t="shared" ca="1" si="15"/>
        <v>1.1221000000000001</v>
      </c>
      <c r="R28" s="397">
        <f ca="1">IF(AND(H28&gt;0,SUM($R$12:R27)=0),1,0)</f>
        <v>0</v>
      </c>
      <c r="S28" s="397">
        <f ca="1">IF(AND($I28&gt;0,SUM(S$12:S27)&lt;6),1,0)</f>
        <v>0</v>
      </c>
      <c r="T28" s="397">
        <f ca="1">IF(AND($I28&gt;0,SUM(S$12:S27)=6,SUM(T$12:T27)&lt;6),1,0)</f>
        <v>0</v>
      </c>
      <c r="U28" s="397">
        <f ca="1">IF(AND($I28&gt;0,SUM(T$12:T27)=6,SUM(U$12:U27)&lt;6),1,0)</f>
        <v>1</v>
      </c>
      <c r="V28" s="397">
        <f ca="1">IF(AND($I28&gt;0,SUM(U$12:U27)=6,SUM(V$12:V27)&lt;6),1,0)</f>
        <v>0</v>
      </c>
      <c r="W28" s="396">
        <f t="shared" ca="1" si="16"/>
        <v>1</v>
      </c>
      <c r="Y28" s="401">
        <f t="shared" ca="1" si="2"/>
        <v>0</v>
      </c>
      <c r="Z28" s="401">
        <f t="shared" ca="1" si="3"/>
        <v>0</v>
      </c>
      <c r="AA28" s="401">
        <f t="shared" ca="1" si="4"/>
        <v>7.2360999999999595E-4</v>
      </c>
      <c r="AB28" s="401">
        <f t="shared" ca="1" si="5"/>
        <v>0</v>
      </c>
      <c r="AC28" s="401">
        <f t="shared" ca="1" si="6"/>
        <v>1.7388899999999873E-3</v>
      </c>
    </row>
    <row r="29" spans="1:29" x14ac:dyDescent="0.2">
      <c r="A29" s="52">
        <f>Data!AN25</f>
        <v>44835</v>
      </c>
      <c r="B29" s="388">
        <f t="shared" si="7"/>
        <v>44835</v>
      </c>
      <c r="C29" s="389">
        <f t="shared" si="8"/>
        <v>44835</v>
      </c>
      <c r="D29" s="54">
        <f>IF(Final!J28&gt;=PAD!$E$5,Final!F28,0)</f>
        <v>41.482201046704006</v>
      </c>
      <c r="E29" s="392">
        <f t="shared" si="0"/>
        <v>1.0740000000000001</v>
      </c>
      <c r="F29" s="269">
        <f>VLOOKUP(MONTH(C29),PMPM!$A$112:$F$123,6)</f>
        <v>1</v>
      </c>
      <c r="G29" s="395">
        <f t="shared" si="1"/>
        <v>1</v>
      </c>
      <c r="H29" s="54">
        <f t="shared" si="9"/>
        <v>44.55</v>
      </c>
      <c r="I29" s="401">
        <f t="shared" ca="1" si="10"/>
        <v>1.1901999999999999</v>
      </c>
      <c r="J29" s="401">
        <f t="shared" ca="1" si="11"/>
        <v>0</v>
      </c>
      <c r="K29" s="401">
        <f t="shared" ca="1" si="17"/>
        <v>0</v>
      </c>
      <c r="L29" s="401">
        <f t="shared" ca="1" si="18"/>
        <v>1.1901999999999999</v>
      </c>
      <c r="M29" s="401">
        <f t="shared" ca="1" si="19"/>
        <v>0</v>
      </c>
      <c r="N29" s="401">
        <f t="shared" ca="1" si="15"/>
        <v>1.1901999999999999</v>
      </c>
      <c r="R29" s="397">
        <f ca="1">IF(AND(H29&gt;0,SUM($R$12:R28)=0),1,0)</f>
        <v>0</v>
      </c>
      <c r="S29" s="397">
        <f ca="1">IF(AND($I29&gt;0,SUM(S$12:S28)&lt;6),1,0)</f>
        <v>0</v>
      </c>
      <c r="T29" s="397">
        <f ca="1">IF(AND($I29&gt;0,SUM(S$12:S28)=6,SUM(T$12:T28)&lt;6),1,0)</f>
        <v>0</v>
      </c>
      <c r="U29" s="397">
        <f ca="1">IF(AND($I29&gt;0,SUM(T$12:T28)=6,SUM(U$12:U28)&lt;6),1,0)</f>
        <v>1</v>
      </c>
      <c r="V29" s="397">
        <f ca="1">IF(AND($I29&gt;0,SUM(U$12:U28)=6,SUM(V$12:V28)&lt;6),1,0)</f>
        <v>0</v>
      </c>
      <c r="W29" s="396">
        <f t="shared" ca="1" si="16"/>
        <v>1</v>
      </c>
      <c r="Y29" s="401">
        <f t="shared" ca="1" si="2"/>
        <v>0</v>
      </c>
      <c r="Z29" s="401">
        <f t="shared" ca="1" si="3"/>
        <v>0</v>
      </c>
      <c r="AA29" s="401">
        <f t="shared" ca="1" si="4"/>
        <v>1.6974399999999921E-3</v>
      </c>
      <c r="AB29" s="401">
        <f t="shared" ca="1" si="5"/>
        <v>0</v>
      </c>
      <c r="AC29" s="401">
        <f t="shared" ca="1" si="6"/>
        <v>6.9695999999999886E-4</v>
      </c>
    </row>
    <row r="30" spans="1:29" x14ac:dyDescent="0.2">
      <c r="A30" s="52">
        <f>Data!AN26</f>
        <v>44805</v>
      </c>
      <c r="B30" s="388">
        <f t="shared" si="7"/>
        <v>44805</v>
      </c>
      <c r="C30" s="389">
        <f t="shared" si="8"/>
        <v>44805</v>
      </c>
      <c r="D30" s="54">
        <f>LeastSq!L24</f>
        <v>40.787181949898923</v>
      </c>
      <c r="E30" s="392">
        <f t="shared" si="0"/>
        <v>1.0780000000000001</v>
      </c>
      <c r="F30" s="269">
        <f>VLOOKUP(MONTH(C30),PMPM!$A$112:$F$123,6)</f>
        <v>1</v>
      </c>
      <c r="G30" s="395">
        <f t="shared" si="1"/>
        <v>1</v>
      </c>
      <c r="H30" s="54">
        <f t="shared" si="9"/>
        <v>43.97</v>
      </c>
      <c r="I30" s="401">
        <f t="shared" ca="1" si="10"/>
        <v>1.1747000000000001</v>
      </c>
      <c r="J30" s="401">
        <f t="shared" ca="1" si="11"/>
        <v>0</v>
      </c>
      <c r="K30" s="401">
        <f t="shared" ca="1" si="17"/>
        <v>0</v>
      </c>
      <c r="L30" s="401">
        <f t="shared" ca="1" si="18"/>
        <v>1.1747000000000001</v>
      </c>
      <c r="M30" s="401">
        <f t="shared" ca="1" si="19"/>
        <v>0</v>
      </c>
      <c r="N30" s="401">
        <f t="shared" ca="1" si="15"/>
        <v>1.1747000000000001</v>
      </c>
      <c r="R30" s="397">
        <f ca="1">IF(AND(H30&gt;0,SUM($R$12:R29)=0),1,0)</f>
        <v>0</v>
      </c>
      <c r="S30" s="397">
        <f ca="1">IF(AND($I30&gt;0,SUM(S$12:S29)&lt;6),1,0)</f>
        <v>0</v>
      </c>
      <c r="T30" s="397">
        <f ca="1">IF(AND($I30&gt;0,SUM(S$12:S29)=6,SUM(T$12:T29)&lt;6),1,0)</f>
        <v>0</v>
      </c>
      <c r="U30" s="397">
        <f ca="1">IF(AND($I30&gt;0,SUM(T$12:T29)=6,SUM(U$12:U29)&lt;6),1,0)</f>
        <v>1</v>
      </c>
      <c r="V30" s="397">
        <f ca="1">IF(AND($I30&gt;0,SUM(U$12:U29)=6,SUM(V$12:V29)&lt;6),1,0)</f>
        <v>0</v>
      </c>
      <c r="W30" s="396">
        <f t="shared" ca="1" si="16"/>
        <v>1</v>
      </c>
      <c r="Y30" s="401">
        <f t="shared" ca="1" si="2"/>
        <v>0</v>
      </c>
      <c r="Z30" s="401">
        <f t="shared" ca="1" si="3"/>
        <v>0</v>
      </c>
      <c r="AA30" s="401">
        <f t="shared" ca="1" si="4"/>
        <v>6.6049000000000283E-4</v>
      </c>
      <c r="AB30" s="401">
        <f t="shared" ca="1" si="5"/>
        <v>0</v>
      </c>
      <c r="AC30" s="401">
        <f t="shared" ca="1" si="6"/>
        <v>1.1881000000000287E-4</v>
      </c>
    </row>
    <row r="31" spans="1:29" x14ac:dyDescent="0.2">
      <c r="A31" s="52">
        <f>Data!AN27</f>
        <v>44774</v>
      </c>
      <c r="B31" s="388">
        <f t="shared" si="7"/>
        <v>44774</v>
      </c>
      <c r="C31" s="389">
        <f t="shared" si="8"/>
        <v>44774</v>
      </c>
      <c r="D31" s="54">
        <f>LeastSq!L23</f>
        <v>44.71334857009554</v>
      </c>
      <c r="E31" s="392">
        <f t="shared" si="0"/>
        <v>1.083</v>
      </c>
      <c r="F31" s="269">
        <f>VLOOKUP(MONTH(C31),PMPM!$A$112:$F$123,6)</f>
        <v>1</v>
      </c>
      <c r="G31" s="395">
        <f t="shared" si="1"/>
        <v>1</v>
      </c>
      <c r="H31" s="54">
        <f t="shared" si="9"/>
        <v>48.42</v>
      </c>
      <c r="I31" s="401">
        <f t="shared" ca="1" si="10"/>
        <v>1.2936000000000001</v>
      </c>
      <c r="J31" s="401">
        <f t="shared" ca="1" si="11"/>
        <v>0</v>
      </c>
      <c r="K31" s="401">
        <f t="shared" ca="1" si="17"/>
        <v>0</v>
      </c>
      <c r="L31" s="401">
        <f t="shared" ca="1" si="18"/>
        <v>1.2936000000000001</v>
      </c>
      <c r="M31" s="401">
        <f t="shared" ca="1" si="19"/>
        <v>0</v>
      </c>
      <c r="N31" s="401">
        <f t="shared" ca="1" si="15"/>
        <v>1.2936000000000001</v>
      </c>
      <c r="R31" s="397">
        <f ca="1">IF(AND(H31&gt;0,SUM($R$12:R30)=0),1,0)</f>
        <v>0</v>
      </c>
      <c r="S31" s="397">
        <f ca="1">IF(AND($I31&gt;0,SUM(S$12:S30)&lt;6),1,0)</f>
        <v>0</v>
      </c>
      <c r="T31" s="397">
        <f ca="1">IF(AND($I31&gt;0,SUM(S$12:S30)=6,SUM(T$12:T30)&lt;6),1,0)</f>
        <v>0</v>
      </c>
      <c r="U31" s="397">
        <f ca="1">IF(AND($I31&gt;0,SUM(T$12:T30)=6,SUM(U$12:U30)&lt;6),1,0)</f>
        <v>1</v>
      </c>
      <c r="V31" s="397">
        <f ca="1">IF(AND($I31&gt;0,SUM(U$12:U30)=6,SUM(V$12:V30)&lt;6),1,0)</f>
        <v>0</v>
      </c>
      <c r="W31" s="396">
        <f t="shared" ca="1" si="16"/>
        <v>1</v>
      </c>
      <c r="Y31" s="401">
        <f t="shared" ca="1" si="2"/>
        <v>0</v>
      </c>
      <c r="Z31" s="401">
        <f t="shared" ca="1" si="3"/>
        <v>0</v>
      </c>
      <c r="AA31" s="401">
        <f t="shared" ca="1" si="4"/>
        <v>2.0909160000000017E-2</v>
      </c>
      <c r="AB31" s="401">
        <f t="shared" ca="1" si="5"/>
        <v>0</v>
      </c>
      <c r="AC31" s="401">
        <f t="shared" ca="1" si="6"/>
        <v>1.6848040000000036E-2</v>
      </c>
    </row>
    <row r="32" spans="1:29" x14ac:dyDescent="0.2">
      <c r="A32" s="52">
        <f>Data!AN28</f>
        <v>44743</v>
      </c>
      <c r="B32" s="388">
        <f t="shared" si="7"/>
        <v>44743</v>
      </c>
      <c r="C32" s="389">
        <f t="shared" si="8"/>
        <v>44743</v>
      </c>
      <c r="D32" s="54">
        <f>LeastSq!L22</f>
        <v>37.986203504258292</v>
      </c>
      <c r="E32" s="392">
        <f t="shared" si="0"/>
        <v>1.087</v>
      </c>
      <c r="F32" s="269">
        <f>VLOOKUP(MONTH(C32),PMPM!$A$112:$F$123,6)</f>
        <v>1</v>
      </c>
      <c r="G32" s="395">
        <f t="shared" si="1"/>
        <v>1</v>
      </c>
      <c r="H32" s="54">
        <f t="shared" si="9"/>
        <v>41.29</v>
      </c>
      <c r="I32" s="401">
        <f t="shared" ca="1" si="10"/>
        <v>1.1031</v>
      </c>
      <c r="J32" s="401">
        <f t="shared" ca="1" si="11"/>
        <v>0</v>
      </c>
      <c r="K32" s="401">
        <f t="shared" ca="1" si="17"/>
        <v>0</v>
      </c>
      <c r="L32" s="401">
        <f t="shared" ca="1" si="18"/>
        <v>0</v>
      </c>
      <c r="M32" s="401">
        <f t="shared" ca="1" si="19"/>
        <v>1.1031</v>
      </c>
      <c r="N32" s="401">
        <f t="shared" ca="1" si="15"/>
        <v>1.1031</v>
      </c>
      <c r="R32" s="397">
        <f ca="1">IF(AND(H32&gt;0,SUM($R$12:R31)=0),1,0)</f>
        <v>0</v>
      </c>
      <c r="S32" s="397">
        <f ca="1">IF(AND($I32&gt;0,SUM(S$12:S31)&lt;6),1,0)</f>
        <v>0</v>
      </c>
      <c r="T32" s="397">
        <f ca="1">IF(AND($I32&gt;0,SUM(S$12:S31)=6,SUM(T$12:T31)&lt;6),1,0)</f>
        <v>0</v>
      </c>
      <c r="U32" s="397">
        <f ca="1">IF(AND($I32&gt;0,SUM(T$12:T31)=6,SUM(U$12:U31)&lt;6),1,0)</f>
        <v>0</v>
      </c>
      <c r="V32" s="397">
        <f ca="1">IF(AND($I32&gt;0,SUM(U$12:U31)=6,SUM(V$12:V31)&lt;6),1,0)</f>
        <v>1</v>
      </c>
      <c r="W32" s="396">
        <f t="shared" ca="1" si="16"/>
        <v>1</v>
      </c>
      <c r="Y32" s="401">
        <f t="shared" ca="1" si="2"/>
        <v>0</v>
      </c>
      <c r="Z32" s="401">
        <f t="shared" ca="1" si="3"/>
        <v>0</v>
      </c>
      <c r="AA32" s="401">
        <f t="shared" ca="1" si="4"/>
        <v>0</v>
      </c>
      <c r="AB32" s="401">
        <f t="shared" ca="1" si="5"/>
        <v>4.6239999999998873E-5</v>
      </c>
      <c r="AC32" s="401">
        <f t="shared" ca="1" si="6"/>
        <v>3.6844899999999973E-3</v>
      </c>
    </row>
    <row r="33" spans="1:29" x14ac:dyDescent="0.2">
      <c r="A33" s="52">
        <f>Data!AN29</f>
        <v>44713</v>
      </c>
      <c r="B33" s="388">
        <f t="shared" si="7"/>
        <v>44713</v>
      </c>
      <c r="C33" s="389">
        <f t="shared" si="8"/>
        <v>44713</v>
      </c>
      <c r="D33" s="54">
        <f>LeastSq!L21</f>
        <v>39.387231494672243</v>
      </c>
      <c r="E33" s="392">
        <f t="shared" si="0"/>
        <v>1.0920000000000001</v>
      </c>
      <c r="F33" s="269">
        <f>VLOOKUP(MONTH(C33),PMPM!$A$112:$F$123,6)</f>
        <v>1</v>
      </c>
      <c r="G33" s="395">
        <f t="shared" si="1"/>
        <v>1</v>
      </c>
      <c r="H33" s="54">
        <f t="shared" si="9"/>
        <v>43.01</v>
      </c>
      <c r="I33" s="401">
        <f t="shared" ca="1" si="10"/>
        <v>1.1491</v>
      </c>
      <c r="J33" s="401">
        <f t="shared" ca="1" si="11"/>
        <v>0</v>
      </c>
      <c r="K33" s="401">
        <f t="shared" ca="1" si="17"/>
        <v>0</v>
      </c>
      <c r="L33" s="401">
        <f t="shared" ca="1" si="18"/>
        <v>0</v>
      </c>
      <c r="M33" s="401">
        <f t="shared" ca="1" si="19"/>
        <v>1.1491</v>
      </c>
      <c r="N33" s="401">
        <f t="shared" ca="1" si="15"/>
        <v>1.1491</v>
      </c>
      <c r="R33" s="397">
        <f ca="1">IF(AND(H33&gt;0,SUM($R$12:R32)=0),1,0)</f>
        <v>0</v>
      </c>
      <c r="S33" s="397">
        <f ca="1">IF(AND($I33&gt;0,SUM(S$12:S32)&lt;6),1,0)</f>
        <v>0</v>
      </c>
      <c r="T33" s="397">
        <f ca="1">IF(AND($I33&gt;0,SUM(S$12:S32)=6,SUM(T$12:T32)&lt;6),1,0)</f>
        <v>0</v>
      </c>
      <c r="U33" s="397">
        <f ca="1">IF(AND($I33&gt;0,SUM(T$12:T32)=6,SUM(U$12:U32)&lt;6),1,0)</f>
        <v>0</v>
      </c>
      <c r="V33" s="397">
        <f ca="1">IF(AND($I33&gt;0,SUM(U$12:U32)=6,SUM(V$12:V32)&lt;6),1,0)</f>
        <v>1</v>
      </c>
      <c r="W33" s="396">
        <f t="shared" ca="1" si="16"/>
        <v>1</v>
      </c>
      <c r="Y33" s="401">
        <f t="shared" ca="1" si="2"/>
        <v>0</v>
      </c>
      <c r="Z33" s="401">
        <f t="shared" ca="1" si="3"/>
        <v>0</v>
      </c>
      <c r="AA33" s="401">
        <f t="shared" ca="1" si="4"/>
        <v>0</v>
      </c>
      <c r="AB33" s="401">
        <f t="shared" ca="1" si="5"/>
        <v>2.7878399999999954E-3</v>
      </c>
      <c r="AC33" s="401">
        <f t="shared" ca="1" si="6"/>
        <v>2.160899999999981E-4</v>
      </c>
    </row>
    <row r="34" spans="1:29" x14ac:dyDescent="0.2">
      <c r="A34" s="52">
        <f>Data!AN30</f>
        <v>44682</v>
      </c>
      <c r="B34" s="388">
        <f t="shared" si="7"/>
        <v>44682</v>
      </c>
      <c r="C34" s="389">
        <f t="shared" si="8"/>
        <v>44682</v>
      </c>
      <c r="D34" s="54">
        <f>LeastSq!L20</f>
        <v>39.220997237718201</v>
      </c>
      <c r="E34" s="392">
        <f t="shared" si="0"/>
        <v>1.0960000000000001</v>
      </c>
      <c r="F34" s="269">
        <f>VLOOKUP(MONTH(C34),PMPM!$A$112:$F$123,6)</f>
        <v>1</v>
      </c>
      <c r="G34" s="395">
        <f t="shared" si="1"/>
        <v>1</v>
      </c>
      <c r="H34" s="54">
        <f t="shared" si="9"/>
        <v>42.99</v>
      </c>
      <c r="I34" s="401">
        <f t="shared" ca="1" si="10"/>
        <v>1.1485000000000001</v>
      </c>
      <c r="J34" s="401">
        <f t="shared" ca="1" si="11"/>
        <v>0</v>
      </c>
      <c r="K34" s="401">
        <f t="shared" ca="1" si="17"/>
        <v>0</v>
      </c>
      <c r="L34" s="401">
        <f t="shared" ca="1" si="18"/>
        <v>0</v>
      </c>
      <c r="M34" s="401">
        <f t="shared" ca="1" si="19"/>
        <v>1.1485000000000001</v>
      </c>
      <c r="N34" s="401">
        <f t="shared" ca="1" si="15"/>
        <v>1.1485000000000001</v>
      </c>
      <c r="R34" s="397">
        <f ca="1">IF(AND(H34&gt;0,SUM($R$12:R33)=0),1,0)</f>
        <v>0</v>
      </c>
      <c r="S34" s="397">
        <f ca="1">IF(AND($I34&gt;0,SUM(S$12:S33)&lt;6),1,0)</f>
        <v>0</v>
      </c>
      <c r="T34" s="397">
        <f ca="1">IF(AND($I34&gt;0,SUM(S$12:S33)=6,SUM(T$12:T33)&lt;6),1,0)</f>
        <v>0</v>
      </c>
      <c r="U34" s="397">
        <f ca="1">IF(AND($I34&gt;0,SUM(T$12:T33)=6,SUM(U$12:U33)&lt;6),1,0)</f>
        <v>0</v>
      </c>
      <c r="V34" s="397">
        <f ca="1">IF(AND($I34&gt;0,SUM(U$12:U33)=6,SUM(V$12:V33)&lt;6),1,0)</f>
        <v>1</v>
      </c>
      <c r="W34" s="396">
        <f t="shared" ca="1" si="16"/>
        <v>1</v>
      </c>
      <c r="Y34" s="401">
        <f t="shared" ca="1" si="2"/>
        <v>0</v>
      </c>
      <c r="Z34" s="401">
        <f t="shared" ca="1" si="3"/>
        <v>0</v>
      </c>
      <c r="AA34" s="401">
        <f t="shared" ca="1" si="4"/>
        <v>0</v>
      </c>
      <c r="AB34" s="401">
        <f t="shared" ca="1" si="5"/>
        <v>2.7248400000000027E-3</v>
      </c>
      <c r="AC34" s="401">
        <f t="shared" ca="1" si="6"/>
        <v>2.3408999999999599E-4</v>
      </c>
    </row>
    <row r="35" spans="1:29" x14ac:dyDescent="0.2">
      <c r="A35" s="52">
        <f>Data!AN31</f>
        <v>44652</v>
      </c>
      <c r="B35" s="388">
        <f t="shared" si="7"/>
        <v>44652</v>
      </c>
      <c r="C35" s="389">
        <f t="shared" si="8"/>
        <v>44652</v>
      </c>
      <c r="D35" s="54">
        <f>LeastSq!L19</f>
        <v>37.458797906089245</v>
      </c>
      <c r="E35" s="392">
        <f t="shared" si="0"/>
        <v>1.1000000000000001</v>
      </c>
      <c r="F35" s="269">
        <f>VLOOKUP(MONTH(C35),PMPM!$A$112:$F$123,6)</f>
        <v>1</v>
      </c>
      <c r="G35" s="395">
        <f t="shared" si="1"/>
        <v>1</v>
      </c>
      <c r="H35" s="54">
        <f t="shared" si="9"/>
        <v>41.2</v>
      </c>
      <c r="I35" s="401">
        <f t="shared" ca="1" si="10"/>
        <v>1.1007</v>
      </c>
      <c r="J35" s="401">
        <f t="shared" ca="1" si="11"/>
        <v>0</v>
      </c>
      <c r="K35" s="401">
        <f t="shared" ca="1" si="17"/>
        <v>0</v>
      </c>
      <c r="L35" s="401">
        <f t="shared" ca="1" si="18"/>
        <v>0</v>
      </c>
      <c r="M35" s="401">
        <f t="shared" ca="1" si="19"/>
        <v>1.1007</v>
      </c>
      <c r="N35" s="401">
        <f t="shared" ca="1" si="15"/>
        <v>1.1007</v>
      </c>
      <c r="R35" s="397">
        <f ca="1">IF(AND(H35&gt;0,SUM($R$12:R34)=0),1,0)</f>
        <v>0</v>
      </c>
      <c r="S35" s="397">
        <f ca="1">IF(AND($I35&gt;0,SUM(S$12:S34)&lt;6),1,0)</f>
        <v>0</v>
      </c>
      <c r="T35" s="397">
        <f ca="1">IF(AND($I35&gt;0,SUM(S$12:S34)=6,SUM(T$12:T34)&lt;6),1,0)</f>
        <v>0</v>
      </c>
      <c r="U35" s="397">
        <f ca="1">IF(AND($I35&gt;0,SUM(T$12:T34)=6,SUM(U$12:U34)&lt;6),1,0)</f>
        <v>0</v>
      </c>
      <c r="V35" s="397">
        <f ca="1">IF(AND($I35&gt;0,SUM(U$12:U34)=6,SUM(V$12:V34)&lt;6),1,0)</f>
        <v>1</v>
      </c>
      <c r="W35" s="396">
        <f t="shared" ca="1" si="16"/>
        <v>1</v>
      </c>
      <c r="Y35" s="401">
        <f t="shared" ca="1" si="2"/>
        <v>0</v>
      </c>
      <c r="Z35" s="401">
        <f t="shared" ca="1" si="3"/>
        <v>0</v>
      </c>
      <c r="AA35" s="401">
        <f t="shared" ca="1" si="4"/>
        <v>0</v>
      </c>
      <c r="AB35" s="401">
        <f t="shared" ca="1" si="5"/>
        <v>1.9359999999999645E-5</v>
      </c>
      <c r="AC35" s="401">
        <f t="shared" ca="1" si="6"/>
        <v>3.9816099999999913E-3</v>
      </c>
    </row>
    <row r="36" spans="1:29" x14ac:dyDescent="0.2">
      <c r="A36" s="52">
        <f>Data!AN32</f>
        <v>44621</v>
      </c>
      <c r="B36" s="388">
        <f t="shared" si="7"/>
        <v>44621</v>
      </c>
      <c r="C36" s="389">
        <f t="shared" si="8"/>
        <v>44621</v>
      </c>
      <c r="D36" s="54">
        <f>LeastSq!L18</f>
        <v>39.046129236548509</v>
      </c>
      <c r="E36" s="392">
        <f t="shared" si="0"/>
        <v>1.105</v>
      </c>
      <c r="F36" s="269">
        <f>VLOOKUP(MONTH(C36),PMPM!$A$112:$F$123,6)</f>
        <v>1</v>
      </c>
      <c r="G36" s="395">
        <f t="shared" si="1"/>
        <v>1</v>
      </c>
      <c r="H36" s="54">
        <f t="shared" si="9"/>
        <v>43.15</v>
      </c>
      <c r="I36" s="401">
        <f t="shared" ca="1" si="10"/>
        <v>1.1528</v>
      </c>
      <c r="J36" s="401">
        <f t="shared" ca="1" si="11"/>
        <v>0</v>
      </c>
      <c r="K36" s="401">
        <f t="shared" ca="1" si="17"/>
        <v>0</v>
      </c>
      <c r="L36" s="401">
        <f t="shared" ca="1" si="18"/>
        <v>0</v>
      </c>
      <c r="M36" s="401">
        <f t="shared" ca="1" si="19"/>
        <v>1.1528</v>
      </c>
      <c r="N36" s="401">
        <f t="shared" ca="1" si="15"/>
        <v>1.1528</v>
      </c>
      <c r="R36" s="397">
        <f ca="1">IF(AND(H36&gt;0,SUM($R$12:R35)=0),1,0)</f>
        <v>0</v>
      </c>
      <c r="S36" s="397">
        <f ca="1">IF(AND($I36&gt;0,SUM(S$12:S35)&lt;6),1,0)</f>
        <v>0</v>
      </c>
      <c r="T36" s="397">
        <f ca="1">IF(AND($I36&gt;0,SUM(S$12:S35)=6,SUM(T$12:T35)&lt;6),1,0)</f>
        <v>0</v>
      </c>
      <c r="U36" s="397">
        <f ca="1">IF(AND($I36&gt;0,SUM(T$12:T35)=6,SUM(U$12:U35)&lt;6),1,0)</f>
        <v>0</v>
      </c>
      <c r="V36" s="397">
        <f ca="1">IF(AND($I36&gt;0,SUM(U$12:U35)=6,SUM(V$12:V35)&lt;6),1,0)</f>
        <v>1</v>
      </c>
      <c r="W36" s="396">
        <f t="shared" ca="1" si="16"/>
        <v>1</v>
      </c>
      <c r="Y36" s="401">
        <f t="shared" ca="1" si="2"/>
        <v>0</v>
      </c>
      <c r="Z36" s="401">
        <f t="shared" ca="1" si="3"/>
        <v>0</v>
      </c>
      <c r="AA36" s="401">
        <f t="shared" ca="1" si="4"/>
        <v>0</v>
      </c>
      <c r="AB36" s="401">
        <f t="shared" ca="1" si="5"/>
        <v>3.1922499999999993E-3</v>
      </c>
      <c r="AC36" s="401">
        <f t="shared" ca="1" si="6"/>
        <v>1.2099999999999778E-4</v>
      </c>
    </row>
    <row r="37" spans="1:29" x14ac:dyDescent="0.2">
      <c r="A37" s="52">
        <f>Data!AN33</f>
        <v>44593</v>
      </c>
      <c r="B37" s="388">
        <f t="shared" si="7"/>
        <v>44593</v>
      </c>
      <c r="C37" s="389">
        <f t="shared" si="8"/>
        <v>44593</v>
      </c>
      <c r="D37" s="54">
        <f>LeastSq!L17</f>
        <v>31.17009535145916</v>
      </c>
      <c r="E37" s="392">
        <f t="shared" si="0"/>
        <v>1.109</v>
      </c>
      <c r="F37" s="269">
        <f>VLOOKUP(MONTH(C37),PMPM!$A$112:$F$123,6)</f>
        <v>1</v>
      </c>
      <c r="G37" s="395">
        <f t="shared" si="1"/>
        <v>1</v>
      </c>
      <c r="H37" s="54">
        <f t="shared" si="9"/>
        <v>34.57</v>
      </c>
      <c r="I37" s="401">
        <f t="shared" ca="1" si="10"/>
        <v>0.92359999999999998</v>
      </c>
      <c r="J37" s="401">
        <f t="shared" ca="1" si="11"/>
        <v>0</v>
      </c>
      <c r="K37" s="401">
        <f t="shared" ca="1" si="17"/>
        <v>0</v>
      </c>
      <c r="L37" s="401">
        <f t="shared" ca="1" si="18"/>
        <v>0</v>
      </c>
      <c r="M37" s="401">
        <f t="shared" ca="1" si="19"/>
        <v>0.92359999999999998</v>
      </c>
      <c r="N37" s="401">
        <f t="shared" ca="1" si="15"/>
        <v>0.92359999999999998</v>
      </c>
      <c r="R37" s="397">
        <f ca="1">IF(AND(H37&gt;0,SUM($R$12:R36)=0),1,0)</f>
        <v>0</v>
      </c>
      <c r="S37" s="397">
        <f ca="1">IF(AND($I37&gt;0,SUM(S$12:S36)&lt;6),1,0)</f>
        <v>0</v>
      </c>
      <c r="T37" s="397">
        <f ca="1">IF(AND($I37&gt;0,SUM(S$12:S36)=6,SUM(T$12:T36)&lt;6),1,0)</f>
        <v>0</v>
      </c>
      <c r="U37" s="397">
        <f ca="1">IF(AND($I37&gt;0,SUM(T$12:T36)=6,SUM(U$12:U36)&lt;6),1,0)</f>
        <v>0</v>
      </c>
      <c r="V37" s="397">
        <f ca="1">IF(AND($I37&gt;0,SUM(U$12:U36)=6,SUM(V$12:V36)&lt;6),1,0)</f>
        <v>1</v>
      </c>
      <c r="W37" s="396">
        <f t="shared" ca="1" si="16"/>
        <v>1</v>
      </c>
      <c r="Y37" s="401">
        <f t="shared" ca="1" si="2"/>
        <v>0</v>
      </c>
      <c r="Z37" s="401">
        <f t="shared" ca="1" si="3"/>
        <v>0</v>
      </c>
      <c r="AA37" s="401">
        <f t="shared" ca="1" si="4"/>
        <v>0</v>
      </c>
      <c r="AB37" s="401">
        <f t="shared" ca="1" si="5"/>
        <v>2.9825290000000025E-2</v>
      </c>
      <c r="AC37" s="401">
        <f t="shared" ca="1" si="6"/>
        <v>5.7696039999999983E-2</v>
      </c>
    </row>
    <row r="38" spans="1:29" x14ac:dyDescent="0.2">
      <c r="A38" s="52">
        <f>Data!AN34</f>
        <v>44562</v>
      </c>
      <c r="B38" s="388">
        <f t="shared" si="7"/>
        <v>44562</v>
      </c>
      <c r="C38" s="389">
        <f t="shared" si="8"/>
        <v>44562</v>
      </c>
      <c r="D38" s="54">
        <f>LeastSq!L16</f>
        <v>32.792024176098245</v>
      </c>
      <c r="E38" s="392">
        <f t="shared" si="0"/>
        <v>1.1140000000000001</v>
      </c>
      <c r="F38" s="269">
        <f>VLOOKUP(MONTH(C38),PMPM!$A$112:$F$123,6)</f>
        <v>1</v>
      </c>
      <c r="G38" s="395">
        <f t="shared" si="1"/>
        <v>1</v>
      </c>
      <c r="H38" s="54">
        <f t="shared" si="9"/>
        <v>36.53</v>
      </c>
      <c r="I38" s="401">
        <f t="shared" ca="1" si="10"/>
        <v>0.97599999999999998</v>
      </c>
      <c r="J38" s="401">
        <f t="shared" ca="1" si="11"/>
        <v>0</v>
      </c>
      <c r="K38" s="401">
        <f t="shared" ca="1" si="17"/>
        <v>0</v>
      </c>
      <c r="L38" s="401">
        <f t="shared" ca="1" si="18"/>
        <v>0</v>
      </c>
      <c r="M38" s="401">
        <f t="shared" ca="1" si="19"/>
        <v>0</v>
      </c>
      <c r="N38" s="401">
        <f t="shared" ca="1" si="15"/>
        <v>0.97599999999999998</v>
      </c>
      <c r="R38" s="397">
        <f ca="1">IF(AND(H38&gt;0,SUM($R$12:R37)=0),1,0)</f>
        <v>0</v>
      </c>
      <c r="S38" s="397">
        <f ca="1">IF(AND($I38&gt;0,SUM(S$12:S37)&lt;6),1,0)</f>
        <v>0</v>
      </c>
      <c r="T38" s="397">
        <f ca="1">IF(AND($I38&gt;0,SUM(S$12:S37)=6,SUM(T$12:T37)&lt;6),1,0)</f>
        <v>0</v>
      </c>
      <c r="U38" s="397">
        <f ca="1">IF(AND($I38&gt;0,SUM(T$12:T37)=6,SUM(U$12:U37)&lt;6),1,0)</f>
        <v>0</v>
      </c>
      <c r="V38" s="397">
        <f ca="1">IF(AND($I38&gt;0,SUM(U$12:U37)=6,SUM(V$12:V37)&lt;6),1,0)</f>
        <v>0</v>
      </c>
      <c r="W38" s="396">
        <f t="shared" ca="1" si="16"/>
        <v>1</v>
      </c>
      <c r="Y38" s="401">
        <f t="shared" ca="1" si="2"/>
        <v>0</v>
      </c>
      <c r="Z38" s="401">
        <f t="shared" ca="1" si="3"/>
        <v>0</v>
      </c>
      <c r="AA38" s="401">
        <f t="shared" ca="1" si="4"/>
        <v>0</v>
      </c>
      <c r="AB38" s="401">
        <f t="shared" ca="1" si="5"/>
        <v>0</v>
      </c>
      <c r="AC38" s="401">
        <f t="shared" ca="1" si="6"/>
        <v>3.5268839999999989E-2</v>
      </c>
    </row>
    <row r="39" spans="1:29" x14ac:dyDescent="0.2">
      <c r="A39" s="52">
        <f>Data!AN35</f>
        <v>44531</v>
      </c>
      <c r="B39" s="388">
        <f t="shared" si="7"/>
        <v>44531</v>
      </c>
      <c r="C39" s="389">
        <f t="shared" si="8"/>
        <v>44531</v>
      </c>
      <c r="D39" s="54">
        <f>LeastSq!L15</f>
        <v>48.96810775013158</v>
      </c>
      <c r="E39" s="392">
        <f t="shared" si="0"/>
        <v>1.1180000000000001</v>
      </c>
      <c r="F39" s="269">
        <f>VLOOKUP(MONTH(C39),PMPM!$A$112:$F$123,6)</f>
        <v>1</v>
      </c>
      <c r="G39" s="395">
        <f t="shared" si="1"/>
        <v>1</v>
      </c>
      <c r="H39" s="54">
        <f t="shared" si="9"/>
        <v>54.75</v>
      </c>
      <c r="I39" s="401">
        <f t="shared" ca="1" si="10"/>
        <v>1.4626999999999999</v>
      </c>
      <c r="J39" s="401">
        <f t="shared" ca="1" si="11"/>
        <v>0</v>
      </c>
      <c r="K39" s="401">
        <f t="shared" ca="1" si="17"/>
        <v>0</v>
      </c>
      <c r="L39" s="401">
        <f t="shared" ca="1" si="18"/>
        <v>0</v>
      </c>
      <c r="M39" s="401">
        <f t="shared" ca="1" si="19"/>
        <v>0</v>
      </c>
      <c r="N39" s="401">
        <f t="shared" ca="1" si="15"/>
        <v>1.4626999999999999</v>
      </c>
      <c r="R39" s="397">
        <f ca="1">IF(AND(H39&gt;0,SUM($R$12:R38)=0),1,0)</f>
        <v>0</v>
      </c>
      <c r="S39" s="397">
        <f ca="1">IF(AND($I39&gt;0,SUM(S$12:S38)&lt;6),1,0)</f>
        <v>0</v>
      </c>
      <c r="T39" s="397">
        <f ca="1">IF(AND($I39&gt;0,SUM(S$12:S38)=6,SUM(T$12:T38)&lt;6),1,0)</f>
        <v>0</v>
      </c>
      <c r="U39" s="397">
        <f ca="1">IF(AND($I39&gt;0,SUM(T$12:T38)=6,SUM(U$12:U38)&lt;6),1,0)</f>
        <v>0</v>
      </c>
      <c r="V39" s="397">
        <f ca="1">IF(AND($I39&gt;0,SUM(U$12:U38)=6,SUM(V$12:V38)&lt;6),1,0)</f>
        <v>0</v>
      </c>
      <c r="W39" s="396">
        <f t="shared" ca="1" si="16"/>
        <v>1</v>
      </c>
      <c r="Y39" s="401">
        <f t="shared" ca="1" si="2"/>
        <v>0</v>
      </c>
      <c r="Z39" s="401">
        <f t="shared" ca="1" si="3"/>
        <v>0</v>
      </c>
      <c r="AA39" s="401">
        <f t="shared" ca="1" si="4"/>
        <v>0</v>
      </c>
      <c r="AB39" s="401">
        <f t="shared" ca="1" si="5"/>
        <v>0</v>
      </c>
      <c r="AC39" s="401">
        <f t="shared" ca="1" si="6"/>
        <v>8.9341209999999963E-2</v>
      </c>
    </row>
    <row r="40" spans="1:29" x14ac:dyDescent="0.2">
      <c r="A40" s="52">
        <f>Data!AN36</f>
        <v>44501</v>
      </c>
      <c r="B40" s="388">
        <f t="shared" si="7"/>
        <v>44501</v>
      </c>
      <c r="C40" s="389">
        <f t="shared" si="8"/>
        <v>44501</v>
      </c>
      <c r="D40" s="54">
        <f>LeastSq!L14</f>
        <v>47.227304643709218</v>
      </c>
      <c r="E40" s="392">
        <f t="shared" si="0"/>
        <v>1.123</v>
      </c>
      <c r="F40" s="269">
        <f>VLOOKUP(MONTH(C40),PMPM!$A$112:$F$123,6)</f>
        <v>1</v>
      </c>
      <c r="G40" s="395">
        <f t="shared" si="1"/>
        <v>1</v>
      </c>
      <c r="H40" s="54">
        <f t="shared" si="9"/>
        <v>53.04</v>
      </c>
      <c r="I40" s="401">
        <f t="shared" ca="1" si="10"/>
        <v>1.417</v>
      </c>
      <c r="J40" s="401">
        <f t="shared" ca="1" si="11"/>
        <v>0</v>
      </c>
      <c r="K40" s="401">
        <f t="shared" ca="1" si="17"/>
        <v>0</v>
      </c>
      <c r="L40" s="401">
        <f t="shared" ca="1" si="18"/>
        <v>0</v>
      </c>
      <c r="M40" s="401">
        <f t="shared" ca="1" si="19"/>
        <v>0</v>
      </c>
      <c r="N40" s="401">
        <f t="shared" ca="1" si="15"/>
        <v>1.417</v>
      </c>
      <c r="R40" s="397">
        <f ca="1">IF(AND(H40&gt;0,SUM($R$12:R39)=0),1,0)</f>
        <v>0</v>
      </c>
      <c r="S40" s="397">
        <f ca="1">IF(AND($I40&gt;0,SUM(S$12:S39)&lt;6),1,0)</f>
        <v>0</v>
      </c>
      <c r="T40" s="397">
        <f ca="1">IF(AND($I40&gt;0,SUM(S$12:S39)=6,SUM(T$12:T39)&lt;6),1,0)</f>
        <v>0</v>
      </c>
      <c r="U40" s="397">
        <f ca="1">IF(AND($I40&gt;0,SUM(T$12:T39)=6,SUM(U$12:U39)&lt;6),1,0)</f>
        <v>0</v>
      </c>
      <c r="V40" s="397">
        <f ca="1">IF(AND($I40&gt;0,SUM(U$12:U39)=6,SUM(V$12:V39)&lt;6),1,0)</f>
        <v>0</v>
      </c>
      <c r="W40" s="396">
        <f t="shared" ca="1" si="16"/>
        <v>1</v>
      </c>
      <c r="Y40" s="401">
        <f t="shared" ca="1" si="2"/>
        <v>0</v>
      </c>
      <c r="Z40" s="401">
        <f t="shared" ca="1" si="3"/>
        <v>0</v>
      </c>
      <c r="AA40" s="401">
        <f t="shared" ca="1" si="4"/>
        <v>0</v>
      </c>
      <c r="AB40" s="401">
        <f t="shared" ca="1" si="5"/>
        <v>0</v>
      </c>
      <c r="AC40" s="401">
        <f t="shared" ca="1" si="6"/>
        <v>6.4110240000000041E-2</v>
      </c>
    </row>
    <row r="41" spans="1:29" x14ac:dyDescent="0.2">
      <c r="A41" s="52">
        <f>Data!AN37</f>
        <v>44470</v>
      </c>
      <c r="B41" s="388">
        <f t="shared" si="7"/>
        <v>44470</v>
      </c>
      <c r="C41" s="389">
        <f t="shared" si="8"/>
        <v>44470</v>
      </c>
      <c r="D41" s="54">
        <f>LeastSq!L13</f>
        <v>47.622125569631088</v>
      </c>
      <c r="E41" s="392">
        <f t="shared" si="0"/>
        <v>1.1279999999999999</v>
      </c>
      <c r="F41" s="269">
        <f>VLOOKUP(MONTH(C41),PMPM!$A$112:$F$123,6)</f>
        <v>1</v>
      </c>
      <c r="G41" s="395">
        <f t="shared" si="1"/>
        <v>1</v>
      </c>
      <c r="H41" s="54">
        <f t="shared" si="9"/>
        <v>53.72</v>
      </c>
      <c r="I41" s="401">
        <f t="shared" ca="1" si="10"/>
        <v>1.4352</v>
      </c>
      <c r="J41" s="401">
        <f t="shared" ca="1" si="11"/>
        <v>0</v>
      </c>
      <c r="K41" s="401">
        <f t="shared" ca="1" si="17"/>
        <v>0</v>
      </c>
      <c r="L41" s="401">
        <f t="shared" ca="1" si="18"/>
        <v>0</v>
      </c>
      <c r="M41" s="401">
        <f t="shared" ca="1" si="19"/>
        <v>0</v>
      </c>
      <c r="N41" s="401">
        <f t="shared" ca="1" si="15"/>
        <v>1.4352</v>
      </c>
      <c r="R41" s="397">
        <f ca="1">IF(AND(H41&gt;0,SUM($R$12:R40)=0),1,0)</f>
        <v>0</v>
      </c>
      <c r="S41" s="397">
        <f ca="1">IF(AND($I41&gt;0,SUM(S$12:S40)&lt;6),1,0)</f>
        <v>0</v>
      </c>
      <c r="T41" s="397">
        <f ca="1">IF(AND($I41&gt;0,SUM(S$12:S40)=6,SUM(T$12:T40)&lt;6),1,0)</f>
        <v>0</v>
      </c>
      <c r="U41" s="397">
        <f ca="1">IF(AND($I41&gt;0,SUM(T$12:T40)=6,SUM(U$12:U40)&lt;6),1,0)</f>
        <v>0</v>
      </c>
      <c r="V41" s="397">
        <f ca="1">IF(AND($I41&gt;0,SUM(U$12:U40)=6,SUM(V$12:V40)&lt;6),1,0)</f>
        <v>0</v>
      </c>
      <c r="W41" s="396">
        <f t="shared" ca="1" si="16"/>
        <v>1</v>
      </c>
      <c r="Y41" s="401">
        <f t="shared" ca="1" si="2"/>
        <v>0</v>
      </c>
      <c r="Z41" s="401">
        <f t="shared" ca="1" si="3"/>
        <v>0</v>
      </c>
      <c r="AA41" s="401">
        <f t="shared" ca="1" si="4"/>
        <v>0</v>
      </c>
      <c r="AB41" s="401">
        <f t="shared" ca="1" si="5"/>
        <v>0</v>
      </c>
      <c r="AC41" s="401">
        <f t="shared" ca="1" si="6"/>
        <v>7.365796000000005E-2</v>
      </c>
    </row>
    <row r="42" spans="1:29" x14ac:dyDescent="0.2">
      <c r="A42" s="52">
        <f>Data!AN38</f>
        <v>44440</v>
      </c>
      <c r="B42" s="388">
        <f t="shared" si="7"/>
        <v>44440</v>
      </c>
      <c r="C42" s="389">
        <f t="shared" si="8"/>
        <v>44440</v>
      </c>
      <c r="D42" s="54">
        <f>LeastSq!L12</f>
        <v>46.237790728679677</v>
      </c>
      <c r="E42" s="392">
        <f t="shared" si="0"/>
        <v>1.1319999999999999</v>
      </c>
      <c r="F42" s="269">
        <f>VLOOKUP(MONTH(C42),PMPM!$A$112:$F$123,6)</f>
        <v>1</v>
      </c>
      <c r="G42" s="395">
        <f t="shared" si="1"/>
        <v>1</v>
      </c>
      <c r="H42" s="54">
        <f t="shared" si="9"/>
        <v>52.34</v>
      </c>
      <c r="I42" s="401">
        <f t="shared" ca="1" si="10"/>
        <v>1.3983000000000001</v>
      </c>
      <c r="J42" s="401">
        <f t="shared" ca="1" si="11"/>
        <v>0</v>
      </c>
      <c r="K42" s="401">
        <f t="shared" ca="1" si="17"/>
        <v>0</v>
      </c>
      <c r="L42" s="401">
        <f t="shared" ca="1" si="18"/>
        <v>0</v>
      </c>
      <c r="M42" s="401">
        <f t="shared" ca="1" si="19"/>
        <v>0</v>
      </c>
      <c r="N42" s="401">
        <f t="shared" ca="1" si="15"/>
        <v>1.3983000000000001</v>
      </c>
      <c r="R42" s="397">
        <f ca="1">IF(AND(H42&gt;0,SUM($R$12:R41)=0),1,0)</f>
        <v>0</v>
      </c>
      <c r="S42" s="397">
        <f ca="1">IF(AND($I42&gt;0,SUM(S$12:S41)&lt;6),1,0)</f>
        <v>0</v>
      </c>
      <c r="T42" s="397">
        <f ca="1">IF(AND($I42&gt;0,SUM(S$12:S41)=6,SUM(T$12:T41)&lt;6),1,0)</f>
        <v>0</v>
      </c>
      <c r="U42" s="397">
        <f ca="1">IF(AND($I42&gt;0,SUM(T$12:T41)=6,SUM(U$12:U41)&lt;6),1,0)</f>
        <v>0</v>
      </c>
      <c r="V42" s="397">
        <f ca="1">IF(AND($I42&gt;0,SUM(U$12:U41)=6,SUM(V$12:V41)&lt;6),1,0)</f>
        <v>0</v>
      </c>
      <c r="W42" s="396">
        <f t="shared" ca="1" si="16"/>
        <v>1</v>
      </c>
      <c r="Y42" s="401">
        <f t="shared" ca="1" si="2"/>
        <v>0</v>
      </c>
      <c r="Z42" s="401">
        <f t="shared" ca="1" si="3"/>
        <v>0</v>
      </c>
      <c r="AA42" s="401">
        <f t="shared" ca="1" si="4"/>
        <v>0</v>
      </c>
      <c r="AB42" s="401">
        <f t="shared" ca="1" si="5"/>
        <v>0</v>
      </c>
      <c r="AC42" s="401">
        <f t="shared" ca="1" si="6"/>
        <v>5.4990250000000074E-2</v>
      </c>
    </row>
    <row r="43" spans="1:29" x14ac:dyDescent="0.2">
      <c r="A43" s="52">
        <f>Data!AN39</f>
        <v>44409</v>
      </c>
      <c r="B43" s="388">
        <f t="shared" si="7"/>
        <v>44409</v>
      </c>
      <c r="C43" s="389">
        <f t="shared" si="8"/>
        <v>44409</v>
      </c>
      <c r="D43" s="54">
        <f>LeastSq!L11</f>
        <v>47.798624963803547</v>
      </c>
      <c r="E43" s="392">
        <f t="shared" si="0"/>
        <v>1.137</v>
      </c>
      <c r="F43" s="269">
        <f>VLOOKUP(MONTH(C43),PMPM!$A$112:$F$123,6)</f>
        <v>1</v>
      </c>
      <c r="G43" s="395">
        <f t="shared" si="1"/>
        <v>1</v>
      </c>
      <c r="H43" s="54">
        <f t="shared" si="9"/>
        <v>54.35</v>
      </c>
      <c r="I43" s="401">
        <f t="shared" ca="1" si="10"/>
        <v>1.452</v>
      </c>
      <c r="J43" s="401">
        <f t="shared" ca="1" si="11"/>
        <v>0</v>
      </c>
      <c r="K43" s="401">
        <f t="shared" ca="1" si="17"/>
        <v>0</v>
      </c>
      <c r="L43" s="401">
        <f t="shared" ca="1" si="18"/>
        <v>0</v>
      </c>
      <c r="M43" s="401">
        <f t="shared" ca="1" si="19"/>
        <v>0</v>
      </c>
      <c r="N43" s="401">
        <f t="shared" ca="1" si="15"/>
        <v>1.452</v>
      </c>
      <c r="R43" s="397">
        <f ca="1">IF(AND(H43&gt;0,SUM($R$12:R42)=0),1,0)</f>
        <v>0</v>
      </c>
      <c r="S43" s="397">
        <f ca="1">IF(AND($I43&gt;0,SUM(S$12:S42)&lt;6),1,0)</f>
        <v>0</v>
      </c>
      <c r="T43" s="397">
        <f ca="1">IF(AND($I43&gt;0,SUM(S$12:S42)=6,SUM(T$12:T42)&lt;6),1,0)</f>
        <v>0</v>
      </c>
      <c r="U43" s="397">
        <f ca="1">IF(AND($I43&gt;0,SUM(T$12:T42)=6,SUM(U$12:U42)&lt;6),1,0)</f>
        <v>0</v>
      </c>
      <c r="V43" s="397">
        <f ca="1">IF(AND($I43&gt;0,SUM(U$12:U42)=6,SUM(V$12:V42)&lt;6),1,0)</f>
        <v>0</v>
      </c>
      <c r="W43" s="396">
        <f t="shared" ca="1" si="16"/>
        <v>1</v>
      </c>
      <c r="Y43" s="401">
        <f t="shared" ca="1" si="2"/>
        <v>0</v>
      </c>
      <c r="Z43" s="401">
        <f t="shared" ca="1" si="3"/>
        <v>0</v>
      </c>
      <c r="AA43" s="401">
        <f t="shared" ca="1" si="4"/>
        <v>0</v>
      </c>
      <c r="AB43" s="401">
        <f t="shared" ca="1" si="5"/>
        <v>0</v>
      </c>
      <c r="AC43" s="401">
        <f t="shared" ca="1" si="6"/>
        <v>8.3059240000000006E-2</v>
      </c>
    </row>
    <row r="44" spans="1:29" x14ac:dyDescent="0.2">
      <c r="A44" s="52">
        <f>Data!AN40</f>
        <v>44378</v>
      </c>
      <c r="B44" s="388">
        <f t="shared" si="7"/>
        <v>44378</v>
      </c>
      <c r="C44" s="389">
        <f t="shared" si="8"/>
        <v>44378</v>
      </c>
      <c r="D44" s="54">
        <f>LeastSq!L10</f>
        <v>40.350388620093234</v>
      </c>
      <c r="E44" s="392">
        <f t="shared" si="0"/>
        <v>1.141</v>
      </c>
      <c r="F44" s="269">
        <f>VLOOKUP(MONTH(C44),PMPM!$A$112:$F$123,6)</f>
        <v>1</v>
      </c>
      <c r="G44" s="395">
        <f t="shared" si="1"/>
        <v>1</v>
      </c>
      <c r="H44" s="54">
        <f t="shared" si="9"/>
        <v>46.04</v>
      </c>
      <c r="I44" s="401">
        <f t="shared" ca="1" si="10"/>
        <v>1.23</v>
      </c>
      <c r="J44" s="401">
        <f t="shared" ca="1" si="11"/>
        <v>0</v>
      </c>
      <c r="K44" s="401">
        <f t="shared" ca="1" si="17"/>
        <v>0</v>
      </c>
      <c r="L44" s="401">
        <f t="shared" ca="1" si="18"/>
        <v>0</v>
      </c>
      <c r="M44" s="401">
        <f t="shared" ca="1" si="19"/>
        <v>0</v>
      </c>
      <c r="N44" s="401">
        <f t="shared" ca="1" si="15"/>
        <v>1.23</v>
      </c>
      <c r="R44" s="397">
        <f ca="1">IF(AND(H44&gt;0,SUM($R$12:R43)=0),1,0)</f>
        <v>0</v>
      </c>
      <c r="S44" s="397">
        <f ca="1">IF(AND($I44&gt;0,SUM(S$12:S43)&lt;6),1,0)</f>
        <v>0</v>
      </c>
      <c r="T44" s="397">
        <f ca="1">IF(AND($I44&gt;0,SUM(S$12:S43)=6,SUM(T$12:T43)&lt;6),1,0)</f>
        <v>0</v>
      </c>
      <c r="U44" s="397">
        <f ca="1">IF(AND($I44&gt;0,SUM(T$12:T43)=6,SUM(U$12:U43)&lt;6),1,0)</f>
        <v>0</v>
      </c>
      <c r="V44" s="397">
        <f ca="1">IF(AND($I44&gt;0,SUM(U$12:U43)=6,SUM(V$12:V43)&lt;6),1,0)</f>
        <v>0</v>
      </c>
      <c r="W44" s="396">
        <f t="shared" ca="1" si="16"/>
        <v>1</v>
      </c>
      <c r="Y44" s="401">
        <f t="shared" ca="1" si="2"/>
        <v>0</v>
      </c>
      <c r="Z44" s="401">
        <f t="shared" ca="1" si="3"/>
        <v>0</v>
      </c>
      <c r="AA44" s="401">
        <f t="shared" ca="1" si="4"/>
        <v>0</v>
      </c>
      <c r="AB44" s="401">
        <f t="shared" ca="1" si="5"/>
        <v>0</v>
      </c>
      <c r="AC44" s="401">
        <f t="shared" ca="1" si="6"/>
        <v>4.3824400000000048E-3</v>
      </c>
    </row>
    <row r="45" spans="1:29" x14ac:dyDescent="0.2">
      <c r="A45" s="52">
        <f>Data!AN41</f>
        <v>44348</v>
      </c>
      <c r="B45" s="388">
        <f t="shared" si="7"/>
        <v>44348</v>
      </c>
      <c r="C45" s="389">
        <f t="shared" si="8"/>
        <v>44348</v>
      </c>
      <c r="D45" s="54">
        <f>LeastSq!L9</f>
        <v>38.790531392615186</v>
      </c>
      <c r="E45" s="392">
        <f t="shared" si="0"/>
        <v>1.1459999999999999</v>
      </c>
      <c r="F45" s="269">
        <f>VLOOKUP(MONTH(C45),PMPM!$A$112:$F$123,6)</f>
        <v>1</v>
      </c>
      <c r="G45" s="395">
        <f t="shared" si="1"/>
        <v>1</v>
      </c>
      <c r="H45" s="54">
        <f t="shared" si="9"/>
        <v>44.45</v>
      </c>
      <c r="I45" s="401">
        <f t="shared" ca="1" si="10"/>
        <v>1.1876</v>
      </c>
      <c r="J45" s="401">
        <f t="shared" ca="1" si="11"/>
        <v>0</v>
      </c>
      <c r="K45" s="401">
        <f t="shared" ca="1" si="17"/>
        <v>0</v>
      </c>
      <c r="L45" s="401">
        <f t="shared" ca="1" si="18"/>
        <v>0</v>
      </c>
      <c r="M45" s="401">
        <f t="shared" ca="1" si="19"/>
        <v>0</v>
      </c>
      <c r="N45" s="401">
        <f t="shared" ca="1" si="15"/>
        <v>1.1876</v>
      </c>
      <c r="R45" s="397">
        <f ca="1">IF(AND(H45&gt;0,SUM($R$12:R44)=0),1,0)</f>
        <v>0</v>
      </c>
      <c r="S45" s="397">
        <f ca="1">IF(AND($I45&gt;0,SUM(S$12:S44)&lt;6),1,0)</f>
        <v>0</v>
      </c>
      <c r="T45" s="397">
        <f ca="1">IF(AND($I45&gt;0,SUM(S$12:S44)=6,SUM(T$12:T44)&lt;6),1,0)</f>
        <v>0</v>
      </c>
      <c r="U45" s="397">
        <f ca="1">IF(AND($I45&gt;0,SUM(T$12:T44)=6,SUM(U$12:U44)&lt;6),1,0)</f>
        <v>0</v>
      </c>
      <c r="V45" s="397">
        <f ca="1">IF(AND($I45&gt;0,SUM(U$12:U44)=6,SUM(V$12:V44)&lt;6),1,0)</f>
        <v>0</v>
      </c>
      <c r="W45" s="396">
        <f t="shared" ca="1" si="16"/>
        <v>1</v>
      </c>
      <c r="Y45" s="401">
        <f t="shared" ca="1" si="2"/>
        <v>0</v>
      </c>
      <c r="Z45" s="401">
        <f t="shared" ca="1" si="3"/>
        <v>0</v>
      </c>
      <c r="AA45" s="401">
        <f t="shared" ca="1" si="4"/>
        <v>0</v>
      </c>
      <c r="AB45" s="401">
        <f t="shared" ca="1" si="5"/>
        <v>0</v>
      </c>
      <c r="AC45" s="401">
        <f t="shared" ca="1" si="6"/>
        <v>5.6644000000000204E-4</v>
      </c>
    </row>
    <row r="46" spans="1:29" x14ac:dyDescent="0.2">
      <c r="A46" s="52">
        <f>Data!AN42</f>
        <v>44317</v>
      </c>
      <c r="B46" s="388">
        <f t="shared" si="7"/>
        <v>44317</v>
      </c>
      <c r="C46" s="389">
        <f t="shared" si="8"/>
        <v>44317</v>
      </c>
      <c r="D46" s="54">
        <f>LeastSq!L8</f>
        <v>36.591966235234068</v>
      </c>
      <c r="E46" s="392">
        <f t="shared" si="0"/>
        <v>1.151</v>
      </c>
      <c r="F46" s="269">
        <f>VLOOKUP(MONTH(C46),PMPM!$A$112:$F$123,6)</f>
        <v>1</v>
      </c>
      <c r="G46" s="395">
        <f t="shared" si="1"/>
        <v>1</v>
      </c>
      <c r="H46" s="54">
        <f t="shared" si="9"/>
        <v>42.12</v>
      </c>
      <c r="I46" s="401">
        <f t="shared" ca="1" si="10"/>
        <v>1.1253</v>
      </c>
      <c r="J46" s="401">
        <f t="shared" ca="1" si="11"/>
        <v>0</v>
      </c>
      <c r="K46" s="401">
        <f t="shared" ca="1" si="17"/>
        <v>0</v>
      </c>
      <c r="L46" s="401">
        <f t="shared" ca="1" si="18"/>
        <v>0</v>
      </c>
      <c r="M46" s="401">
        <f t="shared" ca="1" si="19"/>
        <v>0</v>
      </c>
      <c r="N46" s="401">
        <f t="shared" ca="1" si="15"/>
        <v>1.1253</v>
      </c>
      <c r="R46" s="397">
        <f ca="1">IF(AND(H46&gt;0,SUM($R$12:R45)=0),1,0)</f>
        <v>0</v>
      </c>
      <c r="S46" s="397">
        <f ca="1">IF(AND($I46&gt;0,SUM(S$12:S45)&lt;6),1,0)</f>
        <v>0</v>
      </c>
      <c r="T46" s="397">
        <f ca="1">IF(AND($I46&gt;0,SUM(S$12:S45)=6,SUM(T$12:T45)&lt;6),1,0)</f>
        <v>0</v>
      </c>
      <c r="U46" s="397">
        <f ca="1">IF(AND($I46&gt;0,SUM(T$12:T45)=6,SUM(U$12:U45)&lt;6),1,0)</f>
        <v>0</v>
      </c>
      <c r="V46" s="397">
        <f ca="1">IF(AND($I46&gt;0,SUM(U$12:U45)=6,SUM(V$12:V45)&lt;6),1,0)</f>
        <v>0</v>
      </c>
      <c r="W46" s="396">
        <f t="shared" ca="1" si="16"/>
        <v>1</v>
      </c>
      <c r="Y46" s="401">
        <f t="shared" ca="1" si="2"/>
        <v>0</v>
      </c>
      <c r="Z46" s="401">
        <f t="shared" ca="1" si="3"/>
        <v>0</v>
      </c>
      <c r="AA46" s="401">
        <f t="shared" ca="1" si="4"/>
        <v>0</v>
      </c>
      <c r="AB46" s="401">
        <f t="shared" ca="1" si="5"/>
        <v>0</v>
      </c>
      <c r="AC46" s="401">
        <f t="shared" ca="1" si="6"/>
        <v>1.4822499999999983E-3</v>
      </c>
    </row>
    <row r="47" spans="1:29" x14ac:dyDescent="0.2">
      <c r="A47" s="52">
        <f>Data!AN43</f>
        <v>44287</v>
      </c>
      <c r="B47" s="388">
        <f>VALUE(A47)</f>
        <v>44287</v>
      </c>
      <c r="C47" s="389">
        <f t="shared" si="8"/>
        <v>44287</v>
      </c>
      <c r="D47" s="54">
        <f>LeastSq!L7</f>
        <v>35.869891317541402</v>
      </c>
      <c r="E47" s="392">
        <f t="shared" si="0"/>
        <v>1.155</v>
      </c>
      <c r="F47" s="269">
        <f>VLOOKUP(MONTH(C47),PMPM!$A$112:$F$123,6)</f>
        <v>1</v>
      </c>
      <c r="G47" s="395">
        <f t="shared" si="1"/>
        <v>1</v>
      </c>
      <c r="H47" s="54">
        <f t="shared" si="9"/>
        <v>41.43</v>
      </c>
      <c r="I47" s="401">
        <f t="shared" ca="1" si="10"/>
        <v>1.1069</v>
      </c>
      <c r="J47" s="401">
        <f t="shared" ca="1" si="11"/>
        <v>0</v>
      </c>
      <c r="K47" s="401">
        <f t="shared" ca="1" si="17"/>
        <v>0</v>
      </c>
      <c r="L47" s="401">
        <f t="shared" ca="1" si="18"/>
        <v>0</v>
      </c>
      <c r="M47" s="401">
        <f t="shared" ca="1" si="19"/>
        <v>0</v>
      </c>
      <c r="N47" s="401">
        <f t="shared" ca="1" si="15"/>
        <v>1.1069</v>
      </c>
      <c r="R47" s="397">
        <f ca="1">IF(AND(H47&gt;0,SUM($R$12:R46)=0),1,0)</f>
        <v>0</v>
      </c>
      <c r="S47" s="397">
        <f ca="1">IF(AND($I47&gt;0,SUM(S$12:S46)&lt;6),1,0)</f>
        <v>0</v>
      </c>
      <c r="T47" s="397">
        <f ca="1">IF(AND($I47&gt;0,SUM(S$12:S46)=6,SUM(T$12:T46)&lt;6),1,0)</f>
        <v>0</v>
      </c>
      <c r="U47" s="397">
        <f ca="1">IF(AND($I47&gt;0,SUM(T$12:T46)=6,SUM(U$12:U46)&lt;6),1,0)</f>
        <v>0</v>
      </c>
      <c r="V47" s="397">
        <f ca="1">IF(AND($I47&gt;0,SUM(U$12:U46)=6,SUM(V$12:V46)&lt;6),1,0)</f>
        <v>0</v>
      </c>
      <c r="W47" s="396">
        <f t="shared" ca="1" si="16"/>
        <v>1</v>
      </c>
      <c r="Y47" s="401">
        <f t="shared" ca="1" si="2"/>
        <v>0</v>
      </c>
      <c r="Z47" s="401">
        <f t="shared" ca="1" si="3"/>
        <v>0</v>
      </c>
      <c r="AA47" s="401">
        <f t="shared" ca="1" si="4"/>
        <v>0</v>
      </c>
      <c r="AB47" s="401">
        <f t="shared" ca="1" si="5"/>
        <v>0</v>
      </c>
      <c r="AC47" s="401">
        <f t="shared" ca="1" si="6"/>
        <v>3.2376099999999945E-3</v>
      </c>
    </row>
    <row r="48" spans="1:29" ht="5.25" customHeight="1" x14ac:dyDescent="0.2">
      <c r="A48" s="219"/>
      <c r="B48" s="219"/>
      <c r="C48" s="219"/>
    </row>
    <row r="49" spans="1:29" x14ac:dyDescent="0.2">
      <c r="A49" s="7" t="s">
        <v>810</v>
      </c>
      <c r="B49" s="7"/>
      <c r="C49" s="7"/>
      <c r="D49" s="7"/>
      <c r="E49" s="7"/>
      <c r="F49" s="7"/>
      <c r="G49" s="7"/>
      <c r="H49" s="7"/>
      <c r="I49" s="7"/>
      <c r="J49" s="402">
        <f ca="1">ROUND(SUM(J12:J47)/S49,4)</f>
        <v>1.1264000000000001</v>
      </c>
      <c r="K49" s="402">
        <f ca="1">ROUND(SUM(K12:K47)/T49,4)</f>
        <v>1.0913999999999999</v>
      </c>
      <c r="L49" s="402">
        <f ca="1">ROUND(SUM(L12:L47)/U49,4)</f>
        <v>1.149</v>
      </c>
      <c r="M49" s="402">
        <f ca="1">ROUND(SUM(M12:M47)/V49,4)</f>
        <v>1.0963000000000001</v>
      </c>
      <c r="N49" s="402">
        <f ca="1">ROUND(SUM(N12:N47)/W49,4)</f>
        <v>1.1637999999999999</v>
      </c>
      <c r="O49" s="7"/>
      <c r="P49" s="7"/>
      <c r="Q49" s="7"/>
      <c r="R49" s="399"/>
      <c r="S49" s="399">
        <f ca="1">SUM(S12:S48)</f>
        <v>6</v>
      </c>
      <c r="T49" s="399">
        <f ca="1">SUM(T12:T48)</f>
        <v>6</v>
      </c>
      <c r="U49" s="399">
        <f ca="1">SUM(U12:U48)</f>
        <v>6</v>
      </c>
      <c r="V49" s="399">
        <f ca="1">SUM(V12:V48)</f>
        <v>6</v>
      </c>
      <c r="W49" s="399">
        <f ca="1">SUM(W12:W48)</f>
        <v>34</v>
      </c>
      <c r="X49" s="400" t="s">
        <v>208</v>
      </c>
      <c r="Y49" s="403">
        <f ca="1">ROUND(SUM(Y12:Y48)/S49,4)</f>
        <v>6.7000000000000002E-3</v>
      </c>
      <c r="Z49" s="403">
        <f ca="1">ROUND(SUM(Z12:Z48)/T49,4)</f>
        <v>5.7000000000000002E-3</v>
      </c>
      <c r="AA49" s="403">
        <f ca="1">ROUND(SUM(AA12:AA48)/U49,4)</f>
        <v>8.9999999999999993E-3</v>
      </c>
      <c r="AB49" s="403">
        <f ca="1">ROUND(SUM(AB12:AB48)/V49,4)</f>
        <v>6.4000000000000003E-3</v>
      </c>
      <c r="AC49" s="404">
        <f ca="1">ROUND(SUM(AC12:AC48)/W49,4)</f>
        <v>1.9E-2</v>
      </c>
    </row>
    <row r="50" spans="1:29" ht="12" thickBot="1" x14ac:dyDescent="0.25">
      <c r="A50" s="413" t="s">
        <v>811</v>
      </c>
      <c r="B50" s="413"/>
      <c r="C50" s="413"/>
      <c r="D50" s="413"/>
      <c r="E50" s="3"/>
      <c r="F50" s="3"/>
      <c r="G50" s="3"/>
      <c r="H50" s="3"/>
      <c r="I50" s="3"/>
      <c r="J50" s="415">
        <f ca="1">SQRT(Y49)</f>
        <v>8.1853527718724506E-2</v>
      </c>
      <c r="K50" s="415">
        <f ca="1">SQRT(Z49)</f>
        <v>7.5498344352707497E-2</v>
      </c>
      <c r="L50" s="415">
        <f ca="1">SQRT(AA49)</f>
        <v>9.4868329805051374E-2</v>
      </c>
      <c r="M50" s="415">
        <f ca="1">SQRT(AB49)</f>
        <v>0.08</v>
      </c>
      <c r="N50" s="415">
        <f ca="1">SQRT(AC49)</f>
        <v>0.13784048752090222</v>
      </c>
    </row>
    <row r="51" spans="1:29" ht="14.25" customHeight="1" thickBot="1" x14ac:dyDescent="0.25">
      <c r="E51" s="416" t="s">
        <v>819</v>
      </c>
      <c r="F51" s="405"/>
      <c r="G51" s="417"/>
      <c r="H51" s="417"/>
      <c r="I51" s="417"/>
      <c r="J51" s="418">
        <v>1</v>
      </c>
      <c r="K51" s="418">
        <v>1</v>
      </c>
      <c r="L51" s="418">
        <v>1</v>
      </c>
      <c r="M51" s="418">
        <v>1</v>
      </c>
      <c r="N51" s="419">
        <v>1</v>
      </c>
    </row>
    <row r="52" spans="1:29" ht="5.25" customHeight="1" thickBot="1" x14ac:dyDescent="0.25"/>
    <row r="53" spans="1:29" ht="15" customHeight="1" thickBot="1" x14ac:dyDescent="0.25">
      <c r="A53" s="425" t="s">
        <v>818</v>
      </c>
      <c r="B53" s="423"/>
      <c r="C53" s="423"/>
      <c r="D53" s="423"/>
      <c r="E53" s="423"/>
      <c r="F53" s="423"/>
      <c r="G53" s="426">
        <f ca="1">ROUND(SUMPRODUCT(J50:N50,J51:N51)/SUM(J51:N51),3)</f>
        <v>9.4E-2</v>
      </c>
      <c r="I53" s="416" t="s">
        <v>817</v>
      </c>
      <c r="J53" s="417"/>
      <c r="K53" s="420">
        <f ca="1">(G56=1)*G53/2+((G56=2)+(G56=3))*G53+(G56=4)*G53*2</f>
        <v>9.4E-2</v>
      </c>
      <c r="L53" s="421" t="s">
        <v>815</v>
      </c>
      <c r="M53" s="422">
        <f ca="1">-(((G56=1)+(G56=2))*G53/2+((G56=3)+(G56=4))*G53)</f>
        <v>-4.7E-2</v>
      </c>
    </row>
    <row r="54" spans="1:29" ht="5.25" customHeight="1" thickBot="1" x14ac:dyDescent="0.25"/>
    <row r="55" spans="1:29" x14ac:dyDescent="0.2">
      <c r="A55" s="406" t="s">
        <v>816</v>
      </c>
      <c r="B55" s="407"/>
      <c r="C55" s="407"/>
      <c r="D55" s="408" t="s">
        <v>820</v>
      </c>
      <c r="E55" s="407"/>
      <c r="F55" s="407"/>
      <c r="G55" s="409"/>
      <c r="I55" s="425" t="s">
        <v>822</v>
      </c>
      <c r="J55" s="423"/>
      <c r="K55" s="423"/>
      <c r="L55" s="423"/>
      <c r="M55" s="424">
        <f>(G56=1)*(0.19+0.19)+(G56=2)*(0.34+0.19)+(G56=3)*(0.34+0.34)+(G56=4)*(0.477+0.34)</f>
        <v>0.53</v>
      </c>
    </row>
    <row r="56" spans="1:29" ht="12" thickBot="1" x14ac:dyDescent="0.25">
      <c r="A56" s="410" t="s">
        <v>821</v>
      </c>
      <c r="B56" s="411"/>
      <c r="C56" s="411"/>
      <c r="D56" s="411"/>
      <c r="E56" s="411"/>
      <c r="F56" s="411"/>
      <c r="G56" s="412">
        <v>2</v>
      </c>
    </row>
  </sheetData>
  <mergeCells count="3">
    <mergeCell ref="J9:N9"/>
    <mergeCell ref="S10:W10"/>
    <mergeCell ref="Y10:AC10"/>
  </mergeCells>
  <phoneticPr fontId="0" type="noConversion"/>
  <pageMargins left="0.75" right="0.5" top="0.5" bottom="0.5" header="0.25" footer="0.25"/>
  <pageSetup scale="95" orientation="landscape" r:id="rId1"/>
  <headerFooter alignWithMargins="0">
    <oddFooter>&amp;L&amp;D  &amp;F:  &amp;A    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PrintBox">
                <anchor moveWithCells="1" sizeWithCells="1">
                  <from>
                    <xdr:col>11</xdr:col>
                    <xdr:colOff>266700</xdr:colOff>
                    <xdr:row>0</xdr:row>
                    <xdr:rowOff>28575</xdr:rowOff>
                  </from>
                  <to>
                    <xdr:col>13</xdr:col>
                    <xdr:colOff>152400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indexed="34"/>
  </sheetPr>
  <dimension ref="A1:EK243"/>
  <sheetViews>
    <sheetView workbookViewId="0">
      <selection activeCell="D29" sqref="D29"/>
    </sheetView>
  </sheetViews>
  <sheetFormatPr defaultRowHeight="11.25" x14ac:dyDescent="0.2"/>
  <cols>
    <col min="2" max="2" width="12.6640625" customWidth="1"/>
    <col min="3" max="3" width="14.83203125" customWidth="1"/>
    <col min="4" max="4" width="8.83203125" customWidth="1"/>
    <col min="5" max="5" width="11.6640625" customWidth="1"/>
    <col min="6" max="10" width="11.5" customWidth="1"/>
    <col min="26" max="26" width="10.1640625" customWidth="1"/>
    <col min="78" max="78" width="10.5" customWidth="1"/>
    <col min="107" max="107" width="12" customWidth="1"/>
  </cols>
  <sheetData>
    <row r="1" spans="1:141" x14ac:dyDescent="0.2">
      <c r="A1" s="130" t="s">
        <v>1008</v>
      </c>
      <c r="O1" s="9"/>
      <c r="P1" s="524" t="s">
        <v>643</v>
      </c>
      <c r="Q1" s="572"/>
      <c r="S1" s="9"/>
      <c r="T1" s="570" t="s">
        <v>642</v>
      </c>
      <c r="U1" s="11"/>
      <c r="X1" s="130" t="s">
        <v>321</v>
      </c>
      <c r="AH1" s="130" t="s">
        <v>258</v>
      </c>
      <c r="AR1" s="130" t="s">
        <v>1017</v>
      </c>
      <c r="BB1" s="130" t="s">
        <v>1018</v>
      </c>
      <c r="BL1" s="130" t="s">
        <v>1019</v>
      </c>
      <c r="BV1" s="130" t="s">
        <v>1028</v>
      </c>
      <c r="CA1" s="130" t="s">
        <v>1025</v>
      </c>
      <c r="CY1" s="3" t="s">
        <v>330</v>
      </c>
      <c r="DQ1" s="130" t="s">
        <v>588</v>
      </c>
      <c r="DR1" s="1"/>
    </row>
    <row r="2" spans="1:141" x14ac:dyDescent="0.2">
      <c r="Q2" s="227" t="s">
        <v>236</v>
      </c>
      <c r="U2" s="227" t="s">
        <v>236</v>
      </c>
      <c r="X2" s="129" t="s">
        <v>158</v>
      </c>
      <c r="AH2" s="129" t="s">
        <v>158</v>
      </c>
      <c r="AR2" s="129" t="s">
        <v>158</v>
      </c>
      <c r="BB2" s="129" t="s">
        <v>158</v>
      </c>
      <c r="BL2" s="129" t="s">
        <v>158</v>
      </c>
      <c r="BV2" s="130" t="s">
        <v>1027</v>
      </c>
      <c r="CA2" s="129" t="s">
        <v>158</v>
      </c>
      <c r="DQ2" s="3" t="s">
        <v>158</v>
      </c>
      <c r="DX2" s="3" t="s">
        <v>158</v>
      </c>
      <c r="EC2" s="3" t="s">
        <v>158</v>
      </c>
      <c r="EH2" s="3" t="s">
        <v>158</v>
      </c>
    </row>
    <row r="3" spans="1:141" x14ac:dyDescent="0.2">
      <c r="A3" s="3" t="str">
        <f>Name</f>
        <v>Allied Pacific (APC Commerical)</v>
      </c>
      <c r="E3" s="3" t="s">
        <v>154</v>
      </c>
      <c r="K3" s="18"/>
      <c r="L3" s="18"/>
      <c r="P3" s="18" t="s">
        <v>159</v>
      </c>
      <c r="Q3" s="18" t="s">
        <v>159</v>
      </c>
      <c r="R3" s="254"/>
      <c r="S3" s="18"/>
      <c r="T3" s="254" t="s">
        <v>602</v>
      </c>
      <c r="U3" s="254" t="s">
        <v>602</v>
      </c>
      <c r="V3" s="2"/>
      <c r="W3" s="2"/>
      <c r="AC3" s="2"/>
      <c r="AD3" s="2"/>
      <c r="AE3" s="2" t="s">
        <v>253</v>
      </c>
      <c r="AF3" s="2" t="s">
        <v>251</v>
      </c>
      <c r="AM3" s="2"/>
      <c r="AN3" s="2"/>
      <c r="AO3" s="2" t="s">
        <v>253</v>
      </c>
      <c r="AP3" s="2" t="s">
        <v>251</v>
      </c>
      <c r="AW3" s="2"/>
      <c r="AX3" s="2"/>
      <c r="AY3" s="2" t="s">
        <v>253</v>
      </c>
      <c r="AZ3" s="2" t="s">
        <v>251</v>
      </c>
      <c r="BG3" s="2"/>
      <c r="BH3" s="2"/>
      <c r="BI3" s="2" t="s">
        <v>253</v>
      </c>
      <c r="BJ3" s="2" t="s">
        <v>251</v>
      </c>
      <c r="BQ3" s="2"/>
      <c r="BR3" s="2"/>
      <c r="BS3" s="2" t="s">
        <v>253</v>
      </c>
      <c r="BT3" s="2" t="s">
        <v>251</v>
      </c>
      <c r="CF3" s="2"/>
      <c r="CG3" s="2"/>
      <c r="CH3" s="2" t="s">
        <v>253</v>
      </c>
      <c r="CI3" s="2" t="s">
        <v>251</v>
      </c>
      <c r="CY3" t="s">
        <v>41</v>
      </c>
      <c r="CZ3" t="s">
        <v>331</v>
      </c>
      <c r="DA3" s="1"/>
      <c r="DG3" s="2"/>
      <c r="DH3" s="2"/>
      <c r="DI3" s="2" t="s">
        <v>253</v>
      </c>
      <c r="DJ3" s="2" t="s">
        <v>251</v>
      </c>
      <c r="DQ3" s="3" t="s">
        <v>50</v>
      </c>
      <c r="DX3" s="3" t="s">
        <v>589</v>
      </c>
      <c r="EC3" s="3" t="s">
        <v>590</v>
      </c>
      <c r="EH3" s="130" t="s">
        <v>1036</v>
      </c>
    </row>
    <row r="4" spans="1:141" x14ac:dyDescent="0.2">
      <c r="A4" s="3" t="s">
        <v>301</v>
      </c>
      <c r="B4" s="121">
        <f>$K$42</f>
        <v>45352</v>
      </c>
      <c r="K4" s="18"/>
      <c r="L4" s="18" t="s">
        <v>230</v>
      </c>
      <c r="M4" s="228" t="s">
        <v>236</v>
      </c>
      <c r="N4" s="228"/>
      <c r="O4" s="228" t="s">
        <v>234</v>
      </c>
      <c r="P4" s="18" t="s">
        <v>235</v>
      </c>
      <c r="Q4" s="18" t="s">
        <v>235</v>
      </c>
      <c r="R4" s="18"/>
      <c r="S4" s="254" t="s">
        <v>617</v>
      </c>
      <c r="T4" s="18" t="s">
        <v>235</v>
      </c>
      <c r="U4" s="18" t="s">
        <v>235</v>
      </c>
      <c r="V4" s="2"/>
      <c r="W4" s="2"/>
      <c r="X4" s="2"/>
      <c r="Y4" s="18" t="s">
        <v>230</v>
      </c>
      <c r="Z4" s="2" t="s">
        <v>238</v>
      </c>
      <c r="AC4" s="2"/>
      <c r="AD4" s="2"/>
      <c r="AE4" s="2" t="s">
        <v>251</v>
      </c>
      <c r="AF4" s="2" t="s">
        <v>252</v>
      </c>
      <c r="AH4" s="2"/>
      <c r="AI4" s="18" t="s">
        <v>230</v>
      </c>
      <c r="AJ4" s="2" t="s">
        <v>238</v>
      </c>
      <c r="AM4" s="2"/>
      <c r="AN4" s="2"/>
      <c r="AO4" s="2" t="s">
        <v>251</v>
      </c>
      <c r="AP4" s="2" t="s">
        <v>252</v>
      </c>
      <c r="AR4" s="2"/>
      <c r="AS4" s="18" t="s">
        <v>230</v>
      </c>
      <c r="AT4" s="2" t="s">
        <v>238</v>
      </c>
      <c r="AW4" s="2"/>
      <c r="AX4" s="2"/>
      <c r="AY4" s="2" t="s">
        <v>251</v>
      </c>
      <c r="AZ4" s="2" t="s">
        <v>252</v>
      </c>
      <c r="BB4" s="2"/>
      <c r="BC4" s="18" t="s">
        <v>230</v>
      </c>
      <c r="BD4" s="2" t="s">
        <v>238</v>
      </c>
      <c r="BG4" s="2"/>
      <c r="BH4" s="2"/>
      <c r="BI4" s="2" t="s">
        <v>251</v>
      </c>
      <c r="BJ4" s="2" t="s">
        <v>252</v>
      </c>
      <c r="BL4" s="2"/>
      <c r="BM4" s="18" t="s">
        <v>230</v>
      </c>
      <c r="BN4" s="2" t="s">
        <v>238</v>
      </c>
      <c r="BQ4" s="2"/>
      <c r="BR4" s="2"/>
      <c r="BS4" s="2" t="s">
        <v>251</v>
      </c>
      <c r="BT4" s="2" t="s">
        <v>252</v>
      </c>
      <c r="BZ4" s="228" t="s">
        <v>1029</v>
      </c>
      <c r="CA4" s="2"/>
      <c r="CB4" s="18" t="s">
        <v>230</v>
      </c>
      <c r="CC4" s="2" t="s">
        <v>238</v>
      </c>
      <c r="CF4" s="2"/>
      <c r="CG4" s="2"/>
      <c r="CH4" s="2" t="s">
        <v>251</v>
      </c>
      <c r="CI4" s="2" t="s">
        <v>252</v>
      </c>
      <c r="CY4" s="42">
        <f>Log!G102</f>
        <v>44835</v>
      </c>
      <c r="CZ4" s="156" t="e">
        <f>Log!J102</f>
        <v>#DIV/0!</v>
      </c>
      <c r="DA4" s="51"/>
      <c r="DB4" s="2"/>
      <c r="DC4" s="18" t="s">
        <v>204</v>
      </c>
      <c r="DD4" s="2" t="s">
        <v>238</v>
      </c>
      <c r="DG4" s="2"/>
      <c r="DH4" s="2"/>
      <c r="DI4" s="2" t="s">
        <v>251</v>
      </c>
      <c r="DJ4" s="2" t="s">
        <v>252</v>
      </c>
      <c r="DT4" t="s">
        <v>586</v>
      </c>
      <c r="EA4" t="s">
        <v>586</v>
      </c>
      <c r="EF4" t="s">
        <v>586</v>
      </c>
      <c r="EK4" t="s">
        <v>586</v>
      </c>
    </row>
    <row r="5" spans="1:141" x14ac:dyDescent="0.2">
      <c r="J5" s="8" t="s">
        <v>101</v>
      </c>
      <c r="K5" s="38" t="s">
        <v>41</v>
      </c>
      <c r="L5" s="8" t="s">
        <v>101</v>
      </c>
      <c r="M5" s="8" t="s">
        <v>101</v>
      </c>
      <c r="N5" s="8"/>
      <c r="O5" s="8" t="s">
        <v>1007</v>
      </c>
      <c r="P5" s="8" t="s">
        <v>176</v>
      </c>
      <c r="Q5" s="8" t="s">
        <v>176</v>
      </c>
      <c r="R5" s="8"/>
      <c r="S5" s="8" t="s">
        <v>1007</v>
      </c>
      <c r="T5" s="8" t="s">
        <v>176</v>
      </c>
      <c r="U5" s="8" t="s">
        <v>176</v>
      </c>
      <c r="V5" s="8" t="s">
        <v>259</v>
      </c>
      <c r="W5" s="2"/>
      <c r="X5" s="38" t="s">
        <v>41</v>
      </c>
      <c r="Y5" s="8" t="s">
        <v>101</v>
      </c>
      <c r="Z5" s="8" t="s">
        <v>222</v>
      </c>
      <c r="AA5" s="8" t="s">
        <v>205</v>
      </c>
      <c r="AB5" s="8" t="s">
        <v>239</v>
      </c>
      <c r="AC5" s="8" t="s">
        <v>240</v>
      </c>
      <c r="AD5" s="8" t="s">
        <v>241</v>
      </c>
      <c r="AE5" s="8" t="s">
        <v>252</v>
      </c>
      <c r="AF5" s="8" t="s">
        <v>101</v>
      </c>
      <c r="AH5" s="38" t="s">
        <v>41</v>
      </c>
      <c r="AI5" s="8" t="s">
        <v>101</v>
      </c>
      <c r="AJ5" s="8" t="s">
        <v>222</v>
      </c>
      <c r="AK5" s="8" t="s">
        <v>205</v>
      </c>
      <c r="AL5" s="8" t="s">
        <v>239</v>
      </c>
      <c r="AM5" s="8" t="s">
        <v>240</v>
      </c>
      <c r="AN5" s="8" t="s">
        <v>241</v>
      </c>
      <c r="AO5" s="8" t="s">
        <v>252</v>
      </c>
      <c r="AP5" s="8" t="s">
        <v>101</v>
      </c>
      <c r="AR5" s="38" t="s">
        <v>41</v>
      </c>
      <c r="AS5" s="8" t="s">
        <v>101</v>
      </c>
      <c r="AT5" s="8" t="s">
        <v>222</v>
      </c>
      <c r="AU5" s="8" t="s">
        <v>205</v>
      </c>
      <c r="AV5" s="8" t="s">
        <v>239</v>
      </c>
      <c r="AW5" s="8" t="s">
        <v>240</v>
      </c>
      <c r="AX5" s="8" t="s">
        <v>241</v>
      </c>
      <c r="AY5" s="8" t="s">
        <v>252</v>
      </c>
      <c r="AZ5" s="8" t="s">
        <v>101</v>
      </c>
      <c r="BB5" s="38" t="s">
        <v>41</v>
      </c>
      <c r="BC5" s="8" t="s">
        <v>101</v>
      </c>
      <c r="BD5" s="8" t="s">
        <v>222</v>
      </c>
      <c r="BE5" s="8" t="s">
        <v>205</v>
      </c>
      <c r="BF5" s="8" t="s">
        <v>239</v>
      </c>
      <c r="BG5" s="8" t="s">
        <v>240</v>
      </c>
      <c r="BH5" s="8" t="s">
        <v>241</v>
      </c>
      <c r="BI5" s="8" t="s">
        <v>252</v>
      </c>
      <c r="BJ5" s="8" t="s">
        <v>101</v>
      </c>
      <c r="BL5" s="38" t="s">
        <v>41</v>
      </c>
      <c r="BM5" s="8" t="s">
        <v>101</v>
      </c>
      <c r="BN5" s="8" t="s">
        <v>222</v>
      </c>
      <c r="BO5" s="8" t="s">
        <v>205</v>
      </c>
      <c r="BP5" s="8" t="s">
        <v>239</v>
      </c>
      <c r="BQ5" s="8" t="s">
        <v>240</v>
      </c>
      <c r="BR5" s="8" t="s">
        <v>241</v>
      </c>
      <c r="BS5" s="8" t="s">
        <v>252</v>
      </c>
      <c r="BT5" s="8" t="s">
        <v>101</v>
      </c>
      <c r="BZ5" s="8" t="s">
        <v>1030</v>
      </c>
      <c r="CA5" s="38" t="s">
        <v>41</v>
      </c>
      <c r="CB5" s="8" t="s">
        <v>101</v>
      </c>
      <c r="CC5" s="8" t="s">
        <v>222</v>
      </c>
      <c r="CD5" s="8" t="s">
        <v>205</v>
      </c>
      <c r="CE5" s="8" t="s">
        <v>239</v>
      </c>
      <c r="CF5" s="8" t="s">
        <v>240</v>
      </c>
      <c r="CG5" s="8" t="s">
        <v>241</v>
      </c>
      <c r="CH5" s="8" t="s">
        <v>252</v>
      </c>
      <c r="CI5" s="8" t="s">
        <v>101</v>
      </c>
      <c r="CY5" s="42">
        <f>Log!G101</f>
        <v>44866</v>
      </c>
      <c r="CZ5" s="156" t="e">
        <f>Log!J101</f>
        <v>#DIV/0!</v>
      </c>
      <c r="DA5" s="51"/>
      <c r="DB5" s="38" t="s">
        <v>41</v>
      </c>
      <c r="DC5" s="8" t="s">
        <v>82</v>
      </c>
      <c r="DD5" s="8" t="s">
        <v>222</v>
      </c>
      <c r="DE5" s="8" t="s">
        <v>205</v>
      </c>
      <c r="DF5" s="8" t="s">
        <v>239</v>
      </c>
      <c r="DG5" s="8" t="s">
        <v>240</v>
      </c>
      <c r="DH5" s="8" t="s">
        <v>241</v>
      </c>
      <c r="DI5" s="8" t="s">
        <v>252</v>
      </c>
      <c r="DJ5" s="8" t="s">
        <v>101</v>
      </c>
      <c r="DQ5" s="38" t="s">
        <v>41</v>
      </c>
      <c r="DR5" s="38" t="s">
        <v>205</v>
      </c>
      <c r="DS5" s="29" t="s">
        <v>260</v>
      </c>
      <c r="DT5" s="103" t="s">
        <v>587</v>
      </c>
      <c r="DX5" s="38" t="s">
        <v>41</v>
      </c>
      <c r="DY5" s="38" t="s">
        <v>205</v>
      </c>
      <c r="DZ5" s="29" t="s">
        <v>260</v>
      </c>
      <c r="EA5" s="103" t="s">
        <v>587</v>
      </c>
      <c r="EC5" s="38" t="s">
        <v>41</v>
      </c>
      <c r="ED5" s="38" t="s">
        <v>205</v>
      </c>
      <c r="EE5" s="29" t="s">
        <v>260</v>
      </c>
      <c r="EF5" s="103" t="s">
        <v>587</v>
      </c>
      <c r="EH5" s="38" t="s">
        <v>41</v>
      </c>
      <c r="EI5" s="38" t="s">
        <v>205</v>
      </c>
      <c r="EJ5" s="29" t="s">
        <v>260</v>
      </c>
      <c r="EK5" s="103" t="s">
        <v>587</v>
      </c>
    </row>
    <row r="6" spans="1:141" x14ac:dyDescent="0.2">
      <c r="G6" s="2"/>
      <c r="H6" s="2"/>
      <c r="I6" s="2"/>
      <c r="J6" s="2"/>
      <c r="O6" s="2"/>
      <c r="S6" s="2"/>
      <c r="CY6" s="42">
        <f>Log!G100</f>
        <v>44896</v>
      </c>
      <c r="CZ6" s="156" t="e">
        <f>Log!J100</f>
        <v>#DIV/0!</v>
      </c>
      <c r="DA6" s="51"/>
    </row>
    <row r="7" spans="1:141" x14ac:dyDescent="0.2">
      <c r="E7" s="575" t="s">
        <v>1010</v>
      </c>
      <c r="F7" s="541"/>
      <c r="G7" s="575" t="s">
        <v>1010</v>
      </c>
      <c r="H7" s="541"/>
      <c r="I7" s="29"/>
      <c r="J7" s="228">
        <f>IF(L7&gt;0,1,0)</f>
        <v>1</v>
      </c>
      <c r="K7" s="121">
        <f>Transport!$A20</f>
        <v>44287</v>
      </c>
      <c r="L7" s="73">
        <f>Transport!$F20</f>
        <v>35.869891317541402</v>
      </c>
      <c r="M7" s="574">
        <f>Transport!J20</f>
        <v>35.869891317541402</v>
      </c>
      <c r="N7" s="120"/>
      <c r="O7">
        <f>($J6=1)*($J7=1)*($J8=1)</f>
        <v>0</v>
      </c>
      <c r="P7" s="241">
        <f>+O7*AVERAGE(L6:L8)</f>
        <v>0</v>
      </c>
      <c r="Q7" s="73">
        <f>+O7*AVERAGE(M6:M8)</f>
        <v>0</v>
      </c>
      <c r="S7">
        <f>($J4=1)*($J5=1)*($J6=1)*($J7=1)*($J8=1)*($J9=1)</f>
        <v>0</v>
      </c>
      <c r="T7" s="73">
        <f>S7*AVERAGE(L5:L10)</f>
        <v>0</v>
      </c>
      <c r="U7" s="73">
        <f>+S7*AVERAGE(M5:M10)</f>
        <v>0</v>
      </c>
      <c r="V7" s="2">
        <v>1</v>
      </c>
      <c r="X7" s="121">
        <f>Transport!$A20</f>
        <v>44287</v>
      </c>
      <c r="Y7" s="73">
        <f t="shared" ref="Y7:Y42" si="0">L7</f>
        <v>35.869891317541402</v>
      </c>
      <c r="Z7" s="15">
        <f>IF(Y7=0,0,LN(Y7))</f>
        <v>3.5798982616411177</v>
      </c>
      <c r="AA7" s="98">
        <f>IF(Z7&gt;0,1,0)</f>
        <v>1</v>
      </c>
      <c r="AB7" s="128">
        <f>IF(AA7&gt;0,1,0)</f>
        <v>1</v>
      </c>
      <c r="AC7" s="128">
        <f>AB7^2</f>
        <v>1</v>
      </c>
      <c r="AD7" s="15">
        <f>AB7*Z7</f>
        <v>3.5798982616411177</v>
      </c>
      <c r="AE7" s="127">
        <f ca="1">Y$54*$V7+Y$55</f>
        <v>3.6979110487902789</v>
      </c>
      <c r="AF7" s="127">
        <f ca="1">EXP(AE7)</f>
        <v>40.362900103574347</v>
      </c>
      <c r="AH7" s="121">
        <f>Transport!$A20</f>
        <v>44287</v>
      </c>
      <c r="AI7" s="73">
        <f>$P7</f>
        <v>0</v>
      </c>
      <c r="AJ7" s="15">
        <f>IF(AI7=0,0,LN(AI7))</f>
        <v>0</v>
      </c>
      <c r="AK7" s="98">
        <f>IF(AJ7&gt;0,1,0)</f>
        <v>0</v>
      </c>
      <c r="AL7" s="128">
        <f>IF(AK7&gt;0,1,0)</f>
        <v>0</v>
      </c>
      <c r="AM7" s="128">
        <f>AL7^2</f>
        <v>0</v>
      </c>
      <c r="AN7" s="15">
        <f>AL7*AJ7</f>
        <v>0</v>
      </c>
      <c r="AO7" s="127">
        <f ca="1">AI$54*$V7+AI$55</f>
        <v>3.7161985552351675</v>
      </c>
      <c r="AP7" s="127">
        <f ca="1">EXP(AO7)</f>
        <v>41.107827571718616</v>
      </c>
      <c r="AR7" s="121">
        <f>Transport!$A20</f>
        <v>44287</v>
      </c>
      <c r="AS7" s="131">
        <v>0</v>
      </c>
      <c r="AT7" s="15">
        <f>IF(AS7=0,0,LN(AS7))</f>
        <v>0</v>
      </c>
      <c r="AU7" s="98">
        <f>IF(AT7&gt;0,1,0)</f>
        <v>0</v>
      </c>
      <c r="AV7" s="128">
        <f>IF(AU7&gt;0,1,0)</f>
        <v>0</v>
      </c>
      <c r="AW7" s="128">
        <f>AV7^2</f>
        <v>0</v>
      </c>
      <c r="AX7" s="15">
        <f>AV7*AT7</f>
        <v>0</v>
      </c>
      <c r="AY7" s="127">
        <f ca="1">AS$54*$V7+AS$55</f>
        <v>3.5953930427557523</v>
      </c>
      <c r="AZ7" s="127">
        <f t="shared" ref="AZ7:AZ19" ca="1" si="1">EXP(AY7)</f>
        <v>36.430015728119642</v>
      </c>
      <c r="BB7" s="121">
        <f>Transport!$A20</f>
        <v>44287</v>
      </c>
      <c r="BC7" s="131">
        <v>0</v>
      </c>
      <c r="BD7" s="15">
        <f>IF(BC7=0,0,LN(BC7))</f>
        <v>0</v>
      </c>
      <c r="BE7" s="98">
        <f>IF(BD7&gt;0,1,0)</f>
        <v>0</v>
      </c>
      <c r="BF7" s="128">
        <f>IF(BE7&gt;0,1,0)</f>
        <v>0</v>
      </c>
      <c r="BG7" s="128">
        <f>BF7^2</f>
        <v>0</v>
      </c>
      <c r="BH7" s="15">
        <f>BF7*BD7</f>
        <v>0</v>
      </c>
      <c r="BI7" s="127">
        <f ca="1">BC$54*$V7+BC$55</f>
        <v>3.658098111468818</v>
      </c>
      <c r="BJ7" s="127">
        <f t="shared" ref="BJ7:BJ24" ca="1" si="2">EXP(BI7)</f>
        <v>38.787503168718544</v>
      </c>
      <c r="BL7" s="121">
        <f>Transport!$A20</f>
        <v>44287</v>
      </c>
      <c r="BM7" s="131">
        <v>0</v>
      </c>
      <c r="BN7" s="15">
        <f>IF(BM7=0,0,LN(BM7))</f>
        <v>0</v>
      </c>
      <c r="BO7" s="98">
        <f>IF(BN7&gt;0,1,0)</f>
        <v>0</v>
      </c>
      <c r="BP7" s="128">
        <f>IF(BO7&gt;0,1,0)</f>
        <v>0</v>
      </c>
      <c r="BQ7" s="128">
        <f>BP7^2</f>
        <v>0</v>
      </c>
      <c r="BR7" s="15">
        <f>BP7*BN7</f>
        <v>0</v>
      </c>
      <c r="BS7" s="127">
        <f ca="1">BM$54*$V7+BM$55</f>
        <v>3.5510860659439349</v>
      </c>
      <c r="BT7" s="127">
        <f t="shared" ref="BT7:BT24" ca="1" si="3">EXP(BS7)</f>
        <v>34.851147585392624</v>
      </c>
      <c r="BX7" s="2" t="s">
        <v>41</v>
      </c>
      <c r="BY7" s="2" t="s">
        <v>42</v>
      </c>
      <c r="BZ7" s="583">
        <f>IF(OR(CA7&lt;BX$12,CA7&gt;BX$13),0,1)</f>
        <v>0</v>
      </c>
      <c r="CA7" s="121">
        <f>Transport!$A20</f>
        <v>44287</v>
      </c>
      <c r="CB7" s="73">
        <f>+BZ7*P7</f>
        <v>0</v>
      </c>
      <c r="CC7" s="15">
        <f>IF(CB7=0,0,LN(CB7))</f>
        <v>0</v>
      </c>
      <c r="CD7" s="98">
        <f>IF(CC7&gt;0,1,0)</f>
        <v>0</v>
      </c>
      <c r="CE7" s="128">
        <f>IF(CD7&gt;0,1,0)</f>
        <v>0</v>
      </c>
      <c r="CF7" s="128">
        <f>CE7^2</f>
        <v>0</v>
      </c>
      <c r="CG7" s="15">
        <f>CE7*CC7</f>
        <v>0</v>
      </c>
      <c r="CH7" s="127">
        <f ca="1">CB$54*$V7+CB$55</f>
        <v>3.6055305640135042</v>
      </c>
      <c r="CI7" s="127">
        <f t="shared" ref="CI7:CI24" ca="1" si="4">EXP(CH7)</f>
        <v>36.80120407295901</v>
      </c>
      <c r="CY7" s="42">
        <f>Log!G99</f>
        <v>44927</v>
      </c>
      <c r="CZ7" s="156" t="e">
        <f>Log!J99</f>
        <v>#DIV/0!</v>
      </c>
      <c r="DA7" s="51"/>
      <c r="DB7" s="121">
        <f>Transport!$A20</f>
        <v>44287</v>
      </c>
      <c r="DC7" s="159">
        <v>0</v>
      </c>
      <c r="DD7" s="15">
        <f>IF(DC7=0,0,LN(DC7))</f>
        <v>0</v>
      </c>
      <c r="DE7" s="98">
        <f>IF(DD7&gt;0,1,0)</f>
        <v>0</v>
      </c>
      <c r="DF7" s="128">
        <f>IF(DE7&gt;0,1,0)</f>
        <v>0</v>
      </c>
      <c r="DG7" s="128">
        <f>DF7^2</f>
        <v>0</v>
      </c>
      <c r="DH7" s="15">
        <f>DF7*DD7</f>
        <v>0</v>
      </c>
      <c r="DI7" s="127" t="e">
        <f t="shared" ref="DI7:DI42" si="5">DC$54*$V7+DC$55</f>
        <v>#DIV/0!</v>
      </c>
      <c r="DJ7" s="127" t="str">
        <f t="shared" ref="DJ7:DJ42" si="6">IF(DC7&gt;0,EXP(DI7),"")</f>
        <v/>
      </c>
      <c r="DQ7" s="121">
        <f>Transport!$A20</f>
        <v>44287</v>
      </c>
      <c r="DR7" s="98">
        <f>IF($L7&gt;0,1,0)</f>
        <v>1</v>
      </c>
      <c r="DS7" s="73">
        <f>+L7</f>
        <v>35.869891317541402</v>
      </c>
      <c r="DT7" s="294"/>
      <c r="DX7" s="121">
        <f>Transport!$A20</f>
        <v>44287</v>
      </c>
      <c r="DY7" s="2"/>
      <c r="DZ7" s="120"/>
      <c r="EA7" s="292"/>
      <c r="EC7" s="121">
        <f>Transport!$A20</f>
        <v>44287</v>
      </c>
      <c r="ED7" s="2"/>
      <c r="EE7" s="120"/>
      <c r="EF7" s="292"/>
      <c r="EH7" s="121">
        <f>Transport!$A20</f>
        <v>44287</v>
      </c>
      <c r="EI7" s="2"/>
      <c r="EJ7" s="120"/>
      <c r="EK7" s="292"/>
    </row>
    <row r="8" spans="1:141" x14ac:dyDescent="0.2">
      <c r="E8" s="576" t="s">
        <v>1011</v>
      </c>
      <c r="F8" s="577"/>
      <c r="G8" s="545" t="s">
        <v>1012</v>
      </c>
      <c r="H8" s="577"/>
      <c r="I8" s="67"/>
      <c r="J8" s="228">
        <f t="shared" ref="J8:J42" si="7">IF(L8&gt;0,1,0)</f>
        <v>1</v>
      </c>
      <c r="K8" s="121">
        <f>Transport!$A21</f>
        <v>44317</v>
      </c>
      <c r="L8" s="73">
        <f>Transport!$F21</f>
        <v>36.591966235234068</v>
      </c>
      <c r="M8" s="574">
        <f>Transport!J21</f>
        <v>36.591966235234068</v>
      </c>
      <c r="N8" s="120"/>
      <c r="O8">
        <f t="shared" ref="O8:O42" si="8">($J7=1)*($J8=1)*($J9=1)</f>
        <v>1</v>
      </c>
      <c r="P8" s="241">
        <f t="shared" ref="P8:P42" si="9">+O8*AVERAGE(L7:L9)</f>
        <v>37.084129648463552</v>
      </c>
      <c r="Q8" s="73">
        <f t="shared" ref="Q8:Q42" si="10">+O8*AVERAGE(M7:M9)</f>
        <v>37.084129648463552</v>
      </c>
      <c r="S8">
        <f t="shared" ref="S8:S42" si="11">($J5=1)*($J6=1)*($J7=1)*($J8=1)*($J9=1)*($J10=1)</f>
        <v>0</v>
      </c>
      <c r="T8" s="73">
        <f t="shared" ref="T8:T42" si="12">S8*AVERAGE(L6:L11)</f>
        <v>0</v>
      </c>
      <c r="U8" s="73">
        <f t="shared" ref="U8:U42" si="13">+S8*AVERAGE(M6:M11)</f>
        <v>0</v>
      </c>
      <c r="V8" s="2">
        <v>2</v>
      </c>
      <c r="X8" s="121">
        <f>Transport!$A21</f>
        <v>44317</v>
      </c>
      <c r="Y8" s="73">
        <f t="shared" si="0"/>
        <v>36.591966235234068</v>
      </c>
      <c r="Z8" s="15">
        <f t="shared" ref="Z8:Z42" si="14">IF(Y8=0,0,LN(Y8))</f>
        <v>3.5998287145437202</v>
      </c>
      <c r="AA8" s="98">
        <f t="shared" ref="AA8:AA42" si="15">IF(Z8&gt;0,1,0)</f>
        <v>1</v>
      </c>
      <c r="AB8" s="128">
        <f>IF(AA8&gt;0,2,0)</f>
        <v>2</v>
      </c>
      <c r="AC8" s="128">
        <f t="shared" ref="AC8:AC42" si="16">AB8^2</f>
        <v>4</v>
      </c>
      <c r="AD8" s="15">
        <f t="shared" ref="AD8:AD42" si="17">AB8*Z8</f>
        <v>7.1996574290874404</v>
      </c>
      <c r="AE8" s="127">
        <f t="shared" ref="AE8:AE42" ca="1" si="18">Y$54*$V8+Y$55</f>
        <v>3.6974319751110416</v>
      </c>
      <c r="AF8" s="127">
        <f t="shared" ref="AF8:AF42" ca="1" si="19">EXP(AE8)</f>
        <v>40.34356793165415</v>
      </c>
      <c r="AH8" s="121">
        <f>Transport!$A21</f>
        <v>44317</v>
      </c>
      <c r="AI8" s="73">
        <f t="shared" ref="AI8:AI40" si="20">$P8</f>
        <v>37.084129648463552</v>
      </c>
      <c r="AJ8" s="15">
        <f t="shared" ref="AJ8:AJ42" si="21">IF(AI8=0,0,LN(AI8))</f>
        <v>3.6131891058141168</v>
      </c>
      <c r="AK8" s="98">
        <f t="shared" ref="AK8:AK42" si="22">IF(AJ8&gt;0,1,0)</f>
        <v>1</v>
      </c>
      <c r="AL8" s="128">
        <f>IF(AK8&gt;0,2,0)</f>
        <v>2</v>
      </c>
      <c r="AM8" s="128">
        <f t="shared" ref="AM8:AM42" si="23">AL8^2</f>
        <v>4</v>
      </c>
      <c r="AN8" s="15">
        <f t="shared" ref="AN8:AN42" si="24">AL8*AJ8</f>
        <v>7.2263782116282336</v>
      </c>
      <c r="AO8" s="127">
        <f t="shared" ref="AO8:AO42" ca="1" si="25">AI$54*$V8+AI$55</f>
        <v>3.7150152019266685</v>
      </c>
      <c r="AP8" s="127">
        <f ca="1">EXP(AO8)</f>
        <v>41.059211258767021</v>
      </c>
      <c r="AR8" s="121">
        <f>Transport!$A21</f>
        <v>44317</v>
      </c>
      <c r="AS8" s="131">
        <v>0</v>
      </c>
      <c r="AT8" s="15">
        <f t="shared" ref="AT8:AT42" si="26">IF(AS8=0,0,LN(AS8))</f>
        <v>0</v>
      </c>
      <c r="AU8" s="98">
        <f t="shared" ref="AU8:AU42" si="27">IF(AT8&gt;0,1,0)</f>
        <v>0</v>
      </c>
      <c r="AV8" s="128">
        <f>IF(AU8&gt;0,2,0)</f>
        <v>0</v>
      </c>
      <c r="AW8" s="128">
        <f t="shared" ref="AW8:AW42" si="28">AV8^2</f>
        <v>0</v>
      </c>
      <c r="AX8" s="15">
        <f t="shared" ref="AX8:AX42" si="29">AV8*AT8</f>
        <v>0</v>
      </c>
      <c r="AY8" s="127">
        <f t="shared" ref="AY8:AY42" ca="1" si="30">AS$54*$V8+AS$55</f>
        <v>3.5990818429201643</v>
      </c>
      <c r="AZ8" s="127">
        <f t="shared" ca="1" si="1"/>
        <v>36.56464693727699</v>
      </c>
      <c r="BB8" s="121">
        <f>Transport!$A21</f>
        <v>44317</v>
      </c>
      <c r="BC8" s="131">
        <v>0</v>
      </c>
      <c r="BD8" s="15">
        <f t="shared" ref="BD8:BD42" si="31">IF(BC8=0,0,LN(BC8))</f>
        <v>0</v>
      </c>
      <c r="BE8" s="98">
        <f t="shared" ref="BE8:BE42" si="32">IF(BD8&gt;0,1,0)</f>
        <v>0</v>
      </c>
      <c r="BF8" s="128">
        <f>IF(BE8&gt;0,2,0)</f>
        <v>0</v>
      </c>
      <c r="BG8" s="128">
        <f t="shared" ref="BG8:BG42" si="33">BF8^2</f>
        <v>0</v>
      </c>
      <c r="BH8" s="15">
        <f t="shared" ref="BH8:BH42" si="34">BF8*BD8</f>
        <v>0</v>
      </c>
      <c r="BI8" s="127">
        <f t="shared" ref="BI8:BI42" ca="1" si="35">BC$54*$V8+BC$55</f>
        <v>3.6593589023021496</v>
      </c>
      <c r="BJ8" s="127">
        <f t="shared" ca="1" si="2"/>
        <v>38.836436938303486</v>
      </c>
      <c r="BL8" s="121">
        <f>Transport!$A21</f>
        <v>44317</v>
      </c>
      <c r="BM8" s="131">
        <v>0</v>
      </c>
      <c r="BN8" s="15">
        <f t="shared" ref="BN8:BN42" si="36">IF(BM8=0,0,LN(BM8))</f>
        <v>0</v>
      </c>
      <c r="BO8" s="98">
        <f t="shared" ref="BO8:BO42" si="37">IF(BN8&gt;0,1,0)</f>
        <v>0</v>
      </c>
      <c r="BP8" s="128">
        <f>IF(BO8&gt;0,2,0)</f>
        <v>0</v>
      </c>
      <c r="BQ8" s="128">
        <f t="shared" ref="BQ8:BQ42" si="38">BP8^2</f>
        <v>0</v>
      </c>
      <c r="BR8" s="15">
        <f t="shared" ref="BR8:BR42" si="39">BP8*BN8</f>
        <v>0</v>
      </c>
      <c r="BS8" s="127">
        <f t="shared" ref="BS8:BS42" ca="1" si="40">BM$54*$V8+BM$55</f>
        <v>3.5562137101960687</v>
      </c>
      <c r="BT8" s="127">
        <f t="shared" ca="1" si="3"/>
        <v>35.030310822102123</v>
      </c>
      <c r="BW8" t="s">
        <v>1023</v>
      </c>
      <c r="BX8">
        <f t="shared" ref="BX8:BY9" si="41">C27</f>
        <v>3</v>
      </c>
      <c r="BY8">
        <f t="shared" si="41"/>
        <v>2022</v>
      </c>
      <c r="BZ8" s="583">
        <f t="shared" ref="BZ8:BZ42" si="42">IF(OR(CA8&lt;BX$12,CA8&gt;BX$13),0,1)</f>
        <v>0</v>
      </c>
      <c r="CA8" s="121">
        <f>Transport!$A21</f>
        <v>44317</v>
      </c>
      <c r="CB8" s="73">
        <f t="shared" ref="CB8:CB42" si="43">+BZ8*P8</f>
        <v>0</v>
      </c>
      <c r="CC8" s="15">
        <f t="shared" ref="CC8:CC42" si="44">IF(CB8=0,0,LN(CB8))</f>
        <v>0</v>
      </c>
      <c r="CD8" s="98">
        <f t="shared" ref="CD8:CD42" si="45">IF(CC8&gt;0,1,0)</f>
        <v>0</v>
      </c>
      <c r="CE8" s="128">
        <f>IF(CD8&gt;0,2,0)</f>
        <v>0</v>
      </c>
      <c r="CF8" s="128">
        <f t="shared" ref="CF8:CF42" si="46">CE8^2</f>
        <v>0</v>
      </c>
      <c r="CG8" s="15">
        <f t="shared" ref="CG8:CG42" si="47">CE8*CC8</f>
        <v>0</v>
      </c>
      <c r="CH8" s="127">
        <f t="shared" ref="CH8:CH42" ca="1" si="48">CB$54*$V8+CB$55</f>
        <v>3.6091374430363836</v>
      </c>
      <c r="CI8" s="127">
        <f t="shared" ca="1" si="4"/>
        <v>36.934181236051828</v>
      </c>
      <c r="CY8" s="42">
        <f>Log!G98</f>
        <v>44958</v>
      </c>
      <c r="CZ8" s="156" t="e">
        <f>Log!J98</f>
        <v>#DIV/0!</v>
      </c>
      <c r="DA8" s="51"/>
      <c r="DB8" s="121">
        <f>Transport!$A21</f>
        <v>44317</v>
      </c>
      <c r="DC8" s="159">
        <v>0</v>
      </c>
      <c r="DD8" s="15">
        <f t="shared" ref="DD8:DD42" si="49">IF(DC8=0,0,LN(DC8))</f>
        <v>0</v>
      </c>
      <c r="DE8" s="98">
        <f t="shared" ref="DE8:DE42" si="50">IF(DD8&gt;0,1,0)</f>
        <v>0</v>
      </c>
      <c r="DF8" s="128">
        <f>IF(DE8&gt;0,2,0)</f>
        <v>0</v>
      </c>
      <c r="DG8" s="128">
        <f t="shared" ref="DG8:DG42" si="51">DF8^2</f>
        <v>0</v>
      </c>
      <c r="DH8" s="15">
        <f t="shared" ref="DH8:DH42" si="52">DF8*DD8</f>
        <v>0</v>
      </c>
      <c r="DI8" s="127" t="e">
        <f t="shared" si="5"/>
        <v>#DIV/0!</v>
      </c>
      <c r="DJ8" s="127" t="str">
        <f t="shared" si="6"/>
        <v/>
      </c>
      <c r="DQ8" s="280">
        <f>Transport!$A21</f>
        <v>44317</v>
      </c>
      <c r="DR8" s="13">
        <f t="shared" ref="DR8:DR42" si="53">IF($L8&gt;0,1,0)</f>
        <v>1</v>
      </c>
      <c r="DS8" s="281">
        <f t="shared" ref="DS8:DS42" si="54">+L8</f>
        <v>36.591966235234068</v>
      </c>
      <c r="DT8" s="295"/>
      <c r="DX8" s="121">
        <f>Transport!$A21</f>
        <v>44317</v>
      </c>
      <c r="DY8" s="2"/>
      <c r="DZ8" s="120"/>
      <c r="EA8" s="66"/>
      <c r="EC8" s="121">
        <f>Transport!$A21</f>
        <v>44317</v>
      </c>
      <c r="ED8" s="2"/>
      <c r="EE8" s="120"/>
      <c r="EF8" s="66"/>
      <c r="EH8" s="121">
        <f>Transport!$A21</f>
        <v>44317</v>
      </c>
      <c r="EI8" s="2"/>
      <c r="EJ8" s="120"/>
      <c r="EK8" s="66"/>
    </row>
    <row r="9" spans="1:141" x14ac:dyDescent="0.2">
      <c r="A9" s="249" t="s">
        <v>1009</v>
      </c>
      <c r="E9" s="2"/>
      <c r="F9" s="2" t="s">
        <v>155</v>
      </c>
      <c r="G9" s="2"/>
      <c r="H9" s="2" t="s">
        <v>155</v>
      </c>
      <c r="I9" s="67"/>
      <c r="J9" s="228">
        <f t="shared" si="7"/>
        <v>1</v>
      </c>
      <c r="K9" s="121">
        <f>Transport!$A22</f>
        <v>44348</v>
      </c>
      <c r="L9" s="73">
        <f>Transport!$F22</f>
        <v>38.790531392615186</v>
      </c>
      <c r="M9" s="574">
        <f>Transport!J22</f>
        <v>38.790531392615186</v>
      </c>
      <c r="N9" s="120"/>
      <c r="O9">
        <f t="shared" si="8"/>
        <v>1</v>
      </c>
      <c r="P9" s="241">
        <f t="shared" si="9"/>
        <v>38.577628749314165</v>
      </c>
      <c r="Q9" s="73">
        <f t="shared" si="10"/>
        <v>38.577628749314165</v>
      </c>
      <c r="S9">
        <f t="shared" si="11"/>
        <v>0</v>
      </c>
      <c r="T9" s="73">
        <f t="shared" si="12"/>
        <v>0</v>
      </c>
      <c r="U9" s="73">
        <f t="shared" si="13"/>
        <v>0</v>
      </c>
      <c r="V9" s="2">
        <v>3</v>
      </c>
      <c r="X9" s="121">
        <f>Transport!$A22</f>
        <v>44348</v>
      </c>
      <c r="Y9" s="73">
        <f t="shared" si="0"/>
        <v>38.790531392615186</v>
      </c>
      <c r="Z9" s="15">
        <f t="shared" si="14"/>
        <v>3.6581761805747268</v>
      </c>
      <c r="AA9" s="98">
        <f t="shared" si="15"/>
        <v>1</v>
      </c>
      <c r="AB9" s="128">
        <f>IF(AA9&gt;0,3,0)</f>
        <v>3</v>
      </c>
      <c r="AC9" s="128">
        <f t="shared" si="16"/>
        <v>9</v>
      </c>
      <c r="AD9" s="15">
        <f t="shared" si="17"/>
        <v>10.97452854172418</v>
      </c>
      <c r="AE9" s="127">
        <f t="shared" ca="1" si="18"/>
        <v>3.6969529014318043</v>
      </c>
      <c r="AF9" s="127">
        <f t="shared" ca="1" si="19"/>
        <v>40.324245019050558</v>
      </c>
      <c r="AH9" s="121">
        <f>Transport!$A22</f>
        <v>44348</v>
      </c>
      <c r="AI9" s="73">
        <f t="shared" si="20"/>
        <v>38.577628749314165</v>
      </c>
      <c r="AJ9" s="15">
        <f t="shared" si="21"/>
        <v>3.6526725423775011</v>
      </c>
      <c r="AK9" s="98">
        <f t="shared" si="22"/>
        <v>1</v>
      </c>
      <c r="AL9" s="128">
        <f>IF(AK9&gt;0,3,0)</f>
        <v>3</v>
      </c>
      <c r="AM9" s="128">
        <f t="shared" si="23"/>
        <v>9</v>
      </c>
      <c r="AN9" s="15">
        <f t="shared" si="24"/>
        <v>10.958017627132502</v>
      </c>
      <c r="AO9" s="127">
        <f t="shared" ca="1" si="25"/>
        <v>3.713831848618169</v>
      </c>
      <c r="AP9" s="127">
        <f ca="1">EXP(AO9)</f>
        <v>41.010652442064291</v>
      </c>
      <c r="AR9" s="121">
        <f>Transport!$A22</f>
        <v>44348</v>
      </c>
      <c r="AS9" s="131">
        <v>0</v>
      </c>
      <c r="AT9" s="15">
        <f t="shared" si="26"/>
        <v>0</v>
      </c>
      <c r="AU9" s="98">
        <f t="shared" si="27"/>
        <v>0</v>
      </c>
      <c r="AV9" s="128">
        <f>IF(AU9&gt;0,3,0)</f>
        <v>0</v>
      </c>
      <c r="AW9" s="128">
        <f t="shared" si="28"/>
        <v>0</v>
      </c>
      <c r="AX9" s="15">
        <f t="shared" si="29"/>
        <v>0</v>
      </c>
      <c r="AY9" s="127">
        <f t="shared" ca="1" si="30"/>
        <v>3.6027706430845763</v>
      </c>
      <c r="AZ9" s="127">
        <f t="shared" ca="1" si="1"/>
        <v>36.699775691168185</v>
      </c>
      <c r="BB9" s="121">
        <f>Transport!$A22</f>
        <v>44348</v>
      </c>
      <c r="BC9" s="131">
        <v>0</v>
      </c>
      <c r="BD9" s="15">
        <f t="shared" si="31"/>
        <v>0</v>
      </c>
      <c r="BE9" s="98">
        <f t="shared" si="32"/>
        <v>0</v>
      </c>
      <c r="BF9" s="128">
        <f>IF(BE9&gt;0,3,0)</f>
        <v>0</v>
      </c>
      <c r="BG9" s="128">
        <f t="shared" si="33"/>
        <v>0</v>
      </c>
      <c r="BH9" s="15">
        <f t="shared" si="34"/>
        <v>0</v>
      </c>
      <c r="BI9" s="127">
        <f t="shared" ca="1" si="35"/>
        <v>3.6606196931354815</v>
      </c>
      <c r="BJ9" s="127">
        <f t="shared" ca="1" si="2"/>
        <v>38.885432442045321</v>
      </c>
      <c r="BL9" s="121">
        <f>Transport!$A22</f>
        <v>44348</v>
      </c>
      <c r="BM9" s="131">
        <v>0</v>
      </c>
      <c r="BN9" s="15">
        <f t="shared" si="36"/>
        <v>0</v>
      </c>
      <c r="BO9" s="98">
        <f t="shared" si="37"/>
        <v>0</v>
      </c>
      <c r="BP9" s="128">
        <f>IF(BO9&gt;0,3,0)</f>
        <v>0</v>
      </c>
      <c r="BQ9" s="128">
        <f t="shared" si="38"/>
        <v>0</v>
      </c>
      <c r="BR9" s="15">
        <f t="shared" si="39"/>
        <v>0</v>
      </c>
      <c r="BS9" s="127">
        <f t="shared" ca="1" si="40"/>
        <v>3.561341354448202</v>
      </c>
      <c r="BT9" s="127">
        <f t="shared" ca="1" si="3"/>
        <v>35.210395103529272</v>
      </c>
      <c r="BW9" t="s">
        <v>1024</v>
      </c>
      <c r="BX9">
        <f t="shared" si="41"/>
        <v>10</v>
      </c>
      <c r="BY9">
        <f t="shared" si="41"/>
        <v>2023</v>
      </c>
      <c r="BZ9" s="583">
        <f t="shared" si="42"/>
        <v>0</v>
      </c>
      <c r="CA9" s="121">
        <f>Transport!$A22</f>
        <v>44348</v>
      </c>
      <c r="CB9" s="73">
        <f t="shared" si="43"/>
        <v>0</v>
      </c>
      <c r="CC9" s="15">
        <f t="shared" si="44"/>
        <v>0</v>
      </c>
      <c r="CD9" s="98">
        <f t="shared" si="45"/>
        <v>0</v>
      </c>
      <c r="CE9" s="128">
        <f>IF(CD9&gt;0,3,0)</f>
        <v>0</v>
      </c>
      <c r="CF9" s="128">
        <f t="shared" si="46"/>
        <v>0</v>
      </c>
      <c r="CG9" s="15">
        <f t="shared" si="47"/>
        <v>0</v>
      </c>
      <c r="CH9" s="127">
        <f t="shared" ca="1" si="48"/>
        <v>3.612744322059263</v>
      </c>
      <c r="CI9" s="127">
        <f t="shared" ca="1" si="4"/>
        <v>37.067638897713906</v>
      </c>
      <c r="CY9" s="42">
        <f>Log!G97</f>
        <v>44986</v>
      </c>
      <c r="CZ9" s="156" t="e">
        <f>Log!J97</f>
        <v>#DIV/0!</v>
      </c>
      <c r="DA9" s="51"/>
      <c r="DB9" s="121">
        <f>Transport!$A22</f>
        <v>44348</v>
      </c>
      <c r="DC9" s="159">
        <v>0</v>
      </c>
      <c r="DD9" s="15">
        <f t="shared" si="49"/>
        <v>0</v>
      </c>
      <c r="DE9" s="98">
        <f t="shared" si="50"/>
        <v>0</v>
      </c>
      <c r="DF9" s="128">
        <f>IF(DE9&gt;0,3,0)</f>
        <v>0</v>
      </c>
      <c r="DG9" s="128">
        <f t="shared" si="51"/>
        <v>0</v>
      </c>
      <c r="DH9" s="15">
        <f t="shared" si="52"/>
        <v>0</v>
      </c>
      <c r="DI9" s="127" t="e">
        <f t="shared" si="5"/>
        <v>#DIV/0!</v>
      </c>
      <c r="DJ9" s="127" t="str">
        <f t="shared" si="6"/>
        <v/>
      </c>
      <c r="DQ9" s="280">
        <f>Transport!$A22</f>
        <v>44348</v>
      </c>
      <c r="DR9" s="13">
        <f t="shared" si="53"/>
        <v>1</v>
      </c>
      <c r="DS9" s="281">
        <f t="shared" si="54"/>
        <v>38.790531392615186</v>
      </c>
      <c r="DT9" s="295">
        <f t="shared" ref="DT9:DT41" ca="1" si="55">+AP9</f>
        <v>41.010652442064291</v>
      </c>
      <c r="DX9" s="121">
        <f>Transport!$A22</f>
        <v>44348</v>
      </c>
      <c r="DY9" s="2"/>
      <c r="DZ9" s="120"/>
      <c r="EA9" s="66"/>
      <c r="EC9" s="121">
        <f>Transport!$A22</f>
        <v>44348</v>
      </c>
      <c r="ED9" s="2"/>
      <c r="EE9" s="120"/>
      <c r="EF9" s="66"/>
      <c r="EH9" s="121">
        <f>Transport!$A22</f>
        <v>44348</v>
      </c>
      <c r="EI9" s="2"/>
      <c r="EJ9" s="120"/>
      <c r="EK9" s="66"/>
    </row>
    <row r="10" spans="1:141" x14ac:dyDescent="0.2">
      <c r="E10" s="29" t="s">
        <v>260</v>
      </c>
      <c r="F10" s="29" t="s">
        <v>157</v>
      </c>
      <c r="G10" s="29" t="s">
        <v>260</v>
      </c>
      <c r="H10" s="29" t="s">
        <v>157</v>
      </c>
      <c r="I10" s="67"/>
      <c r="J10" s="228">
        <f t="shared" si="7"/>
        <v>1</v>
      </c>
      <c r="K10" s="121">
        <f>Transport!$A23</f>
        <v>44378</v>
      </c>
      <c r="L10" s="73">
        <f>Transport!$F23</f>
        <v>40.350388620093234</v>
      </c>
      <c r="M10" s="574">
        <f>Transport!J23</f>
        <v>40.350388620093234</v>
      </c>
      <c r="N10" s="120"/>
      <c r="O10">
        <f t="shared" si="8"/>
        <v>1</v>
      </c>
      <c r="P10" s="241">
        <f t="shared" si="9"/>
        <v>42.313181658837323</v>
      </c>
      <c r="Q10" s="73">
        <f t="shared" si="10"/>
        <v>42.313181658837323</v>
      </c>
      <c r="S10">
        <f t="shared" si="11"/>
        <v>1</v>
      </c>
      <c r="T10" s="73">
        <f t="shared" si="12"/>
        <v>42.898571251676138</v>
      </c>
      <c r="U10" s="73">
        <f t="shared" si="13"/>
        <v>42.898571251676138</v>
      </c>
      <c r="V10" s="2">
        <v>4</v>
      </c>
      <c r="X10" s="121">
        <f>Transport!$A23</f>
        <v>44378</v>
      </c>
      <c r="Y10" s="73">
        <f t="shared" si="0"/>
        <v>40.350388620093234</v>
      </c>
      <c r="Z10" s="15">
        <f t="shared" si="14"/>
        <v>3.6976010258986545</v>
      </c>
      <c r="AA10" s="98">
        <f t="shared" si="15"/>
        <v>1</v>
      </c>
      <c r="AB10" s="128">
        <f>IF(AA10&gt;0,4,0)</f>
        <v>4</v>
      </c>
      <c r="AC10" s="128">
        <f t="shared" si="16"/>
        <v>16</v>
      </c>
      <c r="AD10" s="15">
        <f t="shared" si="17"/>
        <v>14.790404103594618</v>
      </c>
      <c r="AE10" s="127">
        <f t="shared" ca="1" si="18"/>
        <v>3.6964738277525671</v>
      </c>
      <c r="AF10" s="127">
        <f t="shared" ca="1" si="19"/>
        <v>40.304931361328741</v>
      </c>
      <c r="AH10" s="121">
        <f>Transport!$A23</f>
        <v>44378</v>
      </c>
      <c r="AI10" s="73">
        <f t="shared" si="20"/>
        <v>42.313181658837323</v>
      </c>
      <c r="AJ10" s="15">
        <f t="shared" si="21"/>
        <v>3.7450986606481886</v>
      </c>
      <c r="AK10" s="98">
        <f t="shared" si="22"/>
        <v>1</v>
      </c>
      <c r="AL10" s="128">
        <f>IF(AK10&gt;0,4,0)</f>
        <v>4</v>
      </c>
      <c r="AM10" s="128">
        <f t="shared" si="23"/>
        <v>16</v>
      </c>
      <c r="AN10" s="15">
        <f t="shared" si="24"/>
        <v>14.980394642592755</v>
      </c>
      <c r="AO10" s="127">
        <f t="shared" ca="1" si="25"/>
        <v>3.7126484953096699</v>
      </c>
      <c r="AP10" s="127">
        <f t="shared" ref="AP10:AP42" ca="1" si="56">EXP(AO10)</f>
        <v>40.962151053612324</v>
      </c>
      <c r="AR10" s="121">
        <f>Transport!$A23</f>
        <v>44378</v>
      </c>
      <c r="AS10" s="131">
        <v>0</v>
      </c>
      <c r="AT10" s="15">
        <f t="shared" si="26"/>
        <v>0</v>
      </c>
      <c r="AU10" s="98">
        <f t="shared" si="27"/>
        <v>0</v>
      </c>
      <c r="AV10" s="128">
        <f>IF(AU10&gt;0,4,0)</f>
        <v>0</v>
      </c>
      <c r="AW10" s="128">
        <f t="shared" si="28"/>
        <v>0</v>
      </c>
      <c r="AX10" s="15">
        <f t="shared" si="29"/>
        <v>0</v>
      </c>
      <c r="AY10" s="127">
        <f t="shared" ca="1" si="30"/>
        <v>3.6064594432489883</v>
      </c>
      <c r="AZ10" s="127">
        <f t="shared" ca="1" si="1"/>
        <v>36.835403828525578</v>
      </c>
      <c r="BB10" s="121">
        <f>Transport!$A23</f>
        <v>44378</v>
      </c>
      <c r="BC10" s="131">
        <v>0</v>
      </c>
      <c r="BD10" s="15">
        <f t="shared" si="31"/>
        <v>0</v>
      </c>
      <c r="BE10" s="98">
        <f t="shared" si="32"/>
        <v>0</v>
      </c>
      <c r="BF10" s="128">
        <f>IF(BE10&gt;0,4,0)</f>
        <v>0</v>
      </c>
      <c r="BG10" s="128">
        <f t="shared" si="33"/>
        <v>0</v>
      </c>
      <c r="BH10" s="15">
        <f t="shared" si="34"/>
        <v>0</v>
      </c>
      <c r="BI10" s="127">
        <f t="shared" ca="1" si="35"/>
        <v>3.6618804839688135</v>
      </c>
      <c r="BJ10" s="127">
        <f t="shared" ca="1" si="2"/>
        <v>38.934489757826995</v>
      </c>
      <c r="BL10" s="121">
        <f>Transport!$A23</f>
        <v>44378</v>
      </c>
      <c r="BM10" s="131">
        <v>0</v>
      </c>
      <c r="BN10" s="15">
        <f t="shared" si="36"/>
        <v>0</v>
      </c>
      <c r="BO10" s="98">
        <f t="shared" si="37"/>
        <v>0</v>
      </c>
      <c r="BP10" s="128">
        <f>IF(BO10&gt;0,4,0)</f>
        <v>0</v>
      </c>
      <c r="BQ10" s="128">
        <f t="shared" si="38"/>
        <v>0</v>
      </c>
      <c r="BR10" s="15">
        <f t="shared" si="39"/>
        <v>0</v>
      </c>
      <c r="BS10" s="127">
        <f t="shared" ca="1" si="40"/>
        <v>3.5664689987003353</v>
      </c>
      <c r="BT10" s="127">
        <f t="shared" ca="1" si="3"/>
        <v>35.391405164592854</v>
      </c>
      <c r="BZ10" s="583">
        <f t="shared" si="42"/>
        <v>0</v>
      </c>
      <c r="CA10" s="121">
        <f>Transport!$A23</f>
        <v>44378</v>
      </c>
      <c r="CB10" s="73">
        <f t="shared" si="43"/>
        <v>0</v>
      </c>
      <c r="CC10" s="15">
        <f t="shared" si="44"/>
        <v>0</v>
      </c>
      <c r="CD10" s="98">
        <f t="shared" si="45"/>
        <v>0</v>
      </c>
      <c r="CE10" s="128">
        <f>IF(CD10&gt;0,4,0)</f>
        <v>0</v>
      </c>
      <c r="CF10" s="128">
        <f t="shared" si="46"/>
        <v>0</v>
      </c>
      <c r="CG10" s="15">
        <f t="shared" si="47"/>
        <v>0</v>
      </c>
      <c r="CH10" s="127">
        <f t="shared" ca="1" si="48"/>
        <v>3.6163512010821424</v>
      </c>
      <c r="CI10" s="127">
        <f t="shared" ca="1" si="4"/>
        <v>37.201578794174765</v>
      </c>
      <c r="CY10" s="42">
        <f>Log!G96</f>
        <v>45017</v>
      </c>
      <c r="CZ10" s="156" t="e">
        <f>Log!J96</f>
        <v>#DIV/0!</v>
      </c>
      <c r="DA10" s="51"/>
      <c r="DB10" s="121">
        <f>Transport!$A23</f>
        <v>44378</v>
      </c>
      <c r="DC10" s="159">
        <v>0</v>
      </c>
      <c r="DD10" s="15">
        <f t="shared" si="49"/>
        <v>0</v>
      </c>
      <c r="DE10" s="98">
        <f t="shared" si="50"/>
        <v>0</v>
      </c>
      <c r="DF10" s="128">
        <f>IF(DE10&gt;0,4,0)</f>
        <v>0</v>
      </c>
      <c r="DG10" s="128">
        <f t="shared" si="51"/>
        <v>0</v>
      </c>
      <c r="DH10" s="15">
        <f t="shared" si="52"/>
        <v>0</v>
      </c>
      <c r="DI10" s="127" t="e">
        <f t="shared" si="5"/>
        <v>#DIV/0!</v>
      </c>
      <c r="DJ10" s="127" t="str">
        <f t="shared" si="6"/>
        <v/>
      </c>
      <c r="DQ10" s="280">
        <f>Transport!$A23</f>
        <v>44378</v>
      </c>
      <c r="DR10" s="13">
        <f t="shared" si="53"/>
        <v>1</v>
      </c>
      <c r="DS10" s="281">
        <f t="shared" si="54"/>
        <v>40.350388620093234</v>
      </c>
      <c r="DT10" s="295">
        <f t="shared" ca="1" si="55"/>
        <v>40.962151053612324</v>
      </c>
      <c r="DX10" s="121">
        <f>Transport!$A23</f>
        <v>44378</v>
      </c>
      <c r="DY10" s="2"/>
      <c r="DZ10" s="120"/>
      <c r="EA10" s="66"/>
      <c r="EC10" s="121">
        <f>Transport!$A23</f>
        <v>44378</v>
      </c>
      <c r="ED10" s="2"/>
      <c r="EE10" s="120"/>
      <c r="EF10" s="66"/>
      <c r="EH10" s="121">
        <f>Transport!$A23</f>
        <v>44378</v>
      </c>
      <c r="EI10" s="2"/>
      <c r="EJ10" s="120"/>
      <c r="EK10" s="66"/>
    </row>
    <row r="11" spans="1:141" x14ac:dyDescent="0.2">
      <c r="A11" s="146" t="str">
        <f ca="1">TEXT(Y46,0)&amp;" Month Least Square Annual Trend"</f>
        <v>36 Month Least Square Annual Trend</v>
      </c>
      <c r="B11" s="30"/>
      <c r="C11" s="30"/>
      <c r="D11" s="30"/>
      <c r="E11" s="70">
        <f ca="1">+$AI$56</f>
        <v>-1.4099891847602519E-2</v>
      </c>
      <c r="F11" s="70">
        <f ca="1">+AI118</f>
        <v>-1.4099891847602519E-2</v>
      </c>
      <c r="G11" s="70">
        <f ca="1">+AI180</f>
        <v>-2.0919267130664165E-2</v>
      </c>
      <c r="H11" s="70">
        <f ca="1">+$AI$242</f>
        <v>-2.0919267130664165E-2</v>
      </c>
      <c r="I11" s="67"/>
      <c r="J11" s="228">
        <f t="shared" si="7"/>
        <v>1</v>
      </c>
      <c r="K11" s="121">
        <f>Transport!$A24</f>
        <v>44409</v>
      </c>
      <c r="L11" s="73">
        <f>Transport!$F24</f>
        <v>47.798624963803547</v>
      </c>
      <c r="M11" s="574">
        <f>Transport!J24</f>
        <v>47.798624963803547</v>
      </c>
      <c r="N11" s="120"/>
      <c r="O11">
        <f t="shared" si="8"/>
        <v>1</v>
      </c>
      <c r="P11" s="241">
        <f t="shared" si="9"/>
        <v>44.795601437525484</v>
      </c>
      <c r="Q11" s="73">
        <f t="shared" si="10"/>
        <v>44.795601437525484</v>
      </c>
      <c r="S11">
        <f t="shared" si="11"/>
        <v>1</v>
      </c>
      <c r="T11" s="73">
        <f t="shared" si="12"/>
        <v>44.671127653088661</v>
      </c>
      <c r="U11" s="73">
        <f t="shared" si="13"/>
        <v>44.671127653088661</v>
      </c>
      <c r="V11" s="2">
        <v>5</v>
      </c>
      <c r="X11" s="121">
        <f>Transport!$A24</f>
        <v>44409</v>
      </c>
      <c r="Y11" s="73">
        <f t="shared" si="0"/>
        <v>47.798624963803547</v>
      </c>
      <c r="Z11" s="15">
        <f t="shared" si="14"/>
        <v>3.8669968726360238</v>
      </c>
      <c r="AA11" s="98">
        <f t="shared" si="15"/>
        <v>1</v>
      </c>
      <c r="AB11" s="128">
        <f>IF(AA11&gt;0,5,0)</f>
        <v>5</v>
      </c>
      <c r="AC11" s="128">
        <f t="shared" si="16"/>
        <v>25</v>
      </c>
      <c r="AD11" s="15">
        <f t="shared" si="17"/>
        <v>19.334984363180119</v>
      </c>
      <c r="AE11" s="127">
        <f t="shared" ca="1" si="18"/>
        <v>3.6959947540733298</v>
      </c>
      <c r="AF11" s="127">
        <f t="shared" ca="1" si="19"/>
        <v>40.285626954055992</v>
      </c>
      <c r="AH11" s="121">
        <f>Transport!$A24</f>
        <v>44409</v>
      </c>
      <c r="AI11" s="73">
        <f t="shared" si="20"/>
        <v>44.795601437525484</v>
      </c>
      <c r="AJ11" s="15">
        <f t="shared" si="21"/>
        <v>3.80210995240266</v>
      </c>
      <c r="AK11" s="98">
        <f t="shared" si="22"/>
        <v>1</v>
      </c>
      <c r="AL11" s="128">
        <f>IF(AK11&gt;0,5,0)</f>
        <v>5</v>
      </c>
      <c r="AM11" s="128">
        <f t="shared" si="23"/>
        <v>25</v>
      </c>
      <c r="AN11" s="15">
        <f t="shared" si="24"/>
        <v>19.010549762013301</v>
      </c>
      <c r="AO11" s="127">
        <f t="shared" ca="1" si="25"/>
        <v>3.7114651420011704</v>
      </c>
      <c r="AP11" s="127">
        <f t="shared" ca="1" si="56"/>
        <v>40.913707025493366</v>
      </c>
      <c r="AR11" s="121">
        <f>Transport!$A24</f>
        <v>44409</v>
      </c>
      <c r="AS11" s="131">
        <v>0</v>
      </c>
      <c r="AT11" s="15">
        <f t="shared" si="26"/>
        <v>0</v>
      </c>
      <c r="AU11" s="98">
        <f t="shared" si="27"/>
        <v>0</v>
      </c>
      <c r="AV11" s="128">
        <f>IF(AU11&gt;0,5,0)</f>
        <v>0</v>
      </c>
      <c r="AW11" s="128">
        <f t="shared" si="28"/>
        <v>0</v>
      </c>
      <c r="AX11" s="15">
        <f t="shared" si="29"/>
        <v>0</v>
      </c>
      <c r="AY11" s="127">
        <f t="shared" ca="1" si="30"/>
        <v>3.6101482434133998</v>
      </c>
      <c r="AZ11" s="127">
        <f t="shared" ca="1" si="1"/>
        <v>36.971533194876777</v>
      </c>
      <c r="BB11" s="121">
        <f>Transport!$A24</f>
        <v>44409</v>
      </c>
      <c r="BC11" s="131">
        <v>0</v>
      </c>
      <c r="BD11" s="15">
        <f t="shared" si="31"/>
        <v>0</v>
      </c>
      <c r="BE11" s="98">
        <f t="shared" si="32"/>
        <v>0</v>
      </c>
      <c r="BF11" s="128">
        <f>IF(BE11&gt;0,5,0)</f>
        <v>0</v>
      </c>
      <c r="BG11" s="128">
        <f t="shared" si="33"/>
        <v>0</v>
      </c>
      <c r="BH11" s="15">
        <f t="shared" si="34"/>
        <v>0</v>
      </c>
      <c r="BI11" s="127">
        <f t="shared" ca="1" si="35"/>
        <v>3.6631412748021455</v>
      </c>
      <c r="BJ11" s="127">
        <f t="shared" ca="1" si="2"/>
        <v>38.983608963629699</v>
      </c>
      <c r="BL11" s="121">
        <f>Transport!$A24</f>
        <v>44409</v>
      </c>
      <c r="BM11" s="131">
        <v>0</v>
      </c>
      <c r="BN11" s="15">
        <f t="shared" si="36"/>
        <v>0</v>
      </c>
      <c r="BO11" s="98">
        <f t="shared" si="37"/>
        <v>0</v>
      </c>
      <c r="BP11" s="128">
        <f>IF(BO11&gt;0,5,0)</f>
        <v>0</v>
      </c>
      <c r="BQ11" s="128">
        <f t="shared" si="38"/>
        <v>0</v>
      </c>
      <c r="BR11" s="15">
        <f t="shared" si="39"/>
        <v>0</v>
      </c>
      <c r="BS11" s="127">
        <f t="shared" ca="1" si="40"/>
        <v>3.571596642952469</v>
      </c>
      <c r="BT11" s="127">
        <f t="shared" ca="1" si="3"/>
        <v>35.57334576455299</v>
      </c>
      <c r="BW11" s="227" t="s">
        <v>92</v>
      </c>
      <c r="BZ11" s="583">
        <f t="shared" si="42"/>
        <v>0</v>
      </c>
      <c r="CA11" s="121">
        <f>Transport!$A24</f>
        <v>44409</v>
      </c>
      <c r="CB11" s="73">
        <f t="shared" si="43"/>
        <v>0</v>
      </c>
      <c r="CC11" s="15">
        <f t="shared" si="44"/>
        <v>0</v>
      </c>
      <c r="CD11" s="98">
        <f t="shared" si="45"/>
        <v>0</v>
      </c>
      <c r="CE11" s="128">
        <f>IF(CD11&gt;0,5,0)</f>
        <v>0</v>
      </c>
      <c r="CF11" s="128">
        <f t="shared" si="46"/>
        <v>0</v>
      </c>
      <c r="CG11" s="15">
        <f t="shared" si="47"/>
        <v>0</v>
      </c>
      <c r="CH11" s="127">
        <f t="shared" ca="1" si="48"/>
        <v>3.6199580801050217</v>
      </c>
      <c r="CI11" s="127">
        <f t="shared" ca="1" si="4"/>
        <v>37.336002667937585</v>
      </c>
      <c r="CY11" s="42">
        <f>Log!G95</f>
        <v>45047</v>
      </c>
      <c r="CZ11" s="156" t="e">
        <f>Log!J95</f>
        <v>#DIV/0!</v>
      </c>
      <c r="DA11" s="51"/>
      <c r="DB11" s="121">
        <f>Transport!$A24</f>
        <v>44409</v>
      </c>
      <c r="DC11" s="159">
        <v>0</v>
      </c>
      <c r="DD11" s="15">
        <f t="shared" si="49"/>
        <v>0</v>
      </c>
      <c r="DE11" s="98">
        <f t="shared" si="50"/>
        <v>0</v>
      </c>
      <c r="DF11" s="128">
        <f>IF(DE11&gt;0,5,0)</f>
        <v>0</v>
      </c>
      <c r="DG11" s="128">
        <f t="shared" si="51"/>
        <v>0</v>
      </c>
      <c r="DH11" s="15">
        <f t="shared" si="52"/>
        <v>0</v>
      </c>
      <c r="DI11" s="127" t="e">
        <f t="shared" si="5"/>
        <v>#DIV/0!</v>
      </c>
      <c r="DJ11" s="127" t="str">
        <f t="shared" si="6"/>
        <v/>
      </c>
      <c r="DQ11" s="280">
        <f>Transport!$A24</f>
        <v>44409</v>
      </c>
      <c r="DR11" s="13">
        <f t="shared" si="53"/>
        <v>1</v>
      </c>
      <c r="DS11" s="281">
        <f t="shared" si="54"/>
        <v>47.798624963803547</v>
      </c>
      <c r="DT11" s="295">
        <f t="shared" ca="1" si="55"/>
        <v>40.913707025493366</v>
      </c>
      <c r="DX11" s="121">
        <f>Transport!$A24</f>
        <v>44409</v>
      </c>
      <c r="DY11" s="2"/>
      <c r="DZ11" s="120"/>
      <c r="EA11" s="66"/>
      <c r="EC11" s="121">
        <f>Transport!$A24</f>
        <v>44409</v>
      </c>
      <c r="ED11" s="2"/>
      <c r="EE11" s="120"/>
      <c r="EF11" s="66"/>
      <c r="EH11" s="121">
        <f>Transport!$A24</f>
        <v>44409</v>
      </c>
      <c r="EI11" s="2"/>
      <c r="EJ11" s="120"/>
      <c r="EK11" s="66"/>
    </row>
    <row r="12" spans="1:141" x14ac:dyDescent="0.2">
      <c r="A12" s="146" t="str">
        <f ca="1">TEXT(AS46,0)&amp;" Month Least Square Annual Trend"</f>
        <v>24 Month Least Square Annual Trend</v>
      </c>
      <c r="B12" s="30"/>
      <c r="C12" s="30"/>
      <c r="D12" s="30"/>
      <c r="E12" s="70">
        <f ca="1">+$AS$56</f>
        <v>4.525994112568732E-2</v>
      </c>
      <c r="F12" s="70">
        <f ca="1">+AS118</f>
        <v>4.525994112568732E-2</v>
      </c>
      <c r="G12" s="70">
        <f ca="1">+$AS$180</f>
        <v>3.333535781468E-2</v>
      </c>
      <c r="H12" s="70">
        <f ca="1">+$AS$242</f>
        <v>3.333535781468E-2</v>
      </c>
      <c r="J12" s="228">
        <f t="shared" si="7"/>
        <v>1</v>
      </c>
      <c r="K12" s="121">
        <f>Transport!$A25</f>
        <v>44440</v>
      </c>
      <c r="L12" s="73">
        <f>Transport!$F25</f>
        <v>46.237790728679677</v>
      </c>
      <c r="M12" s="574">
        <f>Transport!J25</f>
        <v>46.237790728679677</v>
      </c>
      <c r="N12" s="120"/>
      <c r="O12">
        <f t="shared" si="8"/>
        <v>1</v>
      </c>
      <c r="P12" s="241">
        <f t="shared" si="9"/>
        <v>47.219513754038104</v>
      </c>
      <c r="Q12" s="73">
        <f t="shared" si="10"/>
        <v>47.219513754038104</v>
      </c>
      <c r="S12">
        <f t="shared" si="11"/>
        <v>1</v>
      </c>
      <c r="T12" s="73">
        <f t="shared" si="12"/>
        <v>46.367390379341394</v>
      </c>
      <c r="U12" s="73">
        <f t="shared" si="13"/>
        <v>46.367390379341394</v>
      </c>
      <c r="V12" s="2">
        <v>6</v>
      </c>
      <c r="X12" s="121">
        <f>Transport!$A25</f>
        <v>44440</v>
      </c>
      <c r="Y12" s="73">
        <f t="shared" si="0"/>
        <v>46.237790728679677</v>
      </c>
      <c r="Z12" s="15">
        <f t="shared" si="14"/>
        <v>3.8337974448636962</v>
      </c>
      <c r="AA12" s="98">
        <f t="shared" si="15"/>
        <v>1</v>
      </c>
      <c r="AB12" s="128">
        <f>IF(AA12&gt;0,6,0)</f>
        <v>6</v>
      </c>
      <c r="AC12" s="128">
        <f t="shared" si="16"/>
        <v>36</v>
      </c>
      <c r="AD12" s="15">
        <f t="shared" si="17"/>
        <v>23.002784669182176</v>
      </c>
      <c r="AE12" s="127">
        <f t="shared" ca="1" si="18"/>
        <v>3.6955156803940929</v>
      </c>
      <c r="AF12" s="127">
        <f t="shared" ca="1" si="19"/>
        <v>40.266331792801736</v>
      </c>
      <c r="AH12" s="121">
        <f>Transport!$A25</f>
        <v>44440</v>
      </c>
      <c r="AI12" s="73">
        <f t="shared" si="20"/>
        <v>47.219513754038104</v>
      </c>
      <c r="AJ12" s="15">
        <f t="shared" si="21"/>
        <v>3.8548072341464508</v>
      </c>
      <c r="AK12" s="98">
        <f t="shared" si="22"/>
        <v>1</v>
      </c>
      <c r="AL12" s="128">
        <f>IF(AK12&gt;0,6,0)</f>
        <v>6</v>
      </c>
      <c r="AM12" s="128">
        <f t="shared" si="23"/>
        <v>36</v>
      </c>
      <c r="AN12" s="15">
        <f t="shared" si="24"/>
        <v>23.128843404878705</v>
      </c>
      <c r="AO12" s="127">
        <f t="shared" ca="1" si="25"/>
        <v>3.7102817886926709</v>
      </c>
      <c r="AP12" s="127">
        <f t="shared" ca="1" si="56"/>
        <v>40.865320289870041</v>
      </c>
      <c r="AR12" s="121">
        <f>Transport!$A25</f>
        <v>44440</v>
      </c>
      <c r="AS12" s="131">
        <v>0</v>
      </c>
      <c r="AT12" s="15">
        <f t="shared" si="26"/>
        <v>0</v>
      </c>
      <c r="AU12" s="98">
        <f t="shared" si="27"/>
        <v>0</v>
      </c>
      <c r="AV12" s="128">
        <f>IF(AU12&gt;0,6,0)</f>
        <v>0</v>
      </c>
      <c r="AW12" s="128">
        <f t="shared" si="28"/>
        <v>0</v>
      </c>
      <c r="AX12" s="15">
        <f t="shared" si="29"/>
        <v>0</v>
      </c>
      <c r="AY12" s="127">
        <f t="shared" ca="1" si="30"/>
        <v>3.6138370435778118</v>
      </c>
      <c r="AZ12" s="127">
        <f t="shared" ca="1" si="1"/>
        <v>37.10816564256978</v>
      </c>
      <c r="BB12" s="121">
        <f>Transport!$A25</f>
        <v>44440</v>
      </c>
      <c r="BC12" s="131">
        <v>0</v>
      </c>
      <c r="BD12" s="15">
        <f t="shared" si="31"/>
        <v>0</v>
      </c>
      <c r="BE12" s="98">
        <f t="shared" si="32"/>
        <v>0</v>
      </c>
      <c r="BF12" s="128">
        <f>IF(BE12&gt;0,6,0)</f>
        <v>0</v>
      </c>
      <c r="BG12" s="128">
        <f t="shared" si="33"/>
        <v>0</v>
      </c>
      <c r="BH12" s="15">
        <f t="shared" si="34"/>
        <v>0</v>
      </c>
      <c r="BI12" s="127">
        <f t="shared" ca="1" si="35"/>
        <v>3.664402065635477</v>
      </c>
      <c r="BJ12" s="127">
        <f t="shared" ca="1" si="2"/>
        <v>39.032790137532999</v>
      </c>
      <c r="BL12" s="121">
        <f>Transport!$A25</f>
        <v>44440</v>
      </c>
      <c r="BM12" s="131">
        <v>0</v>
      </c>
      <c r="BN12" s="15">
        <f t="shared" si="36"/>
        <v>0</v>
      </c>
      <c r="BO12" s="98">
        <f t="shared" si="37"/>
        <v>0</v>
      </c>
      <c r="BP12" s="128">
        <f>IF(BO12&gt;0,6,0)</f>
        <v>0</v>
      </c>
      <c r="BQ12" s="128">
        <f t="shared" si="38"/>
        <v>0</v>
      </c>
      <c r="BR12" s="15">
        <f t="shared" si="39"/>
        <v>0</v>
      </c>
      <c r="BS12" s="127">
        <f t="shared" ca="1" si="40"/>
        <v>3.5767242872046023</v>
      </c>
      <c r="BT12" s="127">
        <f t="shared" ca="1" si="3"/>
        <v>35.756221687136211</v>
      </c>
      <c r="BW12" t="s">
        <v>1023</v>
      </c>
      <c r="BX12" s="582">
        <f>DATE(BY8,BX8,1)</f>
        <v>44621</v>
      </c>
      <c r="BZ12" s="583">
        <f t="shared" si="42"/>
        <v>0</v>
      </c>
      <c r="CA12" s="121">
        <f>Transport!$A25</f>
        <v>44440</v>
      </c>
      <c r="CB12" s="73">
        <f t="shared" si="43"/>
        <v>0</v>
      </c>
      <c r="CC12" s="15">
        <f t="shared" si="44"/>
        <v>0</v>
      </c>
      <c r="CD12" s="98">
        <f t="shared" si="45"/>
        <v>0</v>
      </c>
      <c r="CE12" s="128">
        <f>IF(CD12&gt;0,6,0)</f>
        <v>0</v>
      </c>
      <c r="CF12" s="128">
        <f t="shared" si="46"/>
        <v>0</v>
      </c>
      <c r="CG12" s="15">
        <f t="shared" si="47"/>
        <v>0</v>
      </c>
      <c r="CH12" s="127">
        <f t="shared" ca="1" si="48"/>
        <v>3.6235649591279011</v>
      </c>
      <c r="CI12" s="127">
        <f t="shared" ca="1" si="4"/>
        <v>37.470912267801907</v>
      </c>
      <c r="CY12" s="42">
        <f>Log!G94</f>
        <v>45078</v>
      </c>
      <c r="CZ12" s="156" t="e">
        <f ca="1">Log!J94</f>
        <v>#DIV/0!</v>
      </c>
      <c r="DA12" s="51"/>
      <c r="DB12" s="121">
        <f>Transport!$A25</f>
        <v>44440</v>
      </c>
      <c r="DC12" s="159">
        <v>0</v>
      </c>
      <c r="DD12" s="15">
        <f t="shared" si="49"/>
        <v>0</v>
      </c>
      <c r="DE12" s="98">
        <f t="shared" si="50"/>
        <v>0</v>
      </c>
      <c r="DF12" s="128">
        <f>IF(DE12&gt;0,6,0)</f>
        <v>0</v>
      </c>
      <c r="DG12" s="128">
        <f t="shared" si="51"/>
        <v>0</v>
      </c>
      <c r="DH12" s="15">
        <f t="shared" si="52"/>
        <v>0</v>
      </c>
      <c r="DI12" s="127" t="e">
        <f t="shared" si="5"/>
        <v>#DIV/0!</v>
      </c>
      <c r="DJ12" s="127" t="str">
        <f t="shared" si="6"/>
        <v/>
      </c>
      <c r="DQ12" s="280">
        <f>Transport!$A25</f>
        <v>44440</v>
      </c>
      <c r="DR12" s="13">
        <f t="shared" si="53"/>
        <v>1</v>
      </c>
      <c r="DS12" s="281">
        <f t="shared" si="54"/>
        <v>46.237790728679677</v>
      </c>
      <c r="DT12" s="295">
        <f t="shared" ca="1" si="55"/>
        <v>40.865320289870041</v>
      </c>
      <c r="DX12" s="121">
        <f>Transport!$A25</f>
        <v>44440</v>
      </c>
      <c r="DY12" s="2"/>
      <c r="DZ12" s="120"/>
      <c r="EA12" s="66"/>
      <c r="EC12" s="121">
        <f>Transport!$A25</f>
        <v>44440</v>
      </c>
      <c r="ED12" s="2"/>
      <c r="EE12" s="120"/>
      <c r="EF12" s="66"/>
      <c r="EH12" s="121">
        <f>Transport!$A25</f>
        <v>44440</v>
      </c>
      <c r="EI12" s="2"/>
      <c r="EJ12" s="120"/>
      <c r="EK12" s="66"/>
    </row>
    <row r="13" spans="1:141" x14ac:dyDescent="0.2">
      <c r="A13" s="146" t="str">
        <f ca="1">TEXT(BC46,0)&amp;" Month Least Square Annual Trend"</f>
        <v>18 Month Least Square Annual Trend</v>
      </c>
      <c r="B13" s="30"/>
      <c r="C13" s="30"/>
      <c r="D13" s="30"/>
      <c r="E13" s="70">
        <f ca="1">+$BC$56</f>
        <v>1.5244520117340787E-2</v>
      </c>
      <c r="F13" s="70">
        <f ca="1">+BC$118</f>
        <v>1.5244520117340787E-2</v>
      </c>
      <c r="G13" s="70">
        <f ca="1">+$BC$180</f>
        <v>2.6130065129465363E-2</v>
      </c>
      <c r="H13" s="70">
        <f ca="1">+$BC$242</f>
        <v>2.6130065129465363E-2</v>
      </c>
      <c r="J13" s="228">
        <f t="shared" si="7"/>
        <v>1</v>
      </c>
      <c r="K13" s="121">
        <f>Transport!$A26</f>
        <v>44470</v>
      </c>
      <c r="L13" s="73">
        <f>Transport!$F26</f>
        <v>47.622125569631088</v>
      </c>
      <c r="M13" s="574">
        <f>Transport!J26</f>
        <v>47.622125569631088</v>
      </c>
      <c r="N13" s="120"/>
      <c r="O13">
        <f t="shared" si="8"/>
        <v>1</v>
      </c>
      <c r="P13" s="241">
        <f t="shared" si="9"/>
        <v>47.029073647339999</v>
      </c>
      <c r="Q13" s="73">
        <f t="shared" si="10"/>
        <v>47.029073647339999</v>
      </c>
      <c r="S13">
        <f t="shared" si="11"/>
        <v>1</v>
      </c>
      <c r="T13" s="73">
        <f t="shared" si="12"/>
        <v>45.107662972008903</v>
      </c>
      <c r="U13" s="73">
        <f t="shared" si="13"/>
        <v>45.107662972008903</v>
      </c>
      <c r="V13" s="2">
        <v>7</v>
      </c>
      <c r="X13" s="121">
        <f>Transport!$A26</f>
        <v>44470</v>
      </c>
      <c r="Y13" s="73">
        <f t="shared" si="0"/>
        <v>47.622125569631088</v>
      </c>
      <c r="Z13" s="15">
        <f t="shared" si="14"/>
        <v>3.8632974761320886</v>
      </c>
      <c r="AA13" s="98">
        <f t="shared" si="15"/>
        <v>1</v>
      </c>
      <c r="AB13" s="128">
        <f>IF(AA13&gt;0,7,0)</f>
        <v>7</v>
      </c>
      <c r="AC13" s="128">
        <f t="shared" si="16"/>
        <v>49</v>
      </c>
      <c r="AD13" s="15">
        <f t="shared" si="17"/>
        <v>27.043082332924619</v>
      </c>
      <c r="AE13" s="127">
        <f t="shared" ca="1" si="18"/>
        <v>3.6950366067148557</v>
      </c>
      <c r="AF13" s="127">
        <f t="shared" ca="1" si="19"/>
        <v>40.247045873137473</v>
      </c>
      <c r="AH13" s="121">
        <f>Transport!$A26</f>
        <v>44470</v>
      </c>
      <c r="AI13" s="73">
        <f t="shared" si="20"/>
        <v>47.029073647339999</v>
      </c>
      <c r="AJ13" s="15">
        <f t="shared" si="21"/>
        <v>3.8507659987044938</v>
      </c>
      <c r="AK13" s="98">
        <f t="shared" si="22"/>
        <v>1</v>
      </c>
      <c r="AL13" s="128">
        <f>IF(AK13&gt;0,7,0)</f>
        <v>7</v>
      </c>
      <c r="AM13" s="128">
        <f t="shared" si="23"/>
        <v>49</v>
      </c>
      <c r="AN13" s="15">
        <f t="shared" si="24"/>
        <v>26.955361990931458</v>
      </c>
      <c r="AO13" s="127">
        <f t="shared" ca="1" si="25"/>
        <v>3.7090984353841718</v>
      </c>
      <c r="AP13" s="127">
        <f t="shared" ca="1" si="56"/>
        <v>40.816990778985208</v>
      </c>
      <c r="AR13" s="121">
        <f>Transport!$A26</f>
        <v>44470</v>
      </c>
      <c r="AS13" s="131">
        <v>0</v>
      </c>
      <c r="AT13" s="15">
        <f t="shared" si="26"/>
        <v>0</v>
      </c>
      <c r="AU13" s="98">
        <f t="shared" si="27"/>
        <v>0</v>
      </c>
      <c r="AV13" s="128">
        <f>IF(AU13&gt;0,7,0)</f>
        <v>0</v>
      </c>
      <c r="AW13" s="128">
        <f t="shared" si="28"/>
        <v>0</v>
      </c>
      <c r="AX13" s="15">
        <f t="shared" si="29"/>
        <v>0</v>
      </c>
      <c r="AY13" s="127">
        <f t="shared" ca="1" si="30"/>
        <v>3.6175258437422237</v>
      </c>
      <c r="AZ13" s="127">
        <f t="shared" ca="1" si="1"/>
        <v>37.245303030798084</v>
      </c>
      <c r="BB13" s="121">
        <f>Transport!$A26</f>
        <v>44470</v>
      </c>
      <c r="BC13" s="131">
        <v>0</v>
      </c>
      <c r="BD13" s="15">
        <f t="shared" si="31"/>
        <v>0</v>
      </c>
      <c r="BE13" s="98">
        <f t="shared" si="32"/>
        <v>0</v>
      </c>
      <c r="BF13" s="128">
        <f>IF(BE13&gt;0,7,0)</f>
        <v>0</v>
      </c>
      <c r="BG13" s="128">
        <f t="shared" si="33"/>
        <v>0</v>
      </c>
      <c r="BH13" s="15">
        <f t="shared" si="34"/>
        <v>0</v>
      </c>
      <c r="BI13" s="127">
        <f t="shared" ca="1" si="35"/>
        <v>3.665662856468809</v>
      </c>
      <c r="BJ13" s="127">
        <f t="shared" ca="1" si="2"/>
        <v>39.082033357715012</v>
      </c>
      <c r="BL13" s="121">
        <f>Transport!$A26</f>
        <v>44470</v>
      </c>
      <c r="BM13" s="131">
        <v>0</v>
      </c>
      <c r="BN13" s="15">
        <f t="shared" si="36"/>
        <v>0</v>
      </c>
      <c r="BO13" s="98">
        <f t="shared" si="37"/>
        <v>0</v>
      </c>
      <c r="BP13" s="128">
        <f>IF(BO13&gt;0,7,0)</f>
        <v>0</v>
      </c>
      <c r="BQ13" s="128">
        <f t="shared" si="38"/>
        <v>0</v>
      </c>
      <c r="BR13" s="15">
        <f t="shared" si="39"/>
        <v>0</v>
      </c>
      <c r="BS13" s="127">
        <f t="shared" ca="1" si="40"/>
        <v>3.5818519314567361</v>
      </c>
      <c r="BT13" s="127">
        <f t="shared" ca="1" si="3"/>
        <v>35.940037740661367</v>
      </c>
      <c r="BW13" t="s">
        <v>1024</v>
      </c>
      <c r="BX13" s="582">
        <f>DATE(BY9,BX9,1)</f>
        <v>45200</v>
      </c>
      <c r="BZ13" s="583">
        <f t="shared" si="42"/>
        <v>0</v>
      </c>
      <c r="CA13" s="121">
        <f>Transport!$A26</f>
        <v>44470</v>
      </c>
      <c r="CB13" s="73">
        <f t="shared" si="43"/>
        <v>0</v>
      </c>
      <c r="CC13" s="15">
        <f t="shared" si="44"/>
        <v>0</v>
      </c>
      <c r="CD13" s="98">
        <f t="shared" si="45"/>
        <v>0</v>
      </c>
      <c r="CE13" s="128">
        <f>IF(CD13&gt;0,7,0)</f>
        <v>0</v>
      </c>
      <c r="CF13" s="128">
        <f t="shared" si="46"/>
        <v>0</v>
      </c>
      <c r="CG13" s="15">
        <f t="shared" si="47"/>
        <v>0</v>
      </c>
      <c r="CH13" s="127">
        <f t="shared" ca="1" si="48"/>
        <v>3.6271718381507805</v>
      </c>
      <c r="CI13" s="127">
        <f t="shared" ca="1" si="4"/>
        <v>37.60630934888637</v>
      </c>
      <c r="CY13" s="42">
        <f>Log!G93</f>
        <v>45108</v>
      </c>
      <c r="CZ13" s="156" t="e">
        <f ca="1">Log!J93</f>
        <v>#DIV/0!</v>
      </c>
      <c r="DA13" s="51"/>
      <c r="DB13" s="121">
        <f>Transport!$A26</f>
        <v>44470</v>
      </c>
      <c r="DC13" s="159">
        <v>0</v>
      </c>
      <c r="DD13" s="15">
        <f t="shared" si="49"/>
        <v>0</v>
      </c>
      <c r="DE13" s="98">
        <f t="shared" si="50"/>
        <v>0</v>
      </c>
      <c r="DF13" s="128">
        <f>IF(DE13&gt;0,7,0)</f>
        <v>0</v>
      </c>
      <c r="DG13" s="128">
        <f t="shared" si="51"/>
        <v>0</v>
      </c>
      <c r="DH13" s="15">
        <f t="shared" si="52"/>
        <v>0</v>
      </c>
      <c r="DI13" s="127" t="e">
        <f t="shared" si="5"/>
        <v>#DIV/0!</v>
      </c>
      <c r="DJ13" s="127" t="str">
        <f t="shared" si="6"/>
        <v/>
      </c>
      <c r="DQ13" s="280">
        <f>Transport!$A26</f>
        <v>44470</v>
      </c>
      <c r="DR13" s="13">
        <f t="shared" si="53"/>
        <v>1</v>
      </c>
      <c r="DS13" s="281">
        <f t="shared" si="54"/>
        <v>47.622125569631088</v>
      </c>
      <c r="DT13" s="295">
        <f t="shared" ca="1" si="55"/>
        <v>40.816990778985208</v>
      </c>
      <c r="DX13" s="121">
        <f>Transport!$A26</f>
        <v>44470</v>
      </c>
      <c r="DY13" s="2"/>
      <c r="DZ13" s="120"/>
      <c r="EA13" s="66"/>
      <c r="EC13" s="121">
        <f>Transport!$A26</f>
        <v>44470</v>
      </c>
      <c r="ED13" s="2"/>
      <c r="EE13" s="120"/>
      <c r="EF13" s="66"/>
      <c r="EH13" s="121">
        <f>Transport!$A26</f>
        <v>44470</v>
      </c>
      <c r="EI13" s="2"/>
      <c r="EJ13" s="120"/>
      <c r="EK13" s="66"/>
    </row>
    <row r="14" spans="1:141" x14ac:dyDescent="0.2">
      <c r="A14" s="146" t="str">
        <f ca="1">TEXT(BM$46,0)&amp;" Month Least Square Annual Trend"</f>
        <v>12 Month Least Square Annual Trend</v>
      </c>
      <c r="B14" s="30"/>
      <c r="C14" s="30"/>
      <c r="D14" s="30"/>
      <c r="E14" s="70">
        <f ca="1">+$BM$56</f>
        <v>6.3464240804477656E-2</v>
      </c>
      <c r="F14" s="70">
        <f ca="1">+BM$118</f>
        <v>6.3464240804477656E-2</v>
      </c>
      <c r="G14" s="70">
        <f ca="1">+$BM$180</f>
        <v>5.7676941854371666E-2</v>
      </c>
      <c r="H14" s="70">
        <f ca="1">+$BM$242</f>
        <v>5.7676941854371666E-2</v>
      </c>
      <c r="J14" s="228">
        <f t="shared" si="7"/>
        <v>1</v>
      </c>
      <c r="K14" s="121">
        <f>Transport!$A27</f>
        <v>44501</v>
      </c>
      <c r="L14" s="73">
        <f>Transport!$F27</f>
        <v>47.227304643709218</v>
      </c>
      <c r="M14" s="574">
        <f>Transport!J27</f>
        <v>47.227304643709218</v>
      </c>
      <c r="N14" s="120"/>
      <c r="O14">
        <f t="shared" si="8"/>
        <v>1</v>
      </c>
      <c r="P14" s="241">
        <f t="shared" si="9"/>
        <v>47.93917932115729</v>
      </c>
      <c r="Q14" s="73">
        <f t="shared" si="10"/>
        <v>47.93917932115729</v>
      </c>
      <c r="S14">
        <f t="shared" si="11"/>
        <v>1</v>
      </c>
      <c r="T14" s="73">
        <f t="shared" si="12"/>
        <v>42.336241369951502</v>
      </c>
      <c r="U14" s="73">
        <f t="shared" si="13"/>
        <v>42.336241369951502</v>
      </c>
      <c r="V14" s="2">
        <v>8</v>
      </c>
      <c r="X14" s="121">
        <f>Transport!$A27</f>
        <v>44501</v>
      </c>
      <c r="Y14" s="73">
        <f t="shared" si="0"/>
        <v>47.227304643709218</v>
      </c>
      <c r="Z14" s="15">
        <f t="shared" si="14"/>
        <v>3.8549722135458833</v>
      </c>
      <c r="AA14" s="98">
        <f t="shared" si="15"/>
        <v>1</v>
      </c>
      <c r="AB14" s="128">
        <f>IF(AA14&gt;0,8,0)</f>
        <v>8</v>
      </c>
      <c r="AC14" s="128">
        <f t="shared" si="16"/>
        <v>64</v>
      </c>
      <c r="AD14" s="15">
        <f t="shared" si="17"/>
        <v>30.839777708367066</v>
      </c>
      <c r="AE14" s="127">
        <f t="shared" ca="1" si="18"/>
        <v>3.6945575330356184</v>
      </c>
      <c r="AF14" s="127">
        <f t="shared" ca="1" si="19"/>
        <v>40.227769190636891</v>
      </c>
      <c r="AH14" s="121">
        <f>Transport!$A27</f>
        <v>44501</v>
      </c>
      <c r="AI14" s="73">
        <f t="shared" si="20"/>
        <v>47.93917932115729</v>
      </c>
      <c r="AJ14" s="15">
        <f t="shared" si="21"/>
        <v>3.8699331099852259</v>
      </c>
      <c r="AK14" s="98">
        <f t="shared" si="22"/>
        <v>1</v>
      </c>
      <c r="AL14" s="128">
        <f>IF(AK14&gt;0,8,0)</f>
        <v>8</v>
      </c>
      <c r="AM14" s="128">
        <f t="shared" si="23"/>
        <v>64</v>
      </c>
      <c r="AN14" s="15">
        <f t="shared" si="24"/>
        <v>30.959464879881807</v>
      </c>
      <c r="AO14" s="127">
        <f t="shared" ca="1" si="25"/>
        <v>3.7079150820756723</v>
      </c>
      <c r="AP14" s="127">
        <f t="shared" ca="1" si="56"/>
        <v>40.768718425161786</v>
      </c>
      <c r="AR14" s="121">
        <f>Transport!$A27</f>
        <v>44501</v>
      </c>
      <c r="AS14" s="131">
        <v>0</v>
      </c>
      <c r="AT14" s="15">
        <f t="shared" si="26"/>
        <v>0</v>
      </c>
      <c r="AU14" s="98">
        <f t="shared" si="27"/>
        <v>0</v>
      </c>
      <c r="AV14" s="128">
        <f>IF(AU14&gt;0,8,0)</f>
        <v>0</v>
      </c>
      <c r="AW14" s="128">
        <f t="shared" si="28"/>
        <v>0</v>
      </c>
      <c r="AX14" s="15">
        <f t="shared" si="29"/>
        <v>0</v>
      </c>
      <c r="AY14" s="127">
        <f t="shared" ca="1" si="30"/>
        <v>3.6212146439066357</v>
      </c>
      <c r="AZ14" s="127">
        <f t="shared" ca="1" si="1"/>
        <v>37.382947225626083</v>
      </c>
      <c r="BB14" s="121">
        <f>Transport!$A27</f>
        <v>44501</v>
      </c>
      <c r="BC14" s="131">
        <v>0</v>
      </c>
      <c r="BD14" s="15">
        <f t="shared" si="31"/>
        <v>0</v>
      </c>
      <c r="BE14" s="98">
        <f t="shared" si="32"/>
        <v>0</v>
      </c>
      <c r="BF14" s="128">
        <f>IF(BE14&gt;0,8,0)</f>
        <v>0</v>
      </c>
      <c r="BG14" s="128">
        <f t="shared" si="33"/>
        <v>0</v>
      </c>
      <c r="BH14" s="15">
        <f t="shared" si="34"/>
        <v>0</v>
      </c>
      <c r="BI14" s="127">
        <f t="shared" ca="1" si="35"/>
        <v>3.6669236473021409</v>
      </c>
      <c r="BJ14" s="127">
        <f t="shared" ca="1" si="2"/>
        <v>39.131338702452446</v>
      </c>
      <c r="BL14" s="121">
        <f>Transport!$A27</f>
        <v>44501</v>
      </c>
      <c r="BM14" s="131">
        <v>0</v>
      </c>
      <c r="BN14" s="15">
        <f t="shared" si="36"/>
        <v>0</v>
      </c>
      <c r="BO14" s="98">
        <f t="shared" si="37"/>
        <v>0</v>
      </c>
      <c r="BP14" s="128">
        <f>IF(BO14&gt;0,8,0)</f>
        <v>0</v>
      </c>
      <c r="BQ14" s="128">
        <f t="shared" si="38"/>
        <v>0</v>
      </c>
      <c r="BR14" s="15">
        <f t="shared" si="39"/>
        <v>0</v>
      </c>
      <c r="BS14" s="127">
        <f t="shared" ca="1" si="40"/>
        <v>3.5869795757088694</v>
      </c>
      <c r="BT14" s="127">
        <f t="shared" ca="1" si="3"/>
        <v>36.124798758165902</v>
      </c>
      <c r="BZ14" s="583">
        <f t="shared" si="42"/>
        <v>0</v>
      </c>
      <c r="CA14" s="121">
        <f>Transport!$A27</f>
        <v>44501</v>
      </c>
      <c r="CB14" s="73">
        <f t="shared" si="43"/>
        <v>0</v>
      </c>
      <c r="CC14" s="15">
        <f t="shared" si="44"/>
        <v>0</v>
      </c>
      <c r="CD14" s="98">
        <f t="shared" si="45"/>
        <v>0</v>
      </c>
      <c r="CE14" s="128">
        <f>IF(CD14&gt;0,8,0)</f>
        <v>0</v>
      </c>
      <c r="CF14" s="128">
        <f t="shared" si="46"/>
        <v>0</v>
      </c>
      <c r="CG14" s="15">
        <f t="shared" si="47"/>
        <v>0</v>
      </c>
      <c r="CH14" s="127">
        <f t="shared" ca="1" si="48"/>
        <v>3.6307787171736599</v>
      </c>
      <c r="CI14" s="127">
        <f t="shared" ca="1" si="4"/>
        <v>37.742195672651533</v>
      </c>
      <c r="CY14" s="42">
        <f>Log!G92</f>
        <v>45139</v>
      </c>
      <c r="CZ14" s="156" t="e">
        <f ca="1">Log!J92</f>
        <v>#DIV/0!</v>
      </c>
      <c r="DA14" s="157"/>
      <c r="DB14" s="121">
        <f>Transport!$A27</f>
        <v>44501</v>
      </c>
      <c r="DC14" s="159">
        <v>0</v>
      </c>
      <c r="DD14" s="15">
        <f t="shared" si="49"/>
        <v>0</v>
      </c>
      <c r="DE14" s="98">
        <f t="shared" si="50"/>
        <v>0</v>
      </c>
      <c r="DF14" s="128">
        <f>IF(DE14&gt;0,8,0)</f>
        <v>0</v>
      </c>
      <c r="DG14" s="128">
        <f t="shared" si="51"/>
        <v>0</v>
      </c>
      <c r="DH14" s="15">
        <f t="shared" si="52"/>
        <v>0</v>
      </c>
      <c r="DI14" s="127" t="e">
        <f t="shared" si="5"/>
        <v>#DIV/0!</v>
      </c>
      <c r="DJ14" s="127" t="str">
        <f t="shared" si="6"/>
        <v/>
      </c>
      <c r="DQ14" s="280">
        <f>Transport!$A27</f>
        <v>44501</v>
      </c>
      <c r="DR14" s="13">
        <f t="shared" si="53"/>
        <v>1</v>
      </c>
      <c r="DS14" s="281">
        <f t="shared" si="54"/>
        <v>47.227304643709218</v>
      </c>
      <c r="DT14" s="295">
        <f t="shared" ca="1" si="55"/>
        <v>40.768718425161786</v>
      </c>
      <c r="DX14" s="121">
        <f>Transport!$A27</f>
        <v>44501</v>
      </c>
      <c r="DY14" s="2"/>
      <c r="DZ14" s="120"/>
      <c r="EA14" s="66"/>
      <c r="EC14" s="121">
        <f>Transport!$A27</f>
        <v>44501</v>
      </c>
      <c r="ED14" s="2"/>
      <c r="EE14" s="120"/>
      <c r="EF14" s="66"/>
      <c r="EH14" s="121">
        <f>Transport!$A27</f>
        <v>44501</v>
      </c>
      <c r="EI14" s="2"/>
      <c r="EJ14" s="120"/>
      <c r="EK14" s="66"/>
    </row>
    <row r="15" spans="1:141" x14ac:dyDescent="0.2">
      <c r="J15" s="228">
        <f t="shared" si="7"/>
        <v>1</v>
      </c>
      <c r="K15" s="121">
        <f>Transport!$A28</f>
        <v>44531</v>
      </c>
      <c r="L15" s="73">
        <f>Transport!$F28</f>
        <v>48.96810775013158</v>
      </c>
      <c r="M15" s="574">
        <f>Transport!J28</f>
        <v>48.96810775013158</v>
      </c>
      <c r="N15" s="120"/>
      <c r="O15">
        <f t="shared" si="8"/>
        <v>1</v>
      </c>
      <c r="P15" s="241">
        <f t="shared" si="9"/>
        <v>42.995812189979681</v>
      </c>
      <c r="Q15" s="73">
        <f t="shared" si="10"/>
        <v>42.995812189979681</v>
      </c>
      <c r="S15">
        <f t="shared" si="11"/>
        <v>1</v>
      </c>
      <c r="T15" s="73">
        <f t="shared" si="12"/>
        <v>41.137631121262963</v>
      </c>
      <c r="U15" s="73">
        <f t="shared" si="13"/>
        <v>41.137631121262963</v>
      </c>
      <c r="V15" s="2">
        <v>9</v>
      </c>
      <c r="X15" s="121">
        <f>Transport!$A28</f>
        <v>44531</v>
      </c>
      <c r="Y15" s="73">
        <f t="shared" si="0"/>
        <v>48.96810775013158</v>
      </c>
      <c r="Z15" s="15">
        <f t="shared" si="14"/>
        <v>3.8911692239656333</v>
      </c>
      <c r="AA15" s="98">
        <f t="shared" si="15"/>
        <v>1</v>
      </c>
      <c r="AB15" s="128">
        <f>IF(AA15&gt;0,9,0)</f>
        <v>9</v>
      </c>
      <c r="AC15" s="128">
        <f t="shared" si="16"/>
        <v>81</v>
      </c>
      <c r="AD15" s="15">
        <f t="shared" si="17"/>
        <v>35.020523015690699</v>
      </c>
      <c r="AE15" s="127">
        <f t="shared" ca="1" si="18"/>
        <v>3.6940784593563811</v>
      </c>
      <c r="AF15" s="127">
        <f t="shared" ca="1" si="19"/>
        <v>40.208501740875754</v>
      </c>
      <c r="AH15" s="121">
        <f>Transport!$A28</f>
        <v>44531</v>
      </c>
      <c r="AI15" s="73">
        <f t="shared" si="20"/>
        <v>42.995812189979681</v>
      </c>
      <c r="AJ15" s="15">
        <f t="shared" si="21"/>
        <v>3.7611027200200526</v>
      </c>
      <c r="AK15" s="98">
        <f t="shared" si="22"/>
        <v>1</v>
      </c>
      <c r="AL15" s="128">
        <f>IF(AK15&gt;0,9,0)</f>
        <v>9</v>
      </c>
      <c r="AM15" s="128">
        <f t="shared" si="23"/>
        <v>81</v>
      </c>
      <c r="AN15" s="15">
        <f t="shared" si="24"/>
        <v>33.849924480180476</v>
      </c>
      <c r="AO15" s="127">
        <f t="shared" ca="1" si="25"/>
        <v>3.7067317287671733</v>
      </c>
      <c r="AP15" s="127">
        <f t="shared" ca="1" si="56"/>
        <v>40.720503160802821</v>
      </c>
      <c r="AR15" s="121">
        <f>Transport!$A28</f>
        <v>44531</v>
      </c>
      <c r="AS15" s="131">
        <v>0</v>
      </c>
      <c r="AT15" s="15">
        <f t="shared" si="26"/>
        <v>0</v>
      </c>
      <c r="AU15" s="98">
        <f t="shared" si="27"/>
        <v>0</v>
      </c>
      <c r="AV15" s="128">
        <f>IF(AU15&gt;0,9,0)</f>
        <v>0</v>
      </c>
      <c r="AW15" s="128">
        <f t="shared" si="28"/>
        <v>0</v>
      </c>
      <c r="AX15" s="15">
        <f t="shared" si="29"/>
        <v>0</v>
      </c>
      <c r="AY15" s="127">
        <f t="shared" ca="1" si="30"/>
        <v>3.6249034440710477</v>
      </c>
      <c r="AZ15" s="127">
        <f t="shared" ca="1" si="1"/>
        <v>37.521100100014401</v>
      </c>
      <c r="BB15" s="121">
        <f>Transport!$A28</f>
        <v>44531</v>
      </c>
      <c r="BC15" s="131">
        <v>0</v>
      </c>
      <c r="BD15" s="15">
        <f t="shared" si="31"/>
        <v>0</v>
      </c>
      <c r="BE15" s="98">
        <f t="shared" si="32"/>
        <v>0</v>
      </c>
      <c r="BF15" s="128">
        <f>IF(BE15&gt;0,9,0)</f>
        <v>0</v>
      </c>
      <c r="BG15" s="128">
        <f t="shared" si="33"/>
        <v>0</v>
      </c>
      <c r="BH15" s="15">
        <f t="shared" si="34"/>
        <v>0</v>
      </c>
      <c r="BI15" s="127">
        <f t="shared" ca="1" si="35"/>
        <v>3.6681844381354729</v>
      </c>
      <c r="BJ15" s="127">
        <f t="shared" ca="1" si="2"/>
        <v>39.180706250120764</v>
      </c>
      <c r="BL15" s="121">
        <f>Transport!$A28</f>
        <v>44531</v>
      </c>
      <c r="BM15" s="131">
        <v>0</v>
      </c>
      <c r="BN15" s="15">
        <f t="shared" si="36"/>
        <v>0</v>
      </c>
      <c r="BO15" s="98">
        <f t="shared" si="37"/>
        <v>0</v>
      </c>
      <c r="BP15" s="128">
        <f>IF(BO15&gt;0,9,0)</f>
        <v>0</v>
      </c>
      <c r="BQ15" s="128">
        <f t="shared" si="38"/>
        <v>0</v>
      </c>
      <c r="BR15" s="15">
        <f t="shared" si="39"/>
        <v>0</v>
      </c>
      <c r="BS15" s="127">
        <f t="shared" ca="1" si="40"/>
        <v>3.5921072199610027</v>
      </c>
      <c r="BT15" s="127">
        <f t="shared" ca="1" si="3"/>
        <v>36.310509597533049</v>
      </c>
      <c r="BZ15" s="583">
        <f t="shared" si="42"/>
        <v>0</v>
      </c>
      <c r="CA15" s="121">
        <f>Transport!$A28</f>
        <v>44531</v>
      </c>
      <c r="CB15" s="73">
        <f t="shared" si="43"/>
        <v>0</v>
      </c>
      <c r="CC15" s="15">
        <f t="shared" si="44"/>
        <v>0</v>
      </c>
      <c r="CD15" s="98">
        <f t="shared" si="45"/>
        <v>0</v>
      </c>
      <c r="CE15" s="128">
        <f>IF(CD15&gt;0,9,0)</f>
        <v>0</v>
      </c>
      <c r="CF15" s="128">
        <f t="shared" si="46"/>
        <v>0</v>
      </c>
      <c r="CG15" s="15">
        <f t="shared" si="47"/>
        <v>0</v>
      </c>
      <c r="CH15" s="127">
        <f t="shared" ca="1" si="48"/>
        <v>3.6343855961965392</v>
      </c>
      <c r="CI15" s="127">
        <f t="shared" ca="1" si="4"/>
        <v>37.878573006922807</v>
      </c>
      <c r="CY15" s="42">
        <f>Log!G91</f>
        <v>45170</v>
      </c>
      <c r="CZ15" s="156" t="e">
        <f ca="1">Log!J91</f>
        <v>#DIV/0!</v>
      </c>
      <c r="DA15" s="157"/>
      <c r="DB15" s="121">
        <f>Transport!$A28</f>
        <v>44531</v>
      </c>
      <c r="DC15" s="159">
        <v>0</v>
      </c>
      <c r="DD15" s="15">
        <f t="shared" si="49"/>
        <v>0</v>
      </c>
      <c r="DE15" s="98">
        <f t="shared" si="50"/>
        <v>0</v>
      </c>
      <c r="DF15" s="128">
        <f>IF(DE15&gt;0,9,0)</f>
        <v>0</v>
      </c>
      <c r="DG15" s="128">
        <f t="shared" si="51"/>
        <v>0</v>
      </c>
      <c r="DH15" s="15">
        <f t="shared" si="52"/>
        <v>0</v>
      </c>
      <c r="DI15" s="127" t="e">
        <f t="shared" si="5"/>
        <v>#DIV/0!</v>
      </c>
      <c r="DJ15" s="127" t="str">
        <f t="shared" si="6"/>
        <v/>
      </c>
      <c r="DQ15" s="280">
        <f>Transport!$A28</f>
        <v>44531</v>
      </c>
      <c r="DR15" s="13">
        <f t="shared" si="53"/>
        <v>1</v>
      </c>
      <c r="DS15" s="281">
        <f t="shared" si="54"/>
        <v>48.96810775013158</v>
      </c>
      <c r="DT15" s="295">
        <f t="shared" ca="1" si="55"/>
        <v>40.720503160802821</v>
      </c>
      <c r="DX15" s="121">
        <f>Transport!$A28</f>
        <v>44531</v>
      </c>
      <c r="DY15" s="2"/>
      <c r="DZ15" s="120"/>
      <c r="EA15" s="66"/>
      <c r="EC15" s="121">
        <f>Transport!$A28</f>
        <v>44531</v>
      </c>
      <c r="ED15" s="2"/>
      <c r="EE15" s="120"/>
      <c r="EF15" s="66"/>
      <c r="EH15" s="121">
        <f>Transport!$A28</f>
        <v>44531</v>
      </c>
      <c r="EI15" s="2"/>
      <c r="EJ15" s="120"/>
      <c r="EK15" s="66"/>
    </row>
    <row r="16" spans="1:141" x14ac:dyDescent="0.2">
      <c r="J16" s="228">
        <f t="shared" si="7"/>
        <v>1</v>
      </c>
      <c r="K16" s="121">
        <f>Transport!$A29</f>
        <v>44562</v>
      </c>
      <c r="L16" s="73">
        <f>Transport!$F29</f>
        <v>32.792024176098245</v>
      </c>
      <c r="M16" s="574">
        <f>Transport!J29</f>
        <v>32.792024176098245</v>
      </c>
      <c r="N16" s="120"/>
      <c r="O16">
        <f t="shared" si="8"/>
        <v>1</v>
      </c>
      <c r="P16" s="241">
        <f t="shared" si="9"/>
        <v>37.643409092562997</v>
      </c>
      <c r="Q16" s="73">
        <f t="shared" si="10"/>
        <v>37.643409092562997</v>
      </c>
      <c r="S16">
        <f t="shared" si="11"/>
        <v>1</v>
      </c>
      <c r="T16" s="73">
        <f t="shared" si="12"/>
        <v>39.443743177339329</v>
      </c>
      <c r="U16" s="73">
        <f t="shared" si="13"/>
        <v>39.443743177339329</v>
      </c>
      <c r="V16" s="2">
        <v>10</v>
      </c>
      <c r="X16" s="121">
        <f>Transport!$A29</f>
        <v>44562</v>
      </c>
      <c r="Y16" s="73">
        <f t="shared" si="0"/>
        <v>32.792024176098245</v>
      </c>
      <c r="Z16" s="15">
        <f t="shared" si="14"/>
        <v>3.4901853204577491</v>
      </c>
      <c r="AA16" s="98">
        <f t="shared" si="15"/>
        <v>1</v>
      </c>
      <c r="AB16" s="128">
        <f>IF(AA16&gt;0,10,0)</f>
        <v>10</v>
      </c>
      <c r="AC16" s="128">
        <f t="shared" si="16"/>
        <v>100</v>
      </c>
      <c r="AD16" s="15">
        <f t="shared" si="17"/>
        <v>34.901853204577492</v>
      </c>
      <c r="AE16" s="127">
        <f t="shared" ca="1" si="18"/>
        <v>3.6935993856771439</v>
      </c>
      <c r="AF16" s="127">
        <f t="shared" ca="1" si="19"/>
        <v>40.189243519431969</v>
      </c>
      <c r="AH16" s="121">
        <f>Transport!$A29</f>
        <v>44562</v>
      </c>
      <c r="AI16" s="73">
        <f t="shared" si="20"/>
        <v>37.643409092562997</v>
      </c>
      <c r="AJ16" s="15">
        <f t="shared" si="21"/>
        <v>3.6281578816191411</v>
      </c>
      <c r="AK16" s="98">
        <f t="shared" si="22"/>
        <v>1</v>
      </c>
      <c r="AL16" s="128">
        <f>IF(AK16&gt;0,10,0)</f>
        <v>10</v>
      </c>
      <c r="AM16" s="128">
        <f t="shared" si="23"/>
        <v>100</v>
      </c>
      <c r="AN16" s="15">
        <f t="shared" si="24"/>
        <v>36.281578816191413</v>
      </c>
      <c r="AO16" s="127">
        <f t="shared" ca="1" si="25"/>
        <v>3.7055483754586738</v>
      </c>
      <c r="AP16" s="127">
        <f t="shared" ca="1" si="56"/>
        <v>40.672344918391232</v>
      </c>
      <c r="AR16" s="121">
        <f>Transport!$A29</f>
        <v>44562</v>
      </c>
      <c r="AS16" s="131">
        <v>0</v>
      </c>
      <c r="AT16" s="15">
        <f t="shared" si="26"/>
        <v>0</v>
      </c>
      <c r="AU16" s="98">
        <f t="shared" si="27"/>
        <v>0</v>
      </c>
      <c r="AV16" s="128">
        <f>IF(AU16&gt;0,10,0)</f>
        <v>0</v>
      </c>
      <c r="AW16" s="128">
        <f t="shared" si="28"/>
        <v>0</v>
      </c>
      <c r="AX16" s="15">
        <f t="shared" si="29"/>
        <v>0</v>
      </c>
      <c r="AY16" s="127">
        <f t="shared" ca="1" si="30"/>
        <v>3.6285922442354597</v>
      </c>
      <c r="AZ16" s="127">
        <f t="shared" ca="1" si="1"/>
        <v>37.659763533845421</v>
      </c>
      <c r="BB16" s="121">
        <f>Transport!$A29</f>
        <v>44562</v>
      </c>
      <c r="BC16" s="131">
        <v>0</v>
      </c>
      <c r="BD16" s="15">
        <f t="shared" si="31"/>
        <v>0</v>
      </c>
      <c r="BE16" s="98">
        <f t="shared" si="32"/>
        <v>0</v>
      </c>
      <c r="BF16" s="128">
        <f>IF(BE16&gt;0,10,0)</f>
        <v>0</v>
      </c>
      <c r="BG16" s="128">
        <f t="shared" si="33"/>
        <v>0</v>
      </c>
      <c r="BH16" s="15">
        <f t="shared" si="34"/>
        <v>0</v>
      </c>
      <c r="BI16" s="127">
        <f t="shared" ca="1" si="35"/>
        <v>3.6694452289688044</v>
      </c>
      <c r="BJ16" s="127">
        <f t="shared" ca="1" si="2"/>
        <v>39.230136079194288</v>
      </c>
      <c r="BL16" s="121">
        <f>Transport!$A29</f>
        <v>44562</v>
      </c>
      <c r="BM16" s="131">
        <v>0</v>
      </c>
      <c r="BN16" s="15">
        <f t="shared" si="36"/>
        <v>0</v>
      </c>
      <c r="BO16" s="98">
        <f t="shared" si="37"/>
        <v>0</v>
      </c>
      <c r="BP16" s="128">
        <f>IF(BO16&gt;0,10,0)</f>
        <v>0</v>
      </c>
      <c r="BQ16" s="128">
        <f t="shared" si="38"/>
        <v>0</v>
      </c>
      <c r="BR16" s="15">
        <f t="shared" si="39"/>
        <v>0</v>
      </c>
      <c r="BS16" s="127">
        <f t="shared" ca="1" si="40"/>
        <v>3.5972348642131364</v>
      </c>
      <c r="BT16" s="127">
        <f t="shared" ca="1" si="3"/>
        <v>36.497175141619515</v>
      </c>
      <c r="BZ16" s="583">
        <f t="shared" si="42"/>
        <v>0</v>
      </c>
      <c r="CA16" s="121">
        <f>Transport!$A29</f>
        <v>44562</v>
      </c>
      <c r="CB16" s="73">
        <f t="shared" si="43"/>
        <v>0</v>
      </c>
      <c r="CC16" s="15">
        <f t="shared" si="44"/>
        <v>0</v>
      </c>
      <c r="CD16" s="98">
        <f t="shared" si="45"/>
        <v>0</v>
      </c>
      <c r="CE16" s="128">
        <f>IF(CD16&gt;0,10,0)</f>
        <v>0</v>
      </c>
      <c r="CF16" s="128">
        <f t="shared" si="46"/>
        <v>0</v>
      </c>
      <c r="CG16" s="15">
        <f t="shared" si="47"/>
        <v>0</v>
      </c>
      <c r="CH16" s="127">
        <f t="shared" ca="1" si="48"/>
        <v>3.6379924752194186</v>
      </c>
      <c r="CI16" s="127">
        <f t="shared" ca="1" si="4"/>
        <v>38.015443125913443</v>
      </c>
      <c r="CY16" s="42">
        <f>Log!G90</f>
        <v>45200</v>
      </c>
      <c r="CZ16" s="156" t="e">
        <f ca="1">Log!J90</f>
        <v>#DIV/0!</v>
      </c>
      <c r="DA16" s="157"/>
      <c r="DB16" s="121">
        <f>Transport!$A29</f>
        <v>44562</v>
      </c>
      <c r="DC16" s="159">
        <v>0</v>
      </c>
      <c r="DD16" s="15">
        <f t="shared" si="49"/>
        <v>0</v>
      </c>
      <c r="DE16" s="98">
        <f t="shared" si="50"/>
        <v>0</v>
      </c>
      <c r="DF16" s="128">
        <f>IF(DE16&gt;0,10,0)</f>
        <v>0</v>
      </c>
      <c r="DG16" s="128">
        <f t="shared" si="51"/>
        <v>0</v>
      </c>
      <c r="DH16" s="15">
        <f t="shared" si="52"/>
        <v>0</v>
      </c>
      <c r="DI16" s="127" t="e">
        <f t="shared" si="5"/>
        <v>#DIV/0!</v>
      </c>
      <c r="DJ16" s="127" t="str">
        <f t="shared" si="6"/>
        <v/>
      </c>
      <c r="DQ16" s="280">
        <f>Transport!$A29</f>
        <v>44562</v>
      </c>
      <c r="DR16" s="13">
        <f t="shared" si="53"/>
        <v>1</v>
      </c>
      <c r="DS16" s="281">
        <f t="shared" si="54"/>
        <v>32.792024176098245</v>
      </c>
      <c r="DT16" s="295">
        <f t="shared" ca="1" si="55"/>
        <v>40.672344918391232</v>
      </c>
      <c r="DX16" s="121">
        <f>Transport!$A29</f>
        <v>44562</v>
      </c>
      <c r="DY16" s="2"/>
      <c r="DZ16" s="120"/>
      <c r="EA16" s="66"/>
      <c r="EC16" s="121">
        <f>Transport!$A29</f>
        <v>44562</v>
      </c>
      <c r="ED16" s="2"/>
      <c r="EE16" s="120"/>
      <c r="EF16" s="66"/>
      <c r="EH16" s="121">
        <f>Transport!$A29</f>
        <v>44562</v>
      </c>
      <c r="EI16" s="2"/>
      <c r="EJ16" s="120"/>
      <c r="EK16" s="66"/>
    </row>
    <row r="17" spans="1:141" x14ac:dyDescent="0.2">
      <c r="A17" t="s">
        <v>615</v>
      </c>
      <c r="D17" t="s">
        <v>728</v>
      </c>
      <c r="J17" s="228">
        <f t="shared" si="7"/>
        <v>1</v>
      </c>
      <c r="K17" s="121">
        <f>Transport!$A30</f>
        <v>44593</v>
      </c>
      <c r="L17" s="73">
        <f>Transport!$F30</f>
        <v>31.17009535145916</v>
      </c>
      <c r="M17" s="574">
        <f>Transport!J30</f>
        <v>31.17009535145916</v>
      </c>
      <c r="N17" s="120"/>
      <c r="O17">
        <f t="shared" si="8"/>
        <v>1</v>
      </c>
      <c r="P17" s="241">
        <f t="shared" si="9"/>
        <v>34.336082921368636</v>
      </c>
      <c r="Q17" s="73">
        <f t="shared" si="10"/>
        <v>34.336082921368636</v>
      </c>
      <c r="S17">
        <f t="shared" si="11"/>
        <v>1</v>
      </c>
      <c r="T17" s="73">
        <f t="shared" si="12"/>
        <v>38.10935860967416</v>
      </c>
      <c r="U17" s="73">
        <f t="shared" si="13"/>
        <v>38.10935860967416</v>
      </c>
      <c r="V17" s="2">
        <v>11</v>
      </c>
      <c r="X17" s="121">
        <f>Transport!$A30</f>
        <v>44593</v>
      </c>
      <c r="Y17" s="73">
        <f t="shared" si="0"/>
        <v>31.17009535145916</v>
      </c>
      <c r="Z17" s="15">
        <f t="shared" si="14"/>
        <v>3.4394591528524994</v>
      </c>
      <c r="AA17" s="98">
        <f t="shared" si="15"/>
        <v>1</v>
      </c>
      <c r="AB17" s="128">
        <f>IF(AA17&gt;0,11,0)</f>
        <v>11</v>
      </c>
      <c r="AC17" s="128">
        <f t="shared" si="16"/>
        <v>121</v>
      </c>
      <c r="AD17" s="15">
        <f t="shared" si="17"/>
        <v>37.834050681377491</v>
      </c>
      <c r="AE17" s="127">
        <f t="shared" ca="1" si="18"/>
        <v>3.6931203119979066</v>
      </c>
      <c r="AF17" s="127">
        <f t="shared" ca="1" si="19"/>
        <v>40.169994521885542</v>
      </c>
      <c r="AH17" s="121">
        <f>Transport!$A30</f>
        <v>44593</v>
      </c>
      <c r="AI17" s="73">
        <f t="shared" si="20"/>
        <v>34.336082921368636</v>
      </c>
      <c r="AJ17" s="15">
        <f t="shared" si="21"/>
        <v>3.5361967814432935</v>
      </c>
      <c r="AK17" s="98">
        <f t="shared" si="22"/>
        <v>1</v>
      </c>
      <c r="AL17" s="128">
        <f>IF(AK17&gt;0,11,0)</f>
        <v>11</v>
      </c>
      <c r="AM17" s="128">
        <f t="shared" si="23"/>
        <v>121</v>
      </c>
      <c r="AN17" s="15">
        <f t="shared" si="24"/>
        <v>38.898164595876231</v>
      </c>
      <c r="AO17" s="127">
        <f t="shared" ca="1" si="25"/>
        <v>3.7043650221501747</v>
      </c>
      <c r="AP17" s="127">
        <f t="shared" ca="1" si="56"/>
        <v>40.62424363048985</v>
      </c>
      <c r="AR17" s="121">
        <f>Transport!$A30</f>
        <v>44593</v>
      </c>
      <c r="AS17" s="73">
        <f t="shared" ref="AS17:AS40" si="57">$P17</f>
        <v>34.336082921368636</v>
      </c>
      <c r="AT17" s="15">
        <f t="shared" si="26"/>
        <v>3.5361967814432935</v>
      </c>
      <c r="AU17" s="98">
        <f t="shared" si="27"/>
        <v>1</v>
      </c>
      <c r="AV17" s="128">
        <f>IF(AU17&gt;0,11,0)</f>
        <v>11</v>
      </c>
      <c r="AW17" s="128">
        <f t="shared" si="28"/>
        <v>121</v>
      </c>
      <c r="AX17" s="15">
        <f t="shared" si="29"/>
        <v>38.898164595876231</v>
      </c>
      <c r="AY17" s="127">
        <f t="shared" ca="1" si="30"/>
        <v>3.6322810443998717</v>
      </c>
      <c r="AZ17" s="127">
        <f t="shared" ca="1" si="1"/>
        <v>37.798939413948808</v>
      </c>
      <c r="BB17" s="121">
        <f>Transport!$A30</f>
        <v>44593</v>
      </c>
      <c r="BC17" s="131">
        <v>0</v>
      </c>
      <c r="BD17" s="15">
        <f t="shared" si="31"/>
        <v>0</v>
      </c>
      <c r="BE17" s="98">
        <f t="shared" si="32"/>
        <v>0</v>
      </c>
      <c r="BF17" s="128">
        <f>IF(BE17&gt;0,11,0)</f>
        <v>0</v>
      </c>
      <c r="BG17" s="128">
        <f t="shared" si="33"/>
        <v>0</v>
      </c>
      <c r="BH17" s="15">
        <f t="shared" si="34"/>
        <v>0</v>
      </c>
      <c r="BI17" s="127">
        <f t="shared" ca="1" si="35"/>
        <v>3.6707060198021364</v>
      </c>
      <c r="BJ17" s="127">
        <f t="shared" ca="1" si="2"/>
        <v>39.279628268246405</v>
      </c>
      <c r="BL17" s="121">
        <f>Transport!$A30</f>
        <v>44593</v>
      </c>
      <c r="BM17" s="131">
        <v>0</v>
      </c>
      <c r="BN17" s="15">
        <f t="shared" si="36"/>
        <v>0</v>
      </c>
      <c r="BO17" s="98">
        <f t="shared" si="37"/>
        <v>0</v>
      </c>
      <c r="BP17" s="128">
        <f>IF(BO17&gt;0,11,0)</f>
        <v>0</v>
      </c>
      <c r="BQ17" s="128">
        <f t="shared" si="38"/>
        <v>0</v>
      </c>
      <c r="BR17" s="15">
        <f t="shared" si="39"/>
        <v>0</v>
      </c>
      <c r="BS17" s="127">
        <f t="shared" ca="1" si="40"/>
        <v>3.6023625084652697</v>
      </c>
      <c r="BT17" s="127">
        <f t="shared" ca="1" si="3"/>
        <v>36.684800298383827</v>
      </c>
      <c r="BZ17" s="583">
        <f t="shared" si="42"/>
        <v>0</v>
      </c>
      <c r="CA17" s="121">
        <f>Transport!$A30</f>
        <v>44593</v>
      </c>
      <c r="CB17" s="73">
        <f t="shared" si="43"/>
        <v>0</v>
      </c>
      <c r="CC17" s="15">
        <f t="shared" si="44"/>
        <v>0</v>
      </c>
      <c r="CD17" s="98">
        <f t="shared" si="45"/>
        <v>0</v>
      </c>
      <c r="CE17" s="128">
        <f>IF(CD17&gt;0,11,0)</f>
        <v>0</v>
      </c>
      <c r="CF17" s="128">
        <f t="shared" si="46"/>
        <v>0</v>
      </c>
      <c r="CG17" s="15">
        <f t="shared" si="47"/>
        <v>0</v>
      </c>
      <c r="CH17" s="127">
        <f t="shared" ca="1" si="48"/>
        <v>3.641599354242298</v>
      </c>
      <c r="CI17" s="127">
        <f t="shared" ca="1" si="4"/>
        <v>38.152807810247644</v>
      </c>
      <c r="CY17" s="42">
        <f>Log!G89</f>
        <v>45231</v>
      </c>
      <c r="CZ17" s="156" t="e">
        <f ca="1">Log!J89</f>
        <v>#DIV/0!</v>
      </c>
      <c r="DA17" s="157"/>
      <c r="DB17" s="121">
        <f>Transport!$A30</f>
        <v>44593</v>
      </c>
      <c r="DC17" s="159">
        <v>0</v>
      </c>
      <c r="DD17" s="15">
        <f t="shared" si="49"/>
        <v>0</v>
      </c>
      <c r="DE17" s="98">
        <f t="shared" si="50"/>
        <v>0</v>
      </c>
      <c r="DF17" s="128">
        <f>IF(DE17&gt;0,11,0)</f>
        <v>0</v>
      </c>
      <c r="DG17" s="128">
        <f t="shared" si="51"/>
        <v>0</v>
      </c>
      <c r="DH17" s="15">
        <f t="shared" si="52"/>
        <v>0</v>
      </c>
      <c r="DI17" s="127" t="e">
        <f t="shared" si="5"/>
        <v>#DIV/0!</v>
      </c>
      <c r="DJ17" s="127" t="str">
        <f t="shared" si="6"/>
        <v/>
      </c>
      <c r="DQ17" s="280">
        <f>Transport!$A30</f>
        <v>44593</v>
      </c>
      <c r="DR17" s="13">
        <f t="shared" si="53"/>
        <v>1</v>
      </c>
      <c r="DS17" s="281">
        <f t="shared" si="54"/>
        <v>31.17009535145916</v>
      </c>
      <c r="DT17" s="295">
        <f t="shared" ca="1" si="55"/>
        <v>40.62424363048985</v>
      </c>
      <c r="DX17" s="121">
        <f>Transport!$A30</f>
        <v>44593</v>
      </c>
      <c r="DY17" s="2"/>
      <c r="DZ17" s="120"/>
      <c r="EA17" s="66"/>
      <c r="EC17" s="121">
        <f>Transport!$A30</f>
        <v>44593</v>
      </c>
      <c r="ED17" s="2"/>
      <c r="EE17" s="120"/>
      <c r="EF17" s="66"/>
      <c r="EH17" s="121">
        <f>Transport!$A30</f>
        <v>44593</v>
      </c>
      <c r="EI17" s="2"/>
      <c r="EJ17" s="120"/>
      <c r="EK17" s="66"/>
    </row>
    <row r="18" spans="1:141" x14ac:dyDescent="0.2">
      <c r="A18" s="146" t="str">
        <f ca="1">TEXT(Y46,0)&amp;" Mo Lst Sq An Trend"</f>
        <v>36 Mo Lst Sq An Trend</v>
      </c>
      <c r="D18" s="146" t="str">
        <f ca="1">TEXT($Y$46,0)&amp;" Mo Lst Sq "</f>
        <v xml:space="preserve">36 Mo Lst Sq </v>
      </c>
      <c r="J18" s="228">
        <f t="shared" si="7"/>
        <v>1</v>
      </c>
      <c r="K18" s="121">
        <f>Transport!$A31</f>
        <v>44621</v>
      </c>
      <c r="L18" s="73">
        <f>Transport!$F31</f>
        <v>39.046129236548509</v>
      </c>
      <c r="M18" s="574">
        <f>Transport!J31</f>
        <v>39.046129236548509</v>
      </c>
      <c r="N18" s="120"/>
      <c r="O18">
        <f t="shared" si="8"/>
        <v>1</v>
      </c>
      <c r="P18" s="241">
        <f t="shared" si="9"/>
        <v>35.891674164698969</v>
      </c>
      <c r="Q18" s="73">
        <f t="shared" si="10"/>
        <v>35.891674164698969</v>
      </c>
      <c r="S18">
        <f t="shared" si="11"/>
        <v>1</v>
      </c>
      <c r="T18" s="73">
        <f t="shared" si="12"/>
        <v>36.512545900430929</v>
      </c>
      <c r="U18" s="73">
        <f t="shared" si="13"/>
        <v>36.512545900430929</v>
      </c>
      <c r="V18" s="2">
        <v>12</v>
      </c>
      <c r="X18" s="121">
        <f>Transport!$A31</f>
        <v>44621</v>
      </c>
      <c r="Y18" s="73">
        <f t="shared" si="0"/>
        <v>39.046129236548509</v>
      </c>
      <c r="Z18" s="15">
        <f t="shared" si="14"/>
        <v>3.6647437481088572</v>
      </c>
      <c r="AA18" s="98">
        <f t="shared" si="15"/>
        <v>1</v>
      </c>
      <c r="AB18" s="128">
        <f>IF(AA18&gt;0,12,0)</f>
        <v>12</v>
      </c>
      <c r="AC18" s="128">
        <f t="shared" si="16"/>
        <v>144</v>
      </c>
      <c r="AD18" s="15">
        <f t="shared" si="17"/>
        <v>43.976924977306282</v>
      </c>
      <c r="AE18" s="127">
        <f t="shared" ca="1" si="18"/>
        <v>3.6926412383186693</v>
      </c>
      <c r="AF18" s="127">
        <f t="shared" ca="1" si="19"/>
        <v>40.150754743818617</v>
      </c>
      <c r="AH18" s="121">
        <f>Transport!$A31</f>
        <v>44621</v>
      </c>
      <c r="AI18" s="73">
        <f t="shared" si="20"/>
        <v>35.891674164698969</v>
      </c>
      <c r="AJ18" s="15">
        <f t="shared" si="21"/>
        <v>3.5805053511793741</v>
      </c>
      <c r="AK18" s="98">
        <f t="shared" si="22"/>
        <v>1</v>
      </c>
      <c r="AL18" s="128">
        <f>IF(AK18&gt;0,12,0)</f>
        <v>12</v>
      </c>
      <c r="AM18" s="128">
        <f t="shared" si="23"/>
        <v>144</v>
      </c>
      <c r="AN18" s="15">
        <f t="shared" si="24"/>
        <v>42.966064214152489</v>
      </c>
      <c r="AO18" s="127">
        <f t="shared" ca="1" si="25"/>
        <v>3.7031816688416752</v>
      </c>
      <c r="AP18" s="127">
        <f t="shared" ca="1" si="56"/>
        <v>40.576199229741192</v>
      </c>
      <c r="AR18" s="121">
        <f>Transport!$A31</f>
        <v>44621</v>
      </c>
      <c r="AS18" s="73">
        <f t="shared" si="57"/>
        <v>35.891674164698969</v>
      </c>
      <c r="AT18" s="15">
        <f t="shared" si="26"/>
        <v>3.5805053511793741</v>
      </c>
      <c r="AU18" s="98">
        <f t="shared" si="27"/>
        <v>1</v>
      </c>
      <c r="AV18" s="128">
        <f>IF(AU18&gt;0,12,0)</f>
        <v>12</v>
      </c>
      <c r="AW18" s="128">
        <f t="shared" si="28"/>
        <v>144</v>
      </c>
      <c r="AX18" s="15">
        <f t="shared" si="29"/>
        <v>42.966064214152489</v>
      </c>
      <c r="AY18" s="127">
        <f t="shared" ca="1" si="30"/>
        <v>3.6359698445642836</v>
      </c>
      <c r="AZ18" s="127">
        <f t="shared" ca="1" si="1"/>
        <v>37.93862963412726</v>
      </c>
      <c r="BB18" s="121">
        <f>Transport!$A31</f>
        <v>44621</v>
      </c>
      <c r="BC18" s="131">
        <v>0</v>
      </c>
      <c r="BD18" s="15">
        <f t="shared" si="31"/>
        <v>0</v>
      </c>
      <c r="BE18" s="98">
        <f t="shared" si="32"/>
        <v>0</v>
      </c>
      <c r="BF18" s="128">
        <f>IF(BE18&gt;0,12,0)</f>
        <v>0</v>
      </c>
      <c r="BG18" s="128">
        <f t="shared" si="33"/>
        <v>0</v>
      </c>
      <c r="BH18" s="15">
        <f t="shared" si="34"/>
        <v>0</v>
      </c>
      <c r="BI18" s="127">
        <f t="shared" ca="1" si="35"/>
        <v>3.6719668106354684</v>
      </c>
      <c r="BJ18" s="127">
        <f t="shared" ca="1" si="2"/>
        <v>39.329182895949565</v>
      </c>
      <c r="BL18" s="121">
        <f>Transport!$A31</f>
        <v>44621</v>
      </c>
      <c r="BM18" s="131">
        <v>0</v>
      </c>
      <c r="BN18" s="15">
        <f t="shared" si="36"/>
        <v>0</v>
      </c>
      <c r="BO18" s="98">
        <f t="shared" si="37"/>
        <v>0</v>
      </c>
      <c r="BP18" s="128">
        <f>IF(BO18&gt;0,12,0)</f>
        <v>0</v>
      </c>
      <c r="BQ18" s="128">
        <f t="shared" si="38"/>
        <v>0</v>
      </c>
      <c r="BR18" s="15">
        <f t="shared" si="39"/>
        <v>0</v>
      </c>
      <c r="BS18" s="127">
        <f t="shared" ca="1" si="40"/>
        <v>3.607490152717403</v>
      </c>
      <c r="BT18" s="127">
        <f t="shared" ca="1" si="3"/>
        <v>36.87339000101543</v>
      </c>
      <c r="BZ18" s="583">
        <f t="shared" si="42"/>
        <v>1</v>
      </c>
      <c r="CA18" s="121">
        <f>Transport!$A31</f>
        <v>44621</v>
      </c>
      <c r="CB18" s="73">
        <f t="shared" si="43"/>
        <v>35.891674164698969</v>
      </c>
      <c r="CC18" s="15">
        <f t="shared" si="44"/>
        <v>3.5805053511793741</v>
      </c>
      <c r="CD18" s="98">
        <f t="shared" si="45"/>
        <v>1</v>
      </c>
      <c r="CE18" s="128">
        <f>IF(CD18&gt;0,12,0)</f>
        <v>12</v>
      </c>
      <c r="CF18" s="128">
        <f t="shared" si="46"/>
        <v>144</v>
      </c>
      <c r="CG18" s="15">
        <f t="shared" si="47"/>
        <v>42.966064214152489</v>
      </c>
      <c r="CH18" s="127">
        <f t="shared" ca="1" si="48"/>
        <v>3.6452062332651773</v>
      </c>
      <c r="CI18" s="127">
        <f t="shared" ca="1" si="4"/>
        <v>38.290668846983671</v>
      </c>
      <c r="CY18" s="42">
        <f>Log!G88</f>
        <v>45261</v>
      </c>
      <c r="CZ18" s="156" t="e">
        <f ca="1">Log!J88</f>
        <v>#DIV/0!</v>
      </c>
      <c r="DA18" s="157"/>
      <c r="DB18" s="121">
        <f>Transport!$A31</f>
        <v>44621</v>
      </c>
      <c r="DC18" s="159">
        <v>0</v>
      </c>
      <c r="DD18" s="15">
        <f t="shared" si="49"/>
        <v>0</v>
      </c>
      <c r="DE18" s="98">
        <f t="shared" si="50"/>
        <v>0</v>
      </c>
      <c r="DF18" s="128">
        <f>IF(DE18&gt;0,12,0)</f>
        <v>0</v>
      </c>
      <c r="DG18" s="128">
        <f t="shared" si="51"/>
        <v>0</v>
      </c>
      <c r="DH18" s="15">
        <f t="shared" si="52"/>
        <v>0</v>
      </c>
      <c r="DI18" s="127" t="e">
        <f t="shared" si="5"/>
        <v>#DIV/0!</v>
      </c>
      <c r="DJ18" s="127" t="str">
        <f t="shared" si="6"/>
        <v/>
      </c>
      <c r="DQ18" s="280">
        <f>Transport!$A31</f>
        <v>44621</v>
      </c>
      <c r="DR18" s="13">
        <f t="shared" si="53"/>
        <v>1</v>
      </c>
      <c r="DS18" s="281">
        <f t="shared" si="54"/>
        <v>39.046129236548509</v>
      </c>
      <c r="DT18" s="295">
        <f t="shared" ca="1" si="55"/>
        <v>40.576199229741192</v>
      </c>
      <c r="DX18" s="289">
        <f>Transport!$A31</f>
        <v>44621</v>
      </c>
      <c r="DY18" s="2"/>
      <c r="DZ18" s="120"/>
      <c r="EA18" s="66"/>
      <c r="EC18" s="289">
        <f>Transport!$A31</f>
        <v>44621</v>
      </c>
      <c r="ED18" s="2"/>
      <c r="EE18" s="120"/>
      <c r="EF18" s="66"/>
      <c r="EH18" s="289">
        <f>Transport!$A31</f>
        <v>44621</v>
      </c>
      <c r="EI18" s="2"/>
      <c r="EJ18" s="120"/>
      <c r="EK18" s="66"/>
    </row>
    <row r="19" spans="1:141" x14ac:dyDescent="0.2">
      <c r="A19" s="146" t="str">
        <f ca="1">TEXT(AS46,0)&amp;" Mo Lst Sq An Trend"</f>
        <v>24 Mo Lst Sq An Trend</v>
      </c>
      <c r="D19" s="146" t="str">
        <f ca="1">TEXT($AS$46,0)&amp;" Mo Lst Sq"</f>
        <v>24 Mo Lst Sq</v>
      </c>
      <c r="J19" s="228">
        <f t="shared" si="7"/>
        <v>1</v>
      </c>
      <c r="K19" s="121">
        <f>Transport!$A32</f>
        <v>44652</v>
      </c>
      <c r="L19" s="73">
        <f>Transport!$F32</f>
        <v>37.458797906089245</v>
      </c>
      <c r="M19" s="574">
        <f>Transport!J32</f>
        <v>37.458797906089245</v>
      </c>
      <c r="N19" s="120"/>
      <c r="O19">
        <f t="shared" si="8"/>
        <v>1</v>
      </c>
      <c r="P19" s="241">
        <f t="shared" si="9"/>
        <v>38.575308126785323</v>
      </c>
      <c r="Q19" s="73">
        <f t="shared" si="10"/>
        <v>38.575308126785323</v>
      </c>
      <c r="S19">
        <f t="shared" si="11"/>
        <v>1</v>
      </c>
      <c r="T19" s="73">
        <f t="shared" si="12"/>
        <v>37.378242455124273</v>
      </c>
      <c r="U19" s="73">
        <f t="shared" si="13"/>
        <v>37.378242455124273</v>
      </c>
      <c r="V19" s="2">
        <v>13</v>
      </c>
      <c r="X19" s="121">
        <f>Transport!$A32</f>
        <v>44652</v>
      </c>
      <c r="Y19" s="73">
        <f t="shared" si="0"/>
        <v>37.458797906089245</v>
      </c>
      <c r="Z19" s="15">
        <f t="shared" si="14"/>
        <v>3.6232416064340205</v>
      </c>
      <c r="AA19" s="98">
        <f t="shared" si="15"/>
        <v>1</v>
      </c>
      <c r="AB19" s="128">
        <f>IF(AA19&gt;0,13,0)</f>
        <v>13</v>
      </c>
      <c r="AC19" s="128">
        <f t="shared" si="16"/>
        <v>169</v>
      </c>
      <c r="AD19" s="15">
        <f t="shared" si="17"/>
        <v>47.102140883642264</v>
      </c>
      <c r="AE19" s="127">
        <f t="shared" ca="1" si="18"/>
        <v>3.692162164639432</v>
      </c>
      <c r="AF19" s="127">
        <f t="shared" ca="1" si="19"/>
        <v>40.131524180815433</v>
      </c>
      <c r="AH19" s="121">
        <f>Transport!$A32</f>
        <v>44652</v>
      </c>
      <c r="AI19" s="73">
        <f t="shared" si="20"/>
        <v>38.575308126785323</v>
      </c>
      <c r="AJ19" s="15">
        <f t="shared" si="21"/>
        <v>3.6526123859499298</v>
      </c>
      <c r="AK19" s="98">
        <f t="shared" si="22"/>
        <v>1</v>
      </c>
      <c r="AL19" s="128">
        <f>IF(AK19&gt;0,13,0)</f>
        <v>13</v>
      </c>
      <c r="AM19" s="128">
        <f t="shared" si="23"/>
        <v>169</v>
      </c>
      <c r="AN19" s="15">
        <f t="shared" si="24"/>
        <v>47.483961017349088</v>
      </c>
      <c r="AO19" s="127">
        <f t="shared" ca="1" si="25"/>
        <v>3.7019983155331757</v>
      </c>
      <c r="AP19" s="127">
        <f t="shared" ca="1" si="56"/>
        <v>40.52821164886749</v>
      </c>
      <c r="AR19" s="121">
        <f>Transport!$A32</f>
        <v>44652</v>
      </c>
      <c r="AS19" s="73">
        <f t="shared" si="57"/>
        <v>38.575308126785323</v>
      </c>
      <c r="AT19" s="15">
        <f t="shared" si="26"/>
        <v>3.6526123859499298</v>
      </c>
      <c r="AU19" s="98">
        <f t="shared" si="27"/>
        <v>1</v>
      </c>
      <c r="AV19" s="128">
        <f>IF(AU19&gt;0,13,0)</f>
        <v>13</v>
      </c>
      <c r="AW19" s="128">
        <f t="shared" si="28"/>
        <v>169</v>
      </c>
      <c r="AX19" s="15">
        <f t="shared" si="29"/>
        <v>47.483961017349088</v>
      </c>
      <c r="AY19" s="127">
        <f t="shared" ca="1" si="30"/>
        <v>3.6396586447286956</v>
      </c>
      <c r="AZ19" s="127">
        <f t="shared" ca="1" si="1"/>
        <v>38.078836095182204</v>
      </c>
      <c r="BB19" s="121">
        <f>Transport!$A32</f>
        <v>44652</v>
      </c>
      <c r="BC19" s="131">
        <v>0</v>
      </c>
      <c r="BD19" s="15">
        <f t="shared" si="31"/>
        <v>0</v>
      </c>
      <c r="BE19" s="98">
        <f t="shared" si="32"/>
        <v>0</v>
      </c>
      <c r="BF19" s="128">
        <f>IF(BE19&gt;0,13,0)</f>
        <v>0</v>
      </c>
      <c r="BG19" s="128">
        <f t="shared" si="33"/>
        <v>0</v>
      </c>
      <c r="BH19" s="15">
        <f t="shared" si="34"/>
        <v>0</v>
      </c>
      <c r="BI19" s="127">
        <f t="shared" ca="1" si="35"/>
        <v>3.6732276014687999</v>
      </c>
      <c r="BJ19" s="127">
        <f t="shared" ca="1" si="2"/>
        <v>39.378800041075479</v>
      </c>
      <c r="BL19" s="121">
        <f>Transport!$A32</f>
        <v>44652</v>
      </c>
      <c r="BM19" s="131">
        <v>0</v>
      </c>
      <c r="BN19" s="15">
        <f t="shared" si="36"/>
        <v>0</v>
      </c>
      <c r="BO19" s="98">
        <f t="shared" si="37"/>
        <v>0</v>
      </c>
      <c r="BP19" s="128">
        <f>IF(BO19&gt;0,13,0)</f>
        <v>0</v>
      </c>
      <c r="BQ19" s="128">
        <f t="shared" si="38"/>
        <v>0</v>
      </c>
      <c r="BR19" s="15">
        <f t="shared" si="39"/>
        <v>0</v>
      </c>
      <c r="BS19" s="127">
        <f t="shared" ca="1" si="40"/>
        <v>3.6126177969695368</v>
      </c>
      <c r="BT19" s="127">
        <f t="shared" ca="1" si="3"/>
        <v>37.062949208064396</v>
      </c>
      <c r="BZ19" s="583">
        <f t="shared" si="42"/>
        <v>1</v>
      </c>
      <c r="CA19" s="121">
        <f>Transport!$A32</f>
        <v>44652</v>
      </c>
      <c r="CB19" s="73">
        <f t="shared" si="43"/>
        <v>38.575308126785323</v>
      </c>
      <c r="CC19" s="15">
        <f t="shared" si="44"/>
        <v>3.6526123859499298</v>
      </c>
      <c r="CD19" s="98">
        <f t="shared" si="45"/>
        <v>1</v>
      </c>
      <c r="CE19" s="128">
        <f>IF(CD19&gt;0,13,0)</f>
        <v>13</v>
      </c>
      <c r="CF19" s="128">
        <f t="shared" si="46"/>
        <v>169</v>
      </c>
      <c r="CG19" s="15">
        <f t="shared" si="47"/>
        <v>47.483961017349088</v>
      </c>
      <c r="CH19" s="127">
        <f t="shared" ca="1" si="48"/>
        <v>3.6488131122880567</v>
      </c>
      <c r="CI19" s="127">
        <f t="shared" ca="1" si="4"/>
        <v>38.429028029637145</v>
      </c>
      <c r="CY19" s="42">
        <f>Log!G87</f>
        <v>45292</v>
      </c>
      <c r="CZ19" s="156" t="e">
        <f>Log!J87</f>
        <v>#DIV/0!</v>
      </c>
      <c r="DA19" s="157"/>
      <c r="DB19" s="121">
        <f>Transport!$A32</f>
        <v>44652</v>
      </c>
      <c r="DC19" s="159">
        <v>0</v>
      </c>
      <c r="DD19" s="15">
        <f t="shared" si="49"/>
        <v>0</v>
      </c>
      <c r="DE19" s="98">
        <f t="shared" si="50"/>
        <v>0</v>
      </c>
      <c r="DF19" s="128">
        <f>IF(DE19&gt;0,13,0)</f>
        <v>0</v>
      </c>
      <c r="DG19" s="128">
        <f t="shared" si="51"/>
        <v>0</v>
      </c>
      <c r="DH19" s="15">
        <f t="shared" si="52"/>
        <v>0</v>
      </c>
      <c r="DI19" s="127" t="e">
        <f t="shared" si="5"/>
        <v>#DIV/0!</v>
      </c>
      <c r="DJ19" s="127" t="str">
        <f t="shared" si="6"/>
        <v/>
      </c>
      <c r="DQ19" s="280">
        <f>Transport!$A32</f>
        <v>44652</v>
      </c>
      <c r="DR19" s="13">
        <f t="shared" si="53"/>
        <v>1</v>
      </c>
      <c r="DS19" s="281">
        <f t="shared" si="54"/>
        <v>37.458797906089245</v>
      </c>
      <c r="DT19" s="295">
        <f t="shared" ca="1" si="55"/>
        <v>40.52821164886749</v>
      </c>
      <c r="DX19" s="280">
        <f>Transport!$A32</f>
        <v>44652</v>
      </c>
      <c r="DY19" s="98">
        <f t="shared" ref="DY19:DY42" si="58">IF($L19&gt;0,1,0)</f>
        <v>1</v>
      </c>
      <c r="DZ19" s="73">
        <f>+DS19</f>
        <v>37.458797906089245</v>
      </c>
      <c r="EA19" s="127">
        <f ca="1">+AZ19</f>
        <v>38.078836095182204</v>
      </c>
      <c r="EC19" s="280">
        <f>Transport!$A32</f>
        <v>44652</v>
      </c>
      <c r="ED19" s="98"/>
      <c r="EE19" s="73"/>
      <c r="EF19" s="127"/>
      <c r="EH19" s="280">
        <f>Transport!$A32</f>
        <v>44652</v>
      </c>
      <c r="EI19" s="98"/>
      <c r="EJ19" s="73"/>
      <c r="EK19" s="127"/>
    </row>
    <row r="20" spans="1:141" x14ac:dyDescent="0.2">
      <c r="A20" s="146" t="str">
        <f ca="1">TEXT(BC46,0)&amp;" Mo Lst Sq An Trend"</f>
        <v>18 Mo Lst Sq An Trend</v>
      </c>
      <c r="D20" s="146" t="str">
        <f ca="1">TEXT($BC$46,0)&amp;" Mo Lst Sq"</f>
        <v>18 Mo Lst Sq</v>
      </c>
      <c r="J20" s="228">
        <f t="shared" si="7"/>
        <v>1</v>
      </c>
      <c r="K20" s="121">
        <f>Transport!$A33</f>
        <v>44682</v>
      </c>
      <c r="L20" s="73">
        <f>Transport!$F33</f>
        <v>39.220997237718201</v>
      </c>
      <c r="M20" s="574">
        <f>Transport!J33</f>
        <v>39.220997237718201</v>
      </c>
      <c r="N20" s="120"/>
      <c r="O20">
        <f t="shared" si="8"/>
        <v>1</v>
      </c>
      <c r="P20" s="241">
        <f t="shared" si="9"/>
        <v>38.68900887949323</v>
      </c>
      <c r="Q20" s="73">
        <f t="shared" si="10"/>
        <v>38.68900887949323</v>
      </c>
      <c r="S20">
        <f t="shared" si="11"/>
        <v>1</v>
      </c>
      <c r="T20" s="73">
        <f t="shared" si="12"/>
        <v>39.635451324897012</v>
      </c>
      <c r="U20" s="73">
        <f t="shared" si="13"/>
        <v>39.635451324897012</v>
      </c>
      <c r="V20" s="2">
        <v>14</v>
      </c>
      <c r="X20" s="121">
        <f>Transport!$A33</f>
        <v>44682</v>
      </c>
      <c r="Y20" s="73">
        <f t="shared" si="0"/>
        <v>39.220997237718201</v>
      </c>
      <c r="Z20" s="15">
        <f t="shared" si="14"/>
        <v>3.6692122472098156</v>
      </c>
      <c r="AA20" s="98">
        <f t="shared" si="15"/>
        <v>1</v>
      </c>
      <c r="AB20" s="128">
        <f>IF(AA20&gt;0,14,0)</f>
        <v>14</v>
      </c>
      <c r="AC20" s="128">
        <f t="shared" si="16"/>
        <v>196</v>
      </c>
      <c r="AD20" s="15">
        <f t="shared" si="17"/>
        <v>51.368971460937416</v>
      </c>
      <c r="AE20" s="127">
        <f t="shared" ca="1" si="18"/>
        <v>3.6916830909601948</v>
      </c>
      <c r="AF20" s="127">
        <f t="shared" ca="1" si="19"/>
        <v>40.112302828462354</v>
      </c>
      <c r="AH20" s="121">
        <f>Transport!$A33</f>
        <v>44682</v>
      </c>
      <c r="AI20" s="73">
        <f t="shared" si="20"/>
        <v>38.68900887949323</v>
      </c>
      <c r="AJ20" s="15">
        <f t="shared" si="21"/>
        <v>3.6555555514159175</v>
      </c>
      <c r="AK20" s="98">
        <f t="shared" si="22"/>
        <v>1</v>
      </c>
      <c r="AL20" s="128">
        <f>IF(AK20&gt;0,14,0)</f>
        <v>14</v>
      </c>
      <c r="AM20" s="128">
        <f t="shared" si="23"/>
        <v>196</v>
      </c>
      <c r="AN20" s="15">
        <f t="shared" si="24"/>
        <v>51.177777719822842</v>
      </c>
      <c r="AO20" s="127">
        <f t="shared" ca="1" si="25"/>
        <v>3.7008149622246767</v>
      </c>
      <c r="AP20" s="127">
        <f t="shared" ca="1" si="56"/>
        <v>40.480280820670544</v>
      </c>
      <c r="AR20" s="121">
        <f>Transport!$A33</f>
        <v>44682</v>
      </c>
      <c r="AS20" s="73">
        <f t="shared" si="57"/>
        <v>38.68900887949323</v>
      </c>
      <c r="AT20" s="15">
        <f t="shared" si="26"/>
        <v>3.6555555514159175</v>
      </c>
      <c r="AU20" s="98">
        <f t="shared" si="27"/>
        <v>1</v>
      </c>
      <c r="AV20" s="128">
        <f>IF(AU20&gt;0,14,0)</f>
        <v>14</v>
      </c>
      <c r="AW20" s="128">
        <f t="shared" si="28"/>
        <v>196</v>
      </c>
      <c r="AX20" s="15">
        <f t="shared" si="29"/>
        <v>51.177777719822842</v>
      </c>
      <c r="AY20" s="127">
        <f t="shared" ca="1" si="30"/>
        <v>3.6433474448931076</v>
      </c>
      <c r="AZ20" s="127">
        <f t="shared" ref="AZ20:AZ42" ca="1" si="59">EXP(AY20)</f>
        <v>38.219560704939695</v>
      </c>
      <c r="BB20" s="121">
        <f>Transport!$A33</f>
        <v>44682</v>
      </c>
      <c r="BC20" s="131">
        <v>0</v>
      </c>
      <c r="BD20" s="15">
        <f t="shared" si="31"/>
        <v>0</v>
      </c>
      <c r="BE20" s="98">
        <f t="shared" si="32"/>
        <v>0</v>
      </c>
      <c r="BF20" s="128">
        <f>IF(BE20&gt;0,14,0)</f>
        <v>0</v>
      </c>
      <c r="BG20" s="128">
        <f t="shared" si="33"/>
        <v>0</v>
      </c>
      <c r="BH20" s="15">
        <f t="shared" si="34"/>
        <v>0</v>
      </c>
      <c r="BI20" s="127">
        <f t="shared" ca="1" si="35"/>
        <v>3.6744883923021319</v>
      </c>
      <c r="BJ20" s="127">
        <f t="shared" ca="1" si="2"/>
        <v>39.428479782495288</v>
      </c>
      <c r="BL20" s="121">
        <f>Transport!$A33</f>
        <v>44682</v>
      </c>
      <c r="BM20" s="131">
        <v>0</v>
      </c>
      <c r="BN20" s="15">
        <f t="shared" si="36"/>
        <v>0</v>
      </c>
      <c r="BO20" s="98">
        <f t="shared" si="37"/>
        <v>0</v>
      </c>
      <c r="BP20" s="128">
        <f>IF(BO20&gt;0,14,0)</f>
        <v>0</v>
      </c>
      <c r="BQ20" s="128">
        <f t="shared" si="38"/>
        <v>0</v>
      </c>
      <c r="BR20" s="15">
        <f t="shared" si="39"/>
        <v>0</v>
      </c>
      <c r="BS20" s="127">
        <f t="shared" ca="1" si="40"/>
        <v>3.6177454412216701</v>
      </c>
      <c r="BT20" s="127">
        <f t="shared" ca="1" si="3"/>
        <v>37.253482903571715</v>
      </c>
      <c r="BZ20" s="583">
        <f t="shared" si="42"/>
        <v>1</v>
      </c>
      <c r="CA20" s="121">
        <f>Transport!$A33</f>
        <v>44682</v>
      </c>
      <c r="CB20" s="73">
        <f t="shared" si="43"/>
        <v>38.68900887949323</v>
      </c>
      <c r="CC20" s="15">
        <f t="shared" si="44"/>
        <v>3.6555555514159175</v>
      </c>
      <c r="CD20" s="98">
        <f t="shared" si="45"/>
        <v>1</v>
      </c>
      <c r="CE20" s="128">
        <f>IF(CD20&gt;0,14,0)</f>
        <v>14</v>
      </c>
      <c r="CF20" s="128">
        <f t="shared" si="46"/>
        <v>196</v>
      </c>
      <c r="CG20" s="15">
        <f t="shared" si="47"/>
        <v>51.177777719822842</v>
      </c>
      <c r="CH20" s="127">
        <f t="shared" ca="1" si="48"/>
        <v>3.6524199913109361</v>
      </c>
      <c r="CI20" s="127">
        <f t="shared" ca="1" si="4"/>
        <v>38.567887158204371</v>
      </c>
      <c r="CY20" s="42">
        <f>Log!G86</f>
        <v>45323</v>
      </c>
      <c r="CZ20" s="156" t="e">
        <f>Log!J86</f>
        <v>#DIV/0!</v>
      </c>
      <c r="DA20" s="157"/>
      <c r="DB20" s="121">
        <f>Transport!$A33</f>
        <v>44682</v>
      </c>
      <c r="DC20" s="159">
        <v>0</v>
      </c>
      <c r="DD20" s="15">
        <f t="shared" si="49"/>
        <v>0</v>
      </c>
      <c r="DE20" s="98">
        <f t="shared" si="50"/>
        <v>0</v>
      </c>
      <c r="DF20" s="128">
        <f>IF(DE20&gt;0,14,0)</f>
        <v>0</v>
      </c>
      <c r="DG20" s="128">
        <f t="shared" si="51"/>
        <v>0</v>
      </c>
      <c r="DH20" s="15">
        <f t="shared" si="52"/>
        <v>0</v>
      </c>
      <c r="DI20" s="127" t="e">
        <f t="shared" si="5"/>
        <v>#DIV/0!</v>
      </c>
      <c r="DJ20" s="127" t="str">
        <f t="shared" si="6"/>
        <v/>
      </c>
      <c r="DQ20" s="280">
        <f>Transport!$A33</f>
        <v>44682</v>
      </c>
      <c r="DR20" s="13">
        <f t="shared" si="53"/>
        <v>1</v>
      </c>
      <c r="DS20" s="281">
        <f t="shared" si="54"/>
        <v>39.220997237718201</v>
      </c>
      <c r="DT20" s="295">
        <f t="shared" ca="1" si="55"/>
        <v>40.480280820670544</v>
      </c>
      <c r="DX20" s="280">
        <f>Transport!$A33</f>
        <v>44682</v>
      </c>
      <c r="DY20" s="13">
        <f t="shared" si="58"/>
        <v>1</v>
      </c>
      <c r="DZ20" s="281">
        <f t="shared" ref="DZ20:DZ42" si="60">+DS20</f>
        <v>39.220997237718201</v>
      </c>
      <c r="EA20" s="127">
        <f t="shared" ref="EA20:EA41" ca="1" si="61">+AZ20</f>
        <v>38.219560704939695</v>
      </c>
      <c r="EC20" s="280">
        <f>Transport!$A33</f>
        <v>44682</v>
      </c>
      <c r="ED20" s="13"/>
      <c r="EE20" s="281"/>
      <c r="EF20" s="127"/>
      <c r="EH20" s="280">
        <f>Transport!$A33</f>
        <v>44682</v>
      </c>
      <c r="EI20" s="13"/>
      <c r="EJ20" s="281"/>
      <c r="EK20" s="127"/>
    </row>
    <row r="21" spans="1:141" x14ac:dyDescent="0.2">
      <c r="A21" s="146" t="str">
        <f ca="1">TEXT(BM46,0)&amp;" Mo Lst Sq An Trend"</f>
        <v>12 Mo Lst Sq An Trend</v>
      </c>
      <c r="D21" s="146" t="str">
        <f ca="1">TEXT($BM$46,0)&amp;" Mo Lst Sq"</f>
        <v>12 Mo Lst Sq</v>
      </c>
      <c r="J21" s="228">
        <f t="shared" si="7"/>
        <v>1</v>
      </c>
      <c r="K21" s="121">
        <f>Transport!$A34</f>
        <v>44713</v>
      </c>
      <c r="L21" s="73">
        <f>Transport!$F34</f>
        <v>39.387231494672243</v>
      </c>
      <c r="M21" s="574">
        <f>Transport!J34</f>
        <v>39.387231494672243</v>
      </c>
      <c r="N21" s="120"/>
      <c r="O21">
        <f t="shared" si="8"/>
        <v>1</v>
      </c>
      <c r="P21" s="241">
        <f t="shared" si="9"/>
        <v>38.864810745549583</v>
      </c>
      <c r="Q21" s="73">
        <f t="shared" si="10"/>
        <v>38.864810745549583</v>
      </c>
      <c r="S21">
        <f t="shared" si="11"/>
        <v>1</v>
      </c>
      <c r="T21" s="73">
        <f t="shared" si="12"/>
        <v>39.925626777122076</v>
      </c>
      <c r="U21" s="73">
        <f t="shared" si="13"/>
        <v>39.925626777122076</v>
      </c>
      <c r="V21" s="2">
        <v>15</v>
      </c>
      <c r="X21" s="121">
        <f>Transport!$A34</f>
        <v>44713</v>
      </c>
      <c r="Y21" s="73">
        <f t="shared" si="0"/>
        <v>39.387231494672243</v>
      </c>
      <c r="Z21" s="15">
        <f t="shared" si="14"/>
        <v>3.6734416900413627</v>
      </c>
      <c r="AA21" s="98">
        <f t="shared" si="15"/>
        <v>1</v>
      </c>
      <c r="AB21" s="128">
        <f>IF(AA21&gt;0,15,0)</f>
        <v>15</v>
      </c>
      <c r="AC21" s="128">
        <f t="shared" si="16"/>
        <v>225</v>
      </c>
      <c r="AD21" s="15">
        <f t="shared" si="17"/>
        <v>55.101625350620438</v>
      </c>
      <c r="AE21" s="127">
        <f t="shared" ca="1" si="18"/>
        <v>3.6912040172809575</v>
      </c>
      <c r="AF21" s="127">
        <f t="shared" ca="1" si="19"/>
        <v>40.093090682347857</v>
      </c>
      <c r="AH21" s="121">
        <f>Transport!$A34</f>
        <v>44713</v>
      </c>
      <c r="AI21" s="73">
        <f t="shared" si="20"/>
        <v>38.864810745549583</v>
      </c>
      <c r="AJ21" s="15">
        <f t="shared" si="21"/>
        <v>3.6600892331360306</v>
      </c>
      <c r="AK21" s="98">
        <f t="shared" si="22"/>
        <v>1</v>
      </c>
      <c r="AL21" s="128">
        <f>IF(AK21&gt;0,15,0)</f>
        <v>15</v>
      </c>
      <c r="AM21" s="128">
        <f t="shared" si="23"/>
        <v>225</v>
      </c>
      <c r="AN21" s="15">
        <f t="shared" si="24"/>
        <v>54.901338497040456</v>
      </c>
      <c r="AO21" s="127">
        <f t="shared" ca="1" si="25"/>
        <v>3.6996316089161772</v>
      </c>
      <c r="AP21" s="127">
        <f t="shared" ca="1" si="56"/>
        <v>40.432406678031569</v>
      </c>
      <c r="AR21" s="121">
        <f>Transport!$A34</f>
        <v>44713</v>
      </c>
      <c r="AS21" s="73">
        <f t="shared" si="57"/>
        <v>38.864810745549583</v>
      </c>
      <c r="AT21" s="15">
        <f t="shared" si="26"/>
        <v>3.6600892331360306</v>
      </c>
      <c r="AU21" s="98">
        <f t="shared" si="27"/>
        <v>1</v>
      </c>
      <c r="AV21" s="128">
        <f>IF(AU21&gt;0,15,0)</f>
        <v>15</v>
      </c>
      <c r="AW21" s="128">
        <f t="shared" si="28"/>
        <v>225</v>
      </c>
      <c r="AX21" s="15">
        <f t="shared" si="29"/>
        <v>54.901338497040456</v>
      </c>
      <c r="AY21" s="127">
        <f t="shared" ca="1" si="30"/>
        <v>3.6470362450575191</v>
      </c>
      <c r="AZ21" s="127">
        <f t="shared" ca="1" si="59"/>
        <v>38.360805378276368</v>
      </c>
      <c r="BB21" s="121">
        <f>Transport!$A34</f>
        <v>44713</v>
      </c>
      <c r="BC21" s="131">
        <v>0</v>
      </c>
      <c r="BD21" s="15">
        <f t="shared" si="31"/>
        <v>0</v>
      </c>
      <c r="BE21" s="98">
        <f t="shared" si="32"/>
        <v>0</v>
      </c>
      <c r="BF21" s="128">
        <f>IF(BE21&gt;0,15,0)</f>
        <v>0</v>
      </c>
      <c r="BG21" s="128">
        <f t="shared" si="33"/>
        <v>0</v>
      </c>
      <c r="BH21" s="15">
        <f t="shared" si="34"/>
        <v>0</v>
      </c>
      <c r="BI21" s="127">
        <f t="shared" ca="1" si="35"/>
        <v>3.6757491831354638</v>
      </c>
      <c r="BJ21" s="127">
        <f t="shared" ca="1" si="2"/>
        <v>39.478222199179584</v>
      </c>
      <c r="BL21" s="121">
        <f>Transport!$A34</f>
        <v>44713</v>
      </c>
      <c r="BM21" s="131">
        <v>0</v>
      </c>
      <c r="BN21" s="15">
        <f t="shared" si="36"/>
        <v>0</v>
      </c>
      <c r="BO21" s="98">
        <f t="shared" si="37"/>
        <v>0</v>
      </c>
      <c r="BP21" s="128">
        <f>IF(BO21&gt;0,15,0)</f>
        <v>0</v>
      </c>
      <c r="BQ21" s="128">
        <f t="shared" si="38"/>
        <v>0</v>
      </c>
      <c r="BR21" s="15">
        <f t="shared" si="39"/>
        <v>0</v>
      </c>
      <c r="BS21" s="127">
        <f t="shared" ca="1" si="40"/>
        <v>3.6228730854738034</v>
      </c>
      <c r="BT21" s="127">
        <f t="shared" ca="1" si="3"/>
        <v>37.444996097200452</v>
      </c>
      <c r="BZ21" s="583">
        <f t="shared" si="42"/>
        <v>1</v>
      </c>
      <c r="CA21" s="121">
        <f>Transport!$A34</f>
        <v>44713</v>
      </c>
      <c r="CB21" s="73">
        <f t="shared" si="43"/>
        <v>38.864810745549583</v>
      </c>
      <c r="CC21" s="15">
        <f t="shared" si="44"/>
        <v>3.6600892331360306</v>
      </c>
      <c r="CD21" s="98">
        <f t="shared" si="45"/>
        <v>1</v>
      </c>
      <c r="CE21" s="128">
        <f>IF(CD21&gt;0,15,0)</f>
        <v>15</v>
      </c>
      <c r="CF21" s="128">
        <f t="shared" si="46"/>
        <v>225</v>
      </c>
      <c r="CG21" s="15">
        <f t="shared" si="47"/>
        <v>54.901338497040456</v>
      </c>
      <c r="CH21" s="127">
        <f t="shared" ca="1" si="48"/>
        <v>3.6560268703338155</v>
      </c>
      <c r="CI21" s="127">
        <f t="shared" ca="1" si="4"/>
        <v>38.707248039185714</v>
      </c>
      <c r="CY21" s="42">
        <f>Log!G85</f>
        <v>45352</v>
      </c>
      <c r="CZ21" s="156" t="e">
        <f>Log!J85</f>
        <v>#DIV/0!</v>
      </c>
      <c r="DA21" s="157"/>
      <c r="DB21" s="121">
        <f>Transport!$A34</f>
        <v>44713</v>
      </c>
      <c r="DC21" s="159">
        <v>0</v>
      </c>
      <c r="DD21" s="15">
        <f t="shared" si="49"/>
        <v>0</v>
      </c>
      <c r="DE21" s="98">
        <f t="shared" si="50"/>
        <v>0</v>
      </c>
      <c r="DF21" s="128">
        <f>IF(DE21&gt;0,15,0)</f>
        <v>0</v>
      </c>
      <c r="DG21" s="128">
        <f t="shared" si="51"/>
        <v>0</v>
      </c>
      <c r="DH21" s="15">
        <f t="shared" si="52"/>
        <v>0</v>
      </c>
      <c r="DI21" s="127" t="e">
        <f t="shared" si="5"/>
        <v>#DIV/0!</v>
      </c>
      <c r="DJ21" s="127" t="str">
        <f t="shared" si="6"/>
        <v/>
      </c>
      <c r="DQ21" s="280">
        <f>Transport!$A34</f>
        <v>44713</v>
      </c>
      <c r="DR21" s="13">
        <f t="shared" si="53"/>
        <v>1</v>
      </c>
      <c r="DS21" s="281">
        <f t="shared" si="54"/>
        <v>39.387231494672243</v>
      </c>
      <c r="DT21" s="295">
        <f t="shared" ca="1" si="55"/>
        <v>40.432406678031569</v>
      </c>
      <c r="DX21" s="280">
        <f>Transport!$A34</f>
        <v>44713</v>
      </c>
      <c r="DY21" s="13">
        <f t="shared" si="58"/>
        <v>1</v>
      </c>
      <c r="DZ21" s="281">
        <f t="shared" si="60"/>
        <v>39.387231494672243</v>
      </c>
      <c r="EA21" s="127">
        <f t="shared" ca="1" si="61"/>
        <v>38.360805378276368</v>
      </c>
      <c r="EC21" s="280">
        <f>Transport!$A34</f>
        <v>44713</v>
      </c>
      <c r="ED21" s="13"/>
      <c r="EE21" s="281"/>
      <c r="EF21" s="127"/>
      <c r="EH21" s="280">
        <f>Transport!$A34</f>
        <v>44713</v>
      </c>
      <c r="EI21" s="13"/>
      <c r="EJ21" s="281"/>
      <c r="EK21" s="127"/>
    </row>
    <row r="22" spans="1:141" x14ac:dyDescent="0.2">
      <c r="J22" s="228">
        <f t="shared" si="7"/>
        <v>1</v>
      </c>
      <c r="K22" s="121">
        <f>Transport!$A35</f>
        <v>44743</v>
      </c>
      <c r="L22" s="73">
        <f>Transport!$F35</f>
        <v>37.986203504258292</v>
      </c>
      <c r="M22" s="574">
        <f>Transport!J35</f>
        <v>37.986203504258292</v>
      </c>
      <c r="N22" s="120"/>
      <c r="O22">
        <f t="shared" si="8"/>
        <v>1</v>
      </c>
      <c r="P22" s="241">
        <f t="shared" si="9"/>
        <v>40.695594523008687</v>
      </c>
      <c r="Q22" s="73">
        <f t="shared" si="10"/>
        <v>40.695594523008687</v>
      </c>
      <c r="S22">
        <f t="shared" si="11"/>
        <v>1</v>
      </c>
      <c r="T22" s="73">
        <f t="shared" si="12"/>
        <v>40.596193967224536</v>
      </c>
      <c r="U22" s="73">
        <f t="shared" si="13"/>
        <v>40.596193967224536</v>
      </c>
      <c r="V22" s="2">
        <v>16</v>
      </c>
      <c r="X22" s="121">
        <f>Transport!$A35</f>
        <v>44743</v>
      </c>
      <c r="Y22" s="73">
        <f t="shared" si="0"/>
        <v>37.986203504258292</v>
      </c>
      <c r="Z22" s="15">
        <f t="shared" si="14"/>
        <v>3.6372230281246725</v>
      </c>
      <c r="AA22" s="98">
        <f t="shared" si="15"/>
        <v>1</v>
      </c>
      <c r="AB22" s="128">
        <f>IF(AA22&gt;0,16,0)</f>
        <v>16</v>
      </c>
      <c r="AC22" s="128">
        <f t="shared" si="16"/>
        <v>256</v>
      </c>
      <c r="AD22" s="15">
        <f t="shared" si="17"/>
        <v>58.195568449994759</v>
      </c>
      <c r="AE22" s="127">
        <f t="shared" ca="1" si="18"/>
        <v>3.6907249436017202</v>
      </c>
      <c r="AF22" s="127">
        <f t="shared" ca="1" si="19"/>
        <v>40.073887738062524</v>
      </c>
      <c r="AH22" s="121">
        <f>Transport!$A35</f>
        <v>44743</v>
      </c>
      <c r="AI22" s="73">
        <f t="shared" si="20"/>
        <v>40.695594523008687</v>
      </c>
      <c r="AJ22" s="15">
        <f t="shared" si="21"/>
        <v>3.7061198439119685</v>
      </c>
      <c r="AK22" s="98">
        <f t="shared" si="22"/>
        <v>1</v>
      </c>
      <c r="AL22" s="128">
        <f>IF(AK22&gt;0,16,0)</f>
        <v>16</v>
      </c>
      <c r="AM22" s="128">
        <f t="shared" si="23"/>
        <v>256</v>
      </c>
      <c r="AN22" s="15">
        <f t="shared" si="24"/>
        <v>59.297917502591496</v>
      </c>
      <c r="AO22" s="127">
        <f t="shared" ca="1" si="25"/>
        <v>3.6984482556076781</v>
      </c>
      <c r="AP22" s="127">
        <f t="shared" ca="1" si="56"/>
        <v>40.384589153911236</v>
      </c>
      <c r="AR22" s="121">
        <f>Transport!$A35</f>
        <v>44743</v>
      </c>
      <c r="AS22" s="73">
        <f t="shared" si="57"/>
        <v>40.695594523008687</v>
      </c>
      <c r="AT22" s="15">
        <f t="shared" si="26"/>
        <v>3.7061198439119685</v>
      </c>
      <c r="AU22" s="98">
        <f t="shared" si="27"/>
        <v>1</v>
      </c>
      <c r="AV22" s="128">
        <f>IF(AU22&gt;0,16,0)</f>
        <v>16</v>
      </c>
      <c r="AW22" s="128">
        <f t="shared" si="28"/>
        <v>256</v>
      </c>
      <c r="AX22" s="15">
        <f t="shared" si="29"/>
        <v>59.297917502591496</v>
      </c>
      <c r="AY22" s="127">
        <f t="shared" ca="1" si="30"/>
        <v>3.6507250452219311</v>
      </c>
      <c r="AZ22" s="127">
        <f t="shared" ca="1" si="59"/>
        <v>38.502572037145548</v>
      </c>
      <c r="BB22" s="121">
        <f>Transport!$A35</f>
        <v>44743</v>
      </c>
      <c r="BC22" s="131">
        <v>0</v>
      </c>
      <c r="BD22" s="15">
        <f t="shared" si="31"/>
        <v>0</v>
      </c>
      <c r="BE22" s="98">
        <f t="shared" si="32"/>
        <v>0</v>
      </c>
      <c r="BF22" s="128">
        <f>IF(BE22&gt;0,16,0)</f>
        <v>0</v>
      </c>
      <c r="BG22" s="128">
        <f t="shared" si="33"/>
        <v>0</v>
      </c>
      <c r="BH22" s="15">
        <f t="shared" si="34"/>
        <v>0</v>
      </c>
      <c r="BI22" s="127">
        <f t="shared" ca="1" si="35"/>
        <v>3.6770099739687958</v>
      </c>
      <c r="BJ22" s="127">
        <f t="shared" ca="1" si="2"/>
        <v>39.528027370198586</v>
      </c>
      <c r="BL22" s="121">
        <f>Transport!$A35</f>
        <v>44743</v>
      </c>
      <c r="BM22" s="131">
        <v>0</v>
      </c>
      <c r="BN22" s="15">
        <f t="shared" si="36"/>
        <v>0</v>
      </c>
      <c r="BO22" s="98">
        <f t="shared" si="37"/>
        <v>0</v>
      </c>
      <c r="BP22" s="128">
        <f>IF(BO22&gt;0,16,0)</f>
        <v>0</v>
      </c>
      <c r="BQ22" s="128">
        <f t="shared" si="38"/>
        <v>0</v>
      </c>
      <c r="BR22" s="15">
        <f t="shared" si="39"/>
        <v>0</v>
      </c>
      <c r="BS22" s="127">
        <f t="shared" ca="1" si="40"/>
        <v>3.6280007297259371</v>
      </c>
      <c r="BT22" s="127">
        <f t="shared" ca="1" si="3"/>
        <v>37.637493824367425</v>
      </c>
      <c r="BZ22" s="583">
        <f t="shared" si="42"/>
        <v>1</v>
      </c>
      <c r="CA22" s="121">
        <f>Transport!$A35</f>
        <v>44743</v>
      </c>
      <c r="CB22" s="73">
        <f t="shared" si="43"/>
        <v>40.695594523008687</v>
      </c>
      <c r="CC22" s="15">
        <f t="shared" si="44"/>
        <v>3.7061198439119685</v>
      </c>
      <c r="CD22" s="98">
        <f t="shared" si="45"/>
        <v>1</v>
      </c>
      <c r="CE22" s="128">
        <f>IF(CD22&gt;0,16,0)</f>
        <v>16</v>
      </c>
      <c r="CF22" s="128">
        <f t="shared" si="46"/>
        <v>256</v>
      </c>
      <c r="CG22" s="15">
        <f t="shared" si="47"/>
        <v>59.297917502591496</v>
      </c>
      <c r="CH22" s="127">
        <f t="shared" ca="1" si="48"/>
        <v>3.6596337493566948</v>
      </c>
      <c r="CI22" s="127">
        <f t="shared" ca="1" si="4"/>
        <v>38.847112485609173</v>
      </c>
      <c r="DB22" s="121">
        <f>Transport!$A35</f>
        <v>44743</v>
      </c>
      <c r="DC22" s="159">
        <v>0</v>
      </c>
      <c r="DD22" s="15">
        <f t="shared" si="49"/>
        <v>0</v>
      </c>
      <c r="DE22" s="98">
        <f t="shared" si="50"/>
        <v>0</v>
      </c>
      <c r="DF22" s="128">
        <f>IF(DE22&gt;0,16,0)</f>
        <v>0</v>
      </c>
      <c r="DG22" s="128">
        <f t="shared" si="51"/>
        <v>0</v>
      </c>
      <c r="DH22" s="15">
        <f t="shared" si="52"/>
        <v>0</v>
      </c>
      <c r="DI22" s="127" t="e">
        <f t="shared" si="5"/>
        <v>#DIV/0!</v>
      </c>
      <c r="DJ22" s="127" t="str">
        <f t="shared" si="6"/>
        <v/>
      </c>
      <c r="DQ22" s="280">
        <f>Transport!$A35</f>
        <v>44743</v>
      </c>
      <c r="DR22" s="13">
        <f t="shared" si="53"/>
        <v>1</v>
      </c>
      <c r="DS22" s="281">
        <f t="shared" si="54"/>
        <v>37.986203504258292</v>
      </c>
      <c r="DT22" s="295">
        <f t="shared" ca="1" si="55"/>
        <v>40.384589153911236</v>
      </c>
      <c r="DX22" s="280">
        <f>Transport!$A35</f>
        <v>44743</v>
      </c>
      <c r="DY22" s="13">
        <f t="shared" si="58"/>
        <v>1</v>
      </c>
      <c r="DZ22" s="281">
        <f t="shared" si="60"/>
        <v>37.986203504258292</v>
      </c>
      <c r="EA22" s="127">
        <f t="shared" ca="1" si="61"/>
        <v>38.502572037145548</v>
      </c>
      <c r="EC22" s="280">
        <f>Transport!$A35</f>
        <v>44743</v>
      </c>
      <c r="ED22" s="13"/>
      <c r="EE22" s="281"/>
      <c r="EF22" s="127"/>
      <c r="EH22" s="280">
        <f>Transport!$A35</f>
        <v>44743</v>
      </c>
      <c r="EI22" s="13"/>
      <c r="EJ22" s="281"/>
      <c r="EK22" s="127"/>
    </row>
    <row r="23" spans="1:141" x14ac:dyDescent="0.2">
      <c r="J23" s="228">
        <f t="shared" si="7"/>
        <v>1</v>
      </c>
      <c r="K23" s="121">
        <f>Transport!$A36</f>
        <v>44774</v>
      </c>
      <c r="L23" s="73">
        <f>Transport!$F36</f>
        <v>44.71334857009554</v>
      </c>
      <c r="M23" s="574">
        <f>Transport!J36</f>
        <v>44.71334857009554</v>
      </c>
      <c r="N23" s="120"/>
      <c r="O23">
        <f t="shared" si="8"/>
        <v>1</v>
      </c>
      <c r="P23" s="241">
        <f t="shared" si="9"/>
        <v>41.162244674750916</v>
      </c>
      <c r="Q23" s="73">
        <f t="shared" si="10"/>
        <v>41.162244674750916</v>
      </c>
      <c r="S23">
        <f t="shared" si="11"/>
        <v>1</v>
      </c>
      <c r="T23" s="73">
        <f t="shared" si="12"/>
        <v>40.608172475026038</v>
      </c>
      <c r="U23" s="73">
        <f t="shared" si="13"/>
        <v>40.608172475026038</v>
      </c>
      <c r="V23" s="2">
        <v>17</v>
      </c>
      <c r="X23" s="121">
        <f>Transport!$A36</f>
        <v>44774</v>
      </c>
      <c r="Y23" s="73">
        <f t="shared" si="0"/>
        <v>44.71334857009554</v>
      </c>
      <c r="Z23" s="15">
        <f t="shared" si="14"/>
        <v>3.8002720827689416</v>
      </c>
      <c r="AA23" s="98">
        <f t="shared" si="15"/>
        <v>1</v>
      </c>
      <c r="AB23" s="128">
        <f>IF(AA23&gt;0,17,0)</f>
        <v>17</v>
      </c>
      <c r="AC23" s="128">
        <f t="shared" si="16"/>
        <v>289</v>
      </c>
      <c r="AD23" s="15">
        <f t="shared" si="17"/>
        <v>64.604625407072007</v>
      </c>
      <c r="AE23" s="127">
        <f t="shared" ca="1" si="18"/>
        <v>3.6902458699224829</v>
      </c>
      <c r="AF23" s="127">
        <f t="shared" ca="1" si="19"/>
        <v>40.054693991199073</v>
      </c>
      <c r="AH23" s="121">
        <f>Transport!$A36</f>
        <v>44774</v>
      </c>
      <c r="AI23" s="73">
        <f t="shared" si="20"/>
        <v>41.162244674750916</v>
      </c>
      <c r="AJ23" s="15">
        <f t="shared" si="21"/>
        <v>3.7175214448226539</v>
      </c>
      <c r="AK23" s="98">
        <f t="shared" si="22"/>
        <v>1</v>
      </c>
      <c r="AL23" s="128">
        <f>IF(AK23&gt;0,17,0)</f>
        <v>17</v>
      </c>
      <c r="AM23" s="128">
        <f t="shared" si="23"/>
        <v>289</v>
      </c>
      <c r="AN23" s="15">
        <f t="shared" si="24"/>
        <v>63.197864561985114</v>
      </c>
      <c r="AO23" s="127">
        <f t="shared" ca="1" si="25"/>
        <v>3.6972649022991786</v>
      </c>
      <c r="AP23" s="127">
        <f t="shared" ca="1" si="56"/>
        <v>40.336828181349418</v>
      </c>
      <c r="AR23" s="121">
        <f>Transport!$A36</f>
        <v>44774</v>
      </c>
      <c r="AS23" s="73">
        <f t="shared" si="57"/>
        <v>41.162244674750916</v>
      </c>
      <c r="AT23" s="15">
        <f t="shared" si="26"/>
        <v>3.7175214448226539</v>
      </c>
      <c r="AU23" s="98">
        <f t="shared" si="27"/>
        <v>1</v>
      </c>
      <c r="AV23" s="128">
        <f>IF(AU23&gt;0,17,0)</f>
        <v>17</v>
      </c>
      <c r="AW23" s="128">
        <f t="shared" si="28"/>
        <v>289</v>
      </c>
      <c r="AX23" s="15">
        <f t="shared" si="29"/>
        <v>63.197864561985114</v>
      </c>
      <c r="AY23" s="127">
        <f t="shared" ca="1" si="30"/>
        <v>3.6544138453863431</v>
      </c>
      <c r="AZ23" s="127">
        <f t="shared" ca="1" si="59"/>
        <v>38.644862610603298</v>
      </c>
      <c r="BB23" s="121">
        <f>Transport!$A36</f>
        <v>44774</v>
      </c>
      <c r="BC23" s="73">
        <f t="shared" ref="BC23:BC40" si="62">$P23</f>
        <v>41.162244674750916</v>
      </c>
      <c r="BD23" s="15">
        <f t="shared" si="31"/>
        <v>3.7175214448226539</v>
      </c>
      <c r="BE23" s="98">
        <f t="shared" si="32"/>
        <v>1</v>
      </c>
      <c r="BF23" s="128">
        <f>IF(BE23&gt;0,17,0)</f>
        <v>17</v>
      </c>
      <c r="BG23" s="128">
        <f t="shared" si="33"/>
        <v>289</v>
      </c>
      <c r="BH23" s="15">
        <f t="shared" si="34"/>
        <v>63.197864561985114</v>
      </c>
      <c r="BI23" s="127">
        <f t="shared" ca="1" si="35"/>
        <v>3.6782707648021273</v>
      </c>
      <c r="BJ23" s="127">
        <f t="shared" ca="1" si="2"/>
        <v>39.577895374722281</v>
      </c>
      <c r="BL23" s="121">
        <f>Transport!$A36</f>
        <v>44774</v>
      </c>
      <c r="BM23" s="131">
        <v>0</v>
      </c>
      <c r="BN23" s="15">
        <f t="shared" si="36"/>
        <v>0</v>
      </c>
      <c r="BO23" s="98">
        <f t="shared" si="37"/>
        <v>0</v>
      </c>
      <c r="BP23" s="128">
        <f>IF(BO23&gt;0,17,0)</f>
        <v>0</v>
      </c>
      <c r="BQ23" s="128">
        <f t="shared" si="38"/>
        <v>0</v>
      </c>
      <c r="BR23" s="15">
        <f t="shared" si="39"/>
        <v>0</v>
      </c>
      <c r="BS23" s="127">
        <f t="shared" ca="1" si="40"/>
        <v>3.6331283739780704</v>
      </c>
      <c r="BT23" s="127">
        <f t="shared" ca="1" si="3"/>
        <v>37.830981146375528</v>
      </c>
      <c r="BZ23" s="583">
        <f t="shared" si="42"/>
        <v>1</v>
      </c>
      <c r="CA23" s="121">
        <f>Transport!$A36</f>
        <v>44774</v>
      </c>
      <c r="CB23" s="73">
        <f t="shared" si="43"/>
        <v>41.162244674750916</v>
      </c>
      <c r="CC23" s="15">
        <f t="shared" si="44"/>
        <v>3.7175214448226539</v>
      </c>
      <c r="CD23" s="98">
        <f t="shared" si="45"/>
        <v>1</v>
      </c>
      <c r="CE23" s="128">
        <f>IF(CD23&gt;0,17,0)</f>
        <v>17</v>
      </c>
      <c r="CF23" s="128">
        <f t="shared" si="46"/>
        <v>289</v>
      </c>
      <c r="CG23" s="15">
        <f t="shared" si="47"/>
        <v>63.197864561985114</v>
      </c>
      <c r="CH23" s="127">
        <f t="shared" ca="1" si="48"/>
        <v>3.6632406283795742</v>
      </c>
      <c r="CI23" s="127">
        <f t="shared" ca="1" si="4"/>
        <v>38.987482317053889</v>
      </c>
      <c r="DB23" s="121">
        <f>Transport!$A36</f>
        <v>44774</v>
      </c>
      <c r="DC23" s="159">
        <v>0</v>
      </c>
      <c r="DD23" s="15">
        <f t="shared" si="49"/>
        <v>0</v>
      </c>
      <c r="DE23" s="98">
        <f t="shared" si="50"/>
        <v>0</v>
      </c>
      <c r="DF23" s="128">
        <f>IF(DE23&gt;0,17,0)</f>
        <v>0</v>
      </c>
      <c r="DG23" s="128">
        <f t="shared" si="51"/>
        <v>0</v>
      </c>
      <c r="DH23" s="15">
        <f t="shared" si="52"/>
        <v>0</v>
      </c>
      <c r="DI23" s="127" t="e">
        <f t="shared" si="5"/>
        <v>#DIV/0!</v>
      </c>
      <c r="DJ23" s="127" t="str">
        <f t="shared" si="6"/>
        <v/>
      </c>
      <c r="DQ23" s="280">
        <f>Transport!$A36</f>
        <v>44774</v>
      </c>
      <c r="DR23" s="13">
        <f t="shared" si="53"/>
        <v>1</v>
      </c>
      <c r="DS23" s="281">
        <f t="shared" si="54"/>
        <v>44.71334857009554</v>
      </c>
      <c r="DT23" s="295">
        <f t="shared" ca="1" si="55"/>
        <v>40.336828181349418</v>
      </c>
      <c r="DX23" s="280">
        <f>Transport!$A36</f>
        <v>44774</v>
      </c>
      <c r="DY23" s="13">
        <f t="shared" si="58"/>
        <v>1</v>
      </c>
      <c r="DZ23" s="281">
        <f t="shared" si="60"/>
        <v>44.71334857009554</v>
      </c>
      <c r="EA23" s="127">
        <f t="shared" ca="1" si="61"/>
        <v>38.644862610603298</v>
      </c>
      <c r="EC23" s="280">
        <f>Transport!$A36</f>
        <v>44774</v>
      </c>
      <c r="ED23" s="13"/>
      <c r="EE23" s="281"/>
      <c r="EF23" s="127"/>
      <c r="EH23" s="280">
        <f>Transport!$A36</f>
        <v>44774</v>
      </c>
      <c r="EI23" s="13"/>
      <c r="EJ23" s="281"/>
      <c r="EK23" s="127"/>
    </row>
    <row r="24" spans="1:141" x14ac:dyDescent="0.2">
      <c r="A24" s="3" t="s">
        <v>1022</v>
      </c>
      <c r="J24" s="228">
        <f t="shared" si="7"/>
        <v>1</v>
      </c>
      <c r="K24" s="121">
        <f>Transport!$A37</f>
        <v>44805</v>
      </c>
      <c r="L24" s="73">
        <f>Transport!$F37</f>
        <v>40.787181949898923</v>
      </c>
      <c r="M24" s="574">
        <f>Transport!J37</f>
        <v>40.787181949898923</v>
      </c>
      <c r="N24" s="120"/>
      <c r="O24">
        <f t="shared" si="8"/>
        <v>1</v>
      </c>
      <c r="P24" s="241">
        <f t="shared" si="9"/>
        <v>42.32757718889949</v>
      </c>
      <c r="Q24" s="73">
        <f t="shared" si="10"/>
        <v>42.32757718889949</v>
      </c>
      <c r="S24">
        <f t="shared" si="11"/>
        <v>1</v>
      </c>
      <c r="T24" s="73">
        <f t="shared" si="12"/>
        <v>40.702829389673809</v>
      </c>
      <c r="U24" s="73">
        <f t="shared" si="13"/>
        <v>40.702829389673809</v>
      </c>
      <c r="V24" s="2">
        <v>18</v>
      </c>
      <c r="X24" s="121">
        <f>Transport!$A37</f>
        <v>44805</v>
      </c>
      <c r="Y24" s="73">
        <f t="shared" si="0"/>
        <v>40.787181949898923</v>
      </c>
      <c r="Z24" s="15">
        <f t="shared" si="14"/>
        <v>3.7083678641544102</v>
      </c>
      <c r="AA24" s="98">
        <f t="shared" si="15"/>
        <v>1</v>
      </c>
      <c r="AB24" s="128">
        <f>IF(AA24&gt;0,18,0)</f>
        <v>18</v>
      </c>
      <c r="AC24" s="128">
        <f t="shared" si="16"/>
        <v>324</v>
      </c>
      <c r="AD24" s="15">
        <f t="shared" si="17"/>
        <v>66.750621554779386</v>
      </c>
      <c r="AE24" s="127">
        <f t="shared" ca="1" si="18"/>
        <v>3.6897667962432461</v>
      </c>
      <c r="AF24" s="127">
        <f t="shared" ca="1" si="19"/>
        <v>40.035509437352324</v>
      </c>
      <c r="AH24" s="121">
        <f>Transport!$A37</f>
        <v>44805</v>
      </c>
      <c r="AI24" s="73">
        <f t="shared" si="20"/>
        <v>42.32757718889949</v>
      </c>
      <c r="AJ24" s="15">
        <f t="shared" si="21"/>
        <v>3.7454388166297026</v>
      </c>
      <c r="AK24" s="98">
        <f t="shared" si="22"/>
        <v>1</v>
      </c>
      <c r="AL24" s="128">
        <f>IF(AK24&gt;0,18,0)</f>
        <v>18</v>
      </c>
      <c r="AM24" s="128">
        <f t="shared" si="23"/>
        <v>324</v>
      </c>
      <c r="AN24" s="15">
        <f t="shared" si="24"/>
        <v>67.417898699334643</v>
      </c>
      <c r="AO24" s="127">
        <f t="shared" ca="1" si="25"/>
        <v>3.6960815489906791</v>
      </c>
      <c r="AP24" s="127">
        <f t="shared" ca="1" si="56"/>
        <v>40.289123693465243</v>
      </c>
      <c r="AR24" s="121">
        <f>Transport!$A37</f>
        <v>44805</v>
      </c>
      <c r="AS24" s="73">
        <f t="shared" si="57"/>
        <v>42.32757718889949</v>
      </c>
      <c r="AT24" s="15">
        <f t="shared" si="26"/>
        <v>3.7454388166297026</v>
      </c>
      <c r="AU24" s="98">
        <f t="shared" si="27"/>
        <v>1</v>
      </c>
      <c r="AV24" s="128">
        <f>IF(AU24&gt;0,18,0)</f>
        <v>18</v>
      </c>
      <c r="AW24" s="128">
        <f t="shared" si="28"/>
        <v>324</v>
      </c>
      <c r="AX24" s="15">
        <f t="shared" si="29"/>
        <v>67.417898699334643</v>
      </c>
      <c r="AY24" s="127">
        <f t="shared" ca="1" si="30"/>
        <v>3.658102645550755</v>
      </c>
      <c r="AZ24" s="127">
        <f t="shared" ca="1" si="59"/>
        <v>38.787679034834738</v>
      </c>
      <c r="BB24" s="121">
        <f>Transport!$A37</f>
        <v>44805</v>
      </c>
      <c r="BC24" s="73">
        <f t="shared" si="62"/>
        <v>42.32757718889949</v>
      </c>
      <c r="BD24" s="15">
        <f t="shared" si="31"/>
        <v>3.7454388166297026</v>
      </c>
      <c r="BE24" s="98">
        <f t="shared" si="32"/>
        <v>1</v>
      </c>
      <c r="BF24" s="128">
        <f>IF(BE24&gt;0,18,0)</f>
        <v>18</v>
      </c>
      <c r="BG24" s="128">
        <f t="shared" si="33"/>
        <v>324</v>
      </c>
      <c r="BH24" s="15">
        <f t="shared" si="34"/>
        <v>67.417898699334643</v>
      </c>
      <c r="BI24" s="127">
        <f t="shared" ca="1" si="35"/>
        <v>3.6795315556354593</v>
      </c>
      <c r="BJ24" s="127">
        <f t="shared" ca="1" si="2"/>
        <v>39.627826292020565</v>
      </c>
      <c r="BL24" s="121">
        <f>Transport!$A37</f>
        <v>44805</v>
      </c>
      <c r="BM24" s="131">
        <v>0</v>
      </c>
      <c r="BN24" s="15">
        <f t="shared" si="36"/>
        <v>0</v>
      </c>
      <c r="BO24" s="98">
        <f t="shared" si="37"/>
        <v>0</v>
      </c>
      <c r="BP24" s="128">
        <f>IF(BO24&gt;0,18,0)</f>
        <v>0</v>
      </c>
      <c r="BQ24" s="128">
        <f t="shared" si="38"/>
        <v>0</v>
      </c>
      <c r="BR24" s="15">
        <f t="shared" si="39"/>
        <v>0</v>
      </c>
      <c r="BS24" s="127">
        <f t="shared" ca="1" si="40"/>
        <v>3.6382560182302037</v>
      </c>
      <c r="BT24" s="127">
        <f t="shared" ca="1" si="3"/>
        <v>38.025463150546912</v>
      </c>
      <c r="BZ24" s="583">
        <f t="shared" si="42"/>
        <v>1</v>
      </c>
      <c r="CA24" s="121">
        <f>Transport!$A37</f>
        <v>44805</v>
      </c>
      <c r="CB24" s="73">
        <f t="shared" si="43"/>
        <v>42.32757718889949</v>
      </c>
      <c r="CC24" s="15">
        <f t="shared" si="44"/>
        <v>3.7454388166297026</v>
      </c>
      <c r="CD24" s="98">
        <f t="shared" si="45"/>
        <v>1</v>
      </c>
      <c r="CE24" s="128">
        <f>IF(CD24&gt;0,18,0)</f>
        <v>18</v>
      </c>
      <c r="CF24" s="128">
        <f t="shared" si="46"/>
        <v>324</v>
      </c>
      <c r="CG24" s="15">
        <f t="shared" si="47"/>
        <v>67.417898699334643</v>
      </c>
      <c r="CH24" s="127">
        <f t="shared" ca="1" si="48"/>
        <v>3.6668475074024536</v>
      </c>
      <c r="CI24" s="127">
        <f t="shared" ca="1" si="4"/>
        <v>39.12835935967388</v>
      </c>
      <c r="DB24" s="121">
        <f>Transport!$A37</f>
        <v>44805</v>
      </c>
      <c r="DC24" s="159">
        <v>0</v>
      </c>
      <c r="DD24" s="15">
        <f t="shared" si="49"/>
        <v>0</v>
      </c>
      <c r="DE24" s="98">
        <f t="shared" si="50"/>
        <v>0</v>
      </c>
      <c r="DF24" s="128">
        <f>IF(DE24&gt;0,18,0)</f>
        <v>0</v>
      </c>
      <c r="DG24" s="128">
        <f t="shared" si="51"/>
        <v>0</v>
      </c>
      <c r="DH24" s="15">
        <f t="shared" si="52"/>
        <v>0</v>
      </c>
      <c r="DI24" s="127" t="e">
        <f t="shared" si="5"/>
        <v>#DIV/0!</v>
      </c>
      <c r="DJ24" s="127" t="str">
        <f t="shared" si="6"/>
        <v/>
      </c>
      <c r="DQ24" s="280">
        <f>Transport!$A37</f>
        <v>44805</v>
      </c>
      <c r="DR24" s="13">
        <f t="shared" si="53"/>
        <v>1</v>
      </c>
      <c r="DS24" s="281">
        <f t="shared" si="54"/>
        <v>40.787181949898923</v>
      </c>
      <c r="DT24" s="295">
        <f t="shared" ca="1" si="55"/>
        <v>40.289123693465243</v>
      </c>
      <c r="DX24" s="280">
        <f>Transport!$A37</f>
        <v>44805</v>
      </c>
      <c r="DY24" s="13">
        <f t="shared" si="58"/>
        <v>1</v>
      </c>
      <c r="DZ24" s="281">
        <f t="shared" si="60"/>
        <v>40.787181949898923</v>
      </c>
      <c r="EA24" s="127">
        <f t="shared" ca="1" si="61"/>
        <v>38.787679034834738</v>
      </c>
      <c r="EC24" s="280">
        <f>Transport!$A37</f>
        <v>44805</v>
      </c>
      <c r="ED24" s="13"/>
      <c r="EE24" s="281"/>
      <c r="EF24" s="127"/>
      <c r="EH24" s="280">
        <f>Transport!$A37</f>
        <v>44805</v>
      </c>
      <c r="EI24" s="13"/>
      <c r="EJ24" s="281"/>
      <c r="EK24" s="127"/>
    </row>
    <row r="25" spans="1:141" x14ac:dyDescent="0.2">
      <c r="A25" s="249" t="s">
        <v>1033</v>
      </c>
      <c r="J25" s="228">
        <f t="shared" si="7"/>
        <v>1</v>
      </c>
      <c r="K25" s="121">
        <f>Transport!$A38</f>
        <v>44835</v>
      </c>
      <c r="L25" s="73">
        <f>Transport!$F38</f>
        <v>41.482201046704006</v>
      </c>
      <c r="M25" s="574">
        <f>Transport!J38</f>
        <v>41.482201046704006</v>
      </c>
      <c r="N25" s="120"/>
      <c r="O25">
        <f t="shared" si="8"/>
        <v>1</v>
      </c>
      <c r="P25" s="241">
        <f t="shared" si="9"/>
        <v>40.520750427043382</v>
      </c>
      <c r="Q25" s="73">
        <f t="shared" si="10"/>
        <v>40.520750427043382</v>
      </c>
      <c r="S25">
        <f t="shared" si="11"/>
        <v>1</v>
      </c>
      <c r="T25" s="73">
        <f t="shared" si="12"/>
        <v>40.114725285484759</v>
      </c>
      <c r="U25" s="73">
        <f t="shared" si="13"/>
        <v>40.114725285484759</v>
      </c>
      <c r="V25" s="2">
        <v>19</v>
      </c>
      <c r="X25" s="121">
        <f>Transport!$A38</f>
        <v>44835</v>
      </c>
      <c r="Y25" s="73">
        <f t="shared" si="0"/>
        <v>41.482201046704006</v>
      </c>
      <c r="Z25" s="15">
        <f t="shared" si="14"/>
        <v>3.725264444795974</v>
      </c>
      <c r="AA25" s="98">
        <f t="shared" si="15"/>
        <v>1</v>
      </c>
      <c r="AB25" s="128">
        <f>IF(AA25&gt;0,19,0)</f>
        <v>19</v>
      </c>
      <c r="AC25" s="128">
        <f t="shared" si="16"/>
        <v>361</v>
      </c>
      <c r="AD25" s="15">
        <f t="shared" si="17"/>
        <v>70.780024451123509</v>
      </c>
      <c r="AE25" s="127">
        <f t="shared" ca="1" si="18"/>
        <v>3.6892877225640088</v>
      </c>
      <c r="AF25" s="127">
        <f t="shared" ca="1" si="19"/>
        <v>40.016334072119172</v>
      </c>
      <c r="AH25" s="121">
        <f>Transport!$A38</f>
        <v>44835</v>
      </c>
      <c r="AI25" s="73">
        <f t="shared" si="20"/>
        <v>40.520750427043382</v>
      </c>
      <c r="AJ25" s="15">
        <f t="shared" si="21"/>
        <v>3.7018141991261526</v>
      </c>
      <c r="AK25" s="98">
        <f t="shared" si="22"/>
        <v>1</v>
      </c>
      <c r="AL25" s="128">
        <f>IF(AK25&gt;0,19,0)</f>
        <v>19</v>
      </c>
      <c r="AM25" s="128">
        <f t="shared" si="23"/>
        <v>361</v>
      </c>
      <c r="AN25" s="15">
        <f t="shared" si="24"/>
        <v>70.334469783396898</v>
      </c>
      <c r="AO25" s="127">
        <f t="shared" ca="1" si="25"/>
        <v>3.69489819568218</v>
      </c>
      <c r="AP25" s="127">
        <f t="shared" ca="1" si="56"/>
        <v>40.241475623456928</v>
      </c>
      <c r="AR25" s="121">
        <f>Transport!$A38</f>
        <v>44835</v>
      </c>
      <c r="AS25" s="73">
        <f t="shared" si="57"/>
        <v>40.520750427043382</v>
      </c>
      <c r="AT25" s="15">
        <f t="shared" si="26"/>
        <v>3.7018141991261526</v>
      </c>
      <c r="AU25" s="98">
        <f t="shared" si="27"/>
        <v>1</v>
      </c>
      <c r="AV25" s="128">
        <f>IF(AU25&gt;0,19,0)</f>
        <v>19</v>
      </c>
      <c r="AW25" s="128">
        <f t="shared" si="28"/>
        <v>361</v>
      </c>
      <c r="AX25" s="15">
        <f t="shared" si="29"/>
        <v>70.334469783396898</v>
      </c>
      <c r="AY25" s="127">
        <f t="shared" ca="1" si="30"/>
        <v>3.661791445715167</v>
      </c>
      <c r="AZ25" s="127">
        <f t="shared" ca="1" si="59"/>
        <v>38.931023253180392</v>
      </c>
      <c r="BB25" s="121">
        <f>Transport!$A38</f>
        <v>44835</v>
      </c>
      <c r="BC25" s="73">
        <f t="shared" si="62"/>
        <v>40.520750427043382</v>
      </c>
      <c r="BD25" s="15">
        <f t="shared" si="31"/>
        <v>3.7018141991261526</v>
      </c>
      <c r="BE25" s="98">
        <f t="shared" si="32"/>
        <v>1</v>
      </c>
      <c r="BF25" s="128">
        <f>IF(BE25&gt;0,19,0)</f>
        <v>19</v>
      </c>
      <c r="BG25" s="128">
        <f t="shared" si="33"/>
        <v>361</v>
      </c>
      <c r="BH25" s="15">
        <f t="shared" si="34"/>
        <v>70.334469783396898</v>
      </c>
      <c r="BI25" s="127">
        <f t="shared" ca="1" si="35"/>
        <v>3.6807923464687913</v>
      </c>
      <c r="BJ25" s="127">
        <f ca="1">EXP(BI25)</f>
        <v>39.677820201463291</v>
      </c>
      <c r="BL25" s="121">
        <f>Transport!$A38</f>
        <v>44835</v>
      </c>
      <c r="BM25" s="131">
        <v>0</v>
      </c>
      <c r="BN25" s="15">
        <f t="shared" si="36"/>
        <v>0</v>
      </c>
      <c r="BO25" s="98">
        <f t="shared" si="37"/>
        <v>0</v>
      </c>
      <c r="BP25" s="128">
        <f>IF(BO25&gt;0,19,0)</f>
        <v>0</v>
      </c>
      <c r="BQ25" s="128">
        <f t="shared" si="38"/>
        <v>0</v>
      </c>
      <c r="BR25" s="15">
        <f t="shared" si="39"/>
        <v>0</v>
      </c>
      <c r="BS25" s="127">
        <f t="shared" ca="1" si="40"/>
        <v>3.6433836624823375</v>
      </c>
      <c r="BT25" s="127">
        <f ca="1">EXP(BS25)</f>
        <v>38.220944950356717</v>
      </c>
      <c r="BZ25" s="583">
        <f t="shared" si="42"/>
        <v>1</v>
      </c>
      <c r="CA25" s="121">
        <f>Transport!$A38</f>
        <v>44835</v>
      </c>
      <c r="CB25" s="73">
        <f t="shared" si="43"/>
        <v>40.520750427043382</v>
      </c>
      <c r="CC25" s="15">
        <f t="shared" si="44"/>
        <v>3.7018141991261526</v>
      </c>
      <c r="CD25" s="98">
        <f t="shared" si="45"/>
        <v>1</v>
      </c>
      <c r="CE25" s="128">
        <f>IF(CD25&gt;0,19,0)</f>
        <v>19</v>
      </c>
      <c r="CF25" s="128">
        <f t="shared" si="46"/>
        <v>361</v>
      </c>
      <c r="CG25" s="15">
        <f t="shared" si="47"/>
        <v>70.334469783396898</v>
      </c>
      <c r="CH25" s="127">
        <f t="shared" ca="1" si="48"/>
        <v>3.6704543864253329</v>
      </c>
      <c r="CI25" s="127">
        <f ca="1">EXP(CH25)</f>
        <v>39.269745446221769</v>
      </c>
      <c r="DB25" s="121">
        <f>Transport!$A38</f>
        <v>44835</v>
      </c>
      <c r="DC25" s="158" t="e">
        <f>+CZ4</f>
        <v>#DIV/0!</v>
      </c>
      <c r="DD25" s="15" t="e">
        <f t="shared" si="49"/>
        <v>#DIV/0!</v>
      </c>
      <c r="DE25" s="98" t="e">
        <f t="shared" si="50"/>
        <v>#DIV/0!</v>
      </c>
      <c r="DF25" s="128" t="e">
        <f>IF(DE25&gt;0,19,0)</f>
        <v>#DIV/0!</v>
      </c>
      <c r="DG25" s="128" t="e">
        <f t="shared" si="51"/>
        <v>#DIV/0!</v>
      </c>
      <c r="DH25" s="15" t="e">
        <f t="shared" si="52"/>
        <v>#DIV/0!</v>
      </c>
      <c r="DI25" s="127" t="e">
        <f t="shared" si="5"/>
        <v>#DIV/0!</v>
      </c>
      <c r="DJ25" s="127" t="e">
        <f t="shared" si="6"/>
        <v>#DIV/0!</v>
      </c>
      <c r="DQ25" s="280">
        <f>Transport!$A38</f>
        <v>44835</v>
      </c>
      <c r="DR25" s="13">
        <f t="shared" si="53"/>
        <v>1</v>
      </c>
      <c r="DS25" s="281">
        <f t="shared" si="54"/>
        <v>41.482201046704006</v>
      </c>
      <c r="DT25" s="295">
        <f t="shared" ca="1" si="55"/>
        <v>40.241475623456928</v>
      </c>
      <c r="DX25" s="280">
        <f>Transport!$A38</f>
        <v>44835</v>
      </c>
      <c r="DY25" s="13">
        <f t="shared" si="58"/>
        <v>1</v>
      </c>
      <c r="DZ25" s="281">
        <f t="shared" si="60"/>
        <v>41.482201046704006</v>
      </c>
      <c r="EA25" s="127">
        <f t="shared" ca="1" si="61"/>
        <v>38.931023253180392</v>
      </c>
      <c r="EC25" s="280">
        <f>Transport!$A38</f>
        <v>44835</v>
      </c>
      <c r="ED25" s="13">
        <f t="shared" ref="ED25:ED42" si="63">IF($L25&gt;0,1,0)</f>
        <v>1</v>
      </c>
      <c r="EE25" s="281">
        <f t="shared" ref="EE25:EE42" si="64">+DZ25</f>
        <v>41.482201046704006</v>
      </c>
      <c r="EF25" s="127">
        <f ca="1">+BJ25</f>
        <v>39.677820201463291</v>
      </c>
      <c r="EH25" s="280">
        <f>Transport!$A38</f>
        <v>44835</v>
      </c>
      <c r="EI25" s="13"/>
      <c r="EJ25" s="281"/>
      <c r="EK25" s="127"/>
    </row>
    <row r="26" spans="1:141" x14ac:dyDescent="0.2">
      <c r="C26" s="8" t="s">
        <v>41</v>
      </c>
      <c r="D26" s="8" t="s">
        <v>42</v>
      </c>
      <c r="J26" s="228">
        <f t="shared" si="7"/>
        <v>1</v>
      </c>
      <c r="K26" s="121">
        <f>Transport!$A39</f>
        <v>44866</v>
      </c>
      <c r="L26" s="73">
        <f>Transport!$F39</f>
        <v>39.292868284527216</v>
      </c>
      <c r="M26" s="574">
        <f>Transport!J39</f>
        <v>39.292868284527216</v>
      </c>
      <c r="N26" s="120"/>
      <c r="O26">
        <f t="shared" si="8"/>
        <v>1</v>
      </c>
      <c r="P26" s="241">
        <f t="shared" si="9"/>
        <v>40.243414104596695</v>
      </c>
      <c r="Q26" s="73">
        <f t="shared" si="10"/>
        <v>40.243414104596695</v>
      </c>
      <c r="S26">
        <f t="shared" si="11"/>
        <v>1</v>
      </c>
      <c r="T26" s="73">
        <f t="shared" si="12"/>
        <v>38.594257188957094</v>
      </c>
      <c r="U26" s="73">
        <f t="shared" si="13"/>
        <v>38.594257188957094</v>
      </c>
      <c r="V26" s="2">
        <v>20</v>
      </c>
      <c r="X26" s="121">
        <f>Transport!$A39</f>
        <v>44866</v>
      </c>
      <c r="Y26" s="73">
        <f t="shared" si="0"/>
        <v>39.292868284527216</v>
      </c>
      <c r="Z26" s="15">
        <f t="shared" si="14"/>
        <v>3.6710430338207054</v>
      </c>
      <c r="AA26" s="98">
        <f t="shared" si="15"/>
        <v>1</v>
      </c>
      <c r="AB26" s="128">
        <f>IF(AA26&gt;0,20,0)</f>
        <v>20</v>
      </c>
      <c r="AC26" s="128">
        <f t="shared" si="16"/>
        <v>400</v>
      </c>
      <c r="AD26" s="15">
        <f t="shared" si="17"/>
        <v>73.420860676414108</v>
      </c>
      <c r="AE26" s="127">
        <f t="shared" ca="1" si="18"/>
        <v>3.6888086488847716</v>
      </c>
      <c r="AF26" s="127">
        <f t="shared" ca="1" si="19"/>
        <v>39.997167891098655</v>
      </c>
      <c r="AH26" s="121">
        <f>Transport!$A39</f>
        <v>44866</v>
      </c>
      <c r="AI26" s="73">
        <f t="shared" si="20"/>
        <v>40.243414104596695</v>
      </c>
      <c r="AJ26" s="15">
        <f t="shared" si="21"/>
        <v>3.6949463657460688</v>
      </c>
      <c r="AK26" s="98">
        <f t="shared" si="22"/>
        <v>1</v>
      </c>
      <c r="AL26" s="128">
        <f>IF(AK26&gt;0,20,0)</f>
        <v>20</v>
      </c>
      <c r="AM26" s="128">
        <f t="shared" si="23"/>
        <v>400</v>
      </c>
      <c r="AN26" s="15">
        <f t="shared" si="24"/>
        <v>73.89892731492138</v>
      </c>
      <c r="AO26" s="127">
        <f t="shared" ca="1" si="25"/>
        <v>3.6937148423736805</v>
      </c>
      <c r="AP26" s="127">
        <f t="shared" ca="1" si="56"/>
        <v>40.193883904601648</v>
      </c>
      <c r="AR26" s="121">
        <f>Transport!$A39</f>
        <v>44866</v>
      </c>
      <c r="AS26" s="73">
        <f t="shared" si="57"/>
        <v>40.243414104596695</v>
      </c>
      <c r="AT26" s="15">
        <f t="shared" si="26"/>
        <v>3.6949463657460688</v>
      </c>
      <c r="AU26" s="98">
        <f t="shared" si="27"/>
        <v>1</v>
      </c>
      <c r="AV26" s="128">
        <f>IF(AU26&gt;0,20,0)</f>
        <v>20</v>
      </c>
      <c r="AW26" s="128">
        <f t="shared" si="28"/>
        <v>400</v>
      </c>
      <c r="AX26" s="15">
        <f t="shared" si="29"/>
        <v>73.89892731492138</v>
      </c>
      <c r="AY26" s="127">
        <f t="shared" ca="1" si="30"/>
        <v>3.665480245879579</v>
      </c>
      <c r="AZ26" s="127">
        <f t="shared" ca="1" si="59"/>
        <v>39.074897216162597</v>
      </c>
      <c r="BB26" s="121">
        <f>Transport!$A39</f>
        <v>44866</v>
      </c>
      <c r="BC26" s="73">
        <f t="shared" si="62"/>
        <v>40.243414104596695</v>
      </c>
      <c r="BD26" s="15">
        <f t="shared" si="31"/>
        <v>3.6949463657460688</v>
      </c>
      <c r="BE26" s="98">
        <f t="shared" si="32"/>
        <v>1</v>
      </c>
      <c r="BF26" s="128">
        <f>IF(BE26&gt;0,20,0)</f>
        <v>20</v>
      </c>
      <c r="BG26" s="128">
        <f t="shared" si="33"/>
        <v>400</v>
      </c>
      <c r="BH26" s="15">
        <f t="shared" si="34"/>
        <v>73.89892731492138</v>
      </c>
      <c r="BI26" s="127">
        <f t="shared" ca="1" si="35"/>
        <v>3.6820531373021228</v>
      </c>
      <c r="BJ26" s="127">
        <f t="shared" ref="BJ26:BJ42" ca="1" si="65">EXP(BI26)</f>
        <v>39.727877182520444</v>
      </c>
      <c r="BL26" s="121">
        <f>Transport!$A39</f>
        <v>44866</v>
      </c>
      <c r="BM26" s="131">
        <v>0</v>
      </c>
      <c r="BN26" s="15">
        <f t="shared" si="36"/>
        <v>0</v>
      </c>
      <c r="BO26" s="98">
        <f t="shared" si="37"/>
        <v>0</v>
      </c>
      <c r="BP26" s="128">
        <f>IF(BO26&gt;0,20,0)</f>
        <v>0</v>
      </c>
      <c r="BQ26" s="128">
        <f t="shared" si="38"/>
        <v>0</v>
      </c>
      <c r="BR26" s="15">
        <f t="shared" si="39"/>
        <v>0</v>
      </c>
      <c r="BS26" s="127">
        <f t="shared" ca="1" si="40"/>
        <v>3.6485113067344708</v>
      </c>
      <c r="BT26" s="127">
        <f t="shared" ref="BT26:BT42" ca="1" si="66">EXP(BS26)</f>
        <v>38.417431685567436</v>
      </c>
      <c r="BZ26" s="583">
        <f t="shared" si="42"/>
        <v>1</v>
      </c>
      <c r="CA26" s="121">
        <f>Transport!$A39</f>
        <v>44866</v>
      </c>
      <c r="CB26" s="73">
        <f t="shared" si="43"/>
        <v>40.243414104596695</v>
      </c>
      <c r="CC26" s="15">
        <f t="shared" si="44"/>
        <v>3.6949463657460688</v>
      </c>
      <c r="CD26" s="98">
        <f t="shared" si="45"/>
        <v>1</v>
      </c>
      <c r="CE26" s="128">
        <f>IF(CD26&gt;0,20,0)</f>
        <v>20</v>
      </c>
      <c r="CF26" s="128">
        <f t="shared" si="46"/>
        <v>400</v>
      </c>
      <c r="CG26" s="15">
        <f t="shared" si="47"/>
        <v>73.89892731492138</v>
      </c>
      <c r="CH26" s="127">
        <f t="shared" ca="1" si="48"/>
        <v>3.6740612654482123</v>
      </c>
      <c r="CI26" s="127">
        <f t="shared" ref="CI26:CI42" ca="1" si="67">EXP(CH26)</f>
        <v>39.411642416072617</v>
      </c>
      <c r="DB26" s="121">
        <f>Transport!$A39</f>
        <v>44866</v>
      </c>
      <c r="DC26" s="158" t="e">
        <f t="shared" ref="DC26:DC42" si="68">+CZ5</f>
        <v>#DIV/0!</v>
      </c>
      <c r="DD26" s="15" t="e">
        <f t="shared" si="49"/>
        <v>#DIV/0!</v>
      </c>
      <c r="DE26" s="98" t="e">
        <f t="shared" si="50"/>
        <v>#DIV/0!</v>
      </c>
      <c r="DF26" s="128" t="e">
        <f>IF(DE26&gt;0,20,0)</f>
        <v>#DIV/0!</v>
      </c>
      <c r="DG26" s="128" t="e">
        <f t="shared" si="51"/>
        <v>#DIV/0!</v>
      </c>
      <c r="DH26" s="15" t="e">
        <f t="shared" si="52"/>
        <v>#DIV/0!</v>
      </c>
      <c r="DI26" s="127" t="e">
        <f t="shared" si="5"/>
        <v>#DIV/0!</v>
      </c>
      <c r="DJ26" s="127" t="e">
        <f t="shared" si="6"/>
        <v>#DIV/0!</v>
      </c>
      <c r="DQ26" s="280">
        <f>Transport!$A39</f>
        <v>44866</v>
      </c>
      <c r="DR26" s="13">
        <f t="shared" si="53"/>
        <v>1</v>
      </c>
      <c r="DS26" s="281">
        <f t="shared" si="54"/>
        <v>39.292868284527216</v>
      </c>
      <c r="DT26" s="295">
        <f t="shared" ca="1" si="55"/>
        <v>40.193883904601648</v>
      </c>
      <c r="DX26" s="280">
        <f>Transport!$A39</f>
        <v>44866</v>
      </c>
      <c r="DY26" s="13">
        <f t="shared" si="58"/>
        <v>1</v>
      </c>
      <c r="DZ26" s="281">
        <f t="shared" si="60"/>
        <v>39.292868284527216</v>
      </c>
      <c r="EA26" s="127">
        <f t="shared" ca="1" si="61"/>
        <v>39.074897216162597</v>
      </c>
      <c r="EC26" s="280">
        <f>Transport!$A39</f>
        <v>44866</v>
      </c>
      <c r="ED26" s="13">
        <f t="shared" si="63"/>
        <v>1</v>
      </c>
      <c r="EE26" s="281">
        <f t="shared" si="64"/>
        <v>39.292868284527216</v>
      </c>
      <c r="EF26" s="127">
        <f t="shared" ref="EF26:EF41" ca="1" si="69">+BJ26</f>
        <v>39.727877182520444</v>
      </c>
      <c r="EH26" s="280">
        <f>Transport!$A39</f>
        <v>44866</v>
      </c>
      <c r="EI26" s="13"/>
      <c r="EJ26" s="281"/>
      <c r="EK26" s="127"/>
    </row>
    <row r="27" spans="1:141" x14ac:dyDescent="0.2">
      <c r="B27" t="s">
        <v>1023</v>
      </c>
      <c r="C27" s="584">
        <v>3</v>
      </c>
      <c r="D27" s="584">
        <v>2022</v>
      </c>
      <c r="E27" s="227" t="s">
        <v>1034</v>
      </c>
      <c r="J27" s="228">
        <f t="shared" si="7"/>
        <v>1</v>
      </c>
      <c r="K27" s="121">
        <f>Transport!$A40</f>
        <v>44896</v>
      </c>
      <c r="L27" s="73">
        <f>Transport!$F40</f>
        <v>39.955172982558864</v>
      </c>
      <c r="M27" s="574">
        <f>Transport!J40</f>
        <v>39.955172982558864</v>
      </c>
      <c r="N27" s="120"/>
      <c r="O27">
        <f t="shared" si="8"/>
        <v>1</v>
      </c>
      <c r="P27" s="241">
        <f t="shared" si="9"/>
        <v>37.901873382070029</v>
      </c>
      <c r="Q27" s="73">
        <f t="shared" si="10"/>
        <v>37.901873382070029</v>
      </c>
      <c r="S27">
        <f t="shared" si="11"/>
        <v>1</v>
      </c>
      <c r="T27" s="73">
        <f t="shared" si="12"/>
        <v>39.008408370093626</v>
      </c>
      <c r="U27" s="73">
        <f t="shared" si="13"/>
        <v>39.008408370093626</v>
      </c>
      <c r="V27" s="2">
        <v>21</v>
      </c>
      <c r="X27" s="121">
        <f>Transport!$A40</f>
        <v>44896</v>
      </c>
      <c r="Y27" s="73">
        <f t="shared" si="0"/>
        <v>39.955172982558864</v>
      </c>
      <c r="Z27" s="15">
        <f t="shared" si="14"/>
        <v>3.6877581502516397</v>
      </c>
      <c r="AA27" s="98">
        <f t="shared" si="15"/>
        <v>1</v>
      </c>
      <c r="AB27" s="128">
        <f>IF(AA27&gt;0,21,0)</f>
        <v>21</v>
      </c>
      <c r="AC27" s="128">
        <f t="shared" si="16"/>
        <v>441</v>
      </c>
      <c r="AD27" s="15">
        <f t="shared" si="17"/>
        <v>77.442921155284438</v>
      </c>
      <c r="AE27" s="127">
        <f t="shared" ca="1" si="18"/>
        <v>3.6883295752055343</v>
      </c>
      <c r="AF27" s="127">
        <f t="shared" ca="1" si="19"/>
        <v>39.978010889891912</v>
      </c>
      <c r="AH27" s="121">
        <f>Transport!$A40</f>
        <v>44896</v>
      </c>
      <c r="AI27" s="73">
        <f t="shared" si="20"/>
        <v>37.901873382070029</v>
      </c>
      <c r="AJ27" s="15">
        <f t="shared" si="21"/>
        <v>3.6350005404728472</v>
      </c>
      <c r="AK27" s="98">
        <f t="shared" si="22"/>
        <v>1</v>
      </c>
      <c r="AL27" s="128">
        <f>IF(AK27&gt;0,21,0)</f>
        <v>21</v>
      </c>
      <c r="AM27" s="128">
        <f t="shared" si="23"/>
        <v>441</v>
      </c>
      <c r="AN27" s="15">
        <f t="shared" si="24"/>
        <v>76.335011349929786</v>
      </c>
      <c r="AO27" s="127">
        <f t="shared" ca="1" si="25"/>
        <v>3.6925314890651815</v>
      </c>
      <c r="AP27" s="127">
        <f t="shared" ca="1" si="56"/>
        <v>40.146348470255546</v>
      </c>
      <c r="AR27" s="121">
        <f>Transport!$A40</f>
        <v>44896</v>
      </c>
      <c r="AS27" s="73">
        <f t="shared" si="57"/>
        <v>37.901873382070029</v>
      </c>
      <c r="AT27" s="15">
        <f t="shared" si="26"/>
        <v>3.6350005404728472</v>
      </c>
      <c r="AU27" s="98">
        <f t="shared" si="27"/>
        <v>1</v>
      </c>
      <c r="AV27" s="128">
        <f>IF(AU27&gt;0,21,0)</f>
        <v>21</v>
      </c>
      <c r="AW27" s="128">
        <f t="shared" si="28"/>
        <v>441</v>
      </c>
      <c r="AX27" s="15">
        <f t="shared" si="29"/>
        <v>76.335011349929786</v>
      </c>
      <c r="AY27" s="127">
        <f t="shared" ca="1" si="30"/>
        <v>3.669169046043991</v>
      </c>
      <c r="AZ27" s="127">
        <f t="shared" ca="1" si="59"/>
        <v>39.219302881512078</v>
      </c>
      <c r="BB27" s="121">
        <f>Transport!$A40</f>
        <v>44896</v>
      </c>
      <c r="BC27" s="73">
        <f t="shared" si="62"/>
        <v>37.901873382070029</v>
      </c>
      <c r="BD27" s="15">
        <f t="shared" si="31"/>
        <v>3.6350005404728472</v>
      </c>
      <c r="BE27" s="98">
        <f t="shared" si="32"/>
        <v>1</v>
      </c>
      <c r="BF27" s="128">
        <f>IF(BE27&gt;0,21,0)</f>
        <v>21</v>
      </c>
      <c r="BG27" s="128">
        <f t="shared" si="33"/>
        <v>441</v>
      </c>
      <c r="BH27" s="15">
        <f t="shared" si="34"/>
        <v>76.335011349929786</v>
      </c>
      <c r="BI27" s="127">
        <f t="shared" ca="1" si="35"/>
        <v>3.6833139281354548</v>
      </c>
      <c r="BJ27" s="127">
        <f t="shared" ca="1" si="65"/>
        <v>39.777997314762338</v>
      </c>
      <c r="BL27" s="121">
        <f>Transport!$A40</f>
        <v>44896</v>
      </c>
      <c r="BM27" s="131">
        <v>0</v>
      </c>
      <c r="BN27" s="15">
        <f t="shared" si="36"/>
        <v>0</v>
      </c>
      <c r="BO27" s="98">
        <f t="shared" si="37"/>
        <v>0</v>
      </c>
      <c r="BP27" s="128">
        <f>IF(BO27&gt;0,21,0)</f>
        <v>0</v>
      </c>
      <c r="BQ27" s="128">
        <f t="shared" si="38"/>
        <v>0</v>
      </c>
      <c r="BR27" s="15">
        <f t="shared" si="39"/>
        <v>0</v>
      </c>
      <c r="BS27" s="127">
        <f t="shared" ca="1" si="40"/>
        <v>3.6536389509866041</v>
      </c>
      <c r="BT27" s="127">
        <f t="shared" ca="1" si="66"/>
        <v>38.614928522364181</v>
      </c>
      <c r="BZ27" s="583">
        <f t="shared" si="42"/>
        <v>1</v>
      </c>
      <c r="CA27" s="121">
        <f>Transport!$A40</f>
        <v>44896</v>
      </c>
      <c r="CB27" s="73">
        <f t="shared" si="43"/>
        <v>37.901873382070029</v>
      </c>
      <c r="CC27" s="15">
        <f t="shared" si="44"/>
        <v>3.6350005404728472</v>
      </c>
      <c r="CD27" s="98">
        <f t="shared" si="45"/>
        <v>1</v>
      </c>
      <c r="CE27" s="128">
        <f>IF(CD27&gt;0,21,0)</f>
        <v>21</v>
      </c>
      <c r="CF27" s="128">
        <f t="shared" si="46"/>
        <v>441</v>
      </c>
      <c r="CG27" s="15">
        <f t="shared" si="47"/>
        <v>76.335011349929786</v>
      </c>
      <c r="CH27" s="127">
        <f t="shared" ca="1" si="48"/>
        <v>3.6776681444710917</v>
      </c>
      <c r="CI27" s="127">
        <f t="shared" ca="1" si="67"/>
        <v>39.554052115247892</v>
      </c>
      <c r="DB27" s="121">
        <f>Transport!$A40</f>
        <v>44896</v>
      </c>
      <c r="DC27" s="158" t="e">
        <f t="shared" si="68"/>
        <v>#DIV/0!</v>
      </c>
      <c r="DD27" s="15" t="e">
        <f t="shared" si="49"/>
        <v>#DIV/0!</v>
      </c>
      <c r="DE27" s="98" t="e">
        <f t="shared" si="50"/>
        <v>#DIV/0!</v>
      </c>
      <c r="DF27" s="128" t="e">
        <f>IF(DE27&gt;0,21,0)</f>
        <v>#DIV/0!</v>
      </c>
      <c r="DG27" s="128" t="e">
        <f t="shared" si="51"/>
        <v>#DIV/0!</v>
      </c>
      <c r="DH27" s="15" t="e">
        <f t="shared" si="52"/>
        <v>#DIV/0!</v>
      </c>
      <c r="DI27" s="127" t="e">
        <f t="shared" si="5"/>
        <v>#DIV/0!</v>
      </c>
      <c r="DJ27" s="127" t="e">
        <f t="shared" si="6"/>
        <v>#DIV/0!</v>
      </c>
      <c r="DQ27" s="280">
        <f>Transport!$A40</f>
        <v>44896</v>
      </c>
      <c r="DR27" s="13">
        <f t="shared" si="53"/>
        <v>1</v>
      </c>
      <c r="DS27" s="281">
        <f t="shared" si="54"/>
        <v>39.955172982558864</v>
      </c>
      <c r="DT27" s="295">
        <f t="shared" ca="1" si="55"/>
        <v>40.146348470255546</v>
      </c>
      <c r="DX27" s="280">
        <f>Transport!$A40</f>
        <v>44896</v>
      </c>
      <c r="DY27" s="13">
        <f t="shared" si="58"/>
        <v>1</v>
      </c>
      <c r="DZ27" s="281">
        <f t="shared" si="60"/>
        <v>39.955172982558864</v>
      </c>
      <c r="EA27" s="127">
        <f t="shared" ca="1" si="61"/>
        <v>39.219302881512078</v>
      </c>
      <c r="EC27" s="280">
        <f>Transport!$A40</f>
        <v>44896</v>
      </c>
      <c r="ED27" s="13">
        <f t="shared" si="63"/>
        <v>1</v>
      </c>
      <c r="EE27" s="281">
        <f t="shared" si="64"/>
        <v>39.955172982558864</v>
      </c>
      <c r="EF27" s="127">
        <f t="shared" ca="1" si="69"/>
        <v>39.777997314762338</v>
      </c>
      <c r="EH27" s="280">
        <f>Transport!$A40</f>
        <v>44896</v>
      </c>
      <c r="EI27" s="13"/>
      <c r="EJ27" s="281"/>
      <c r="EK27" s="127"/>
    </row>
    <row r="28" spans="1:141" x14ac:dyDescent="0.2">
      <c r="B28" t="s">
        <v>1024</v>
      </c>
      <c r="C28" s="584">
        <v>10</v>
      </c>
      <c r="D28" s="584">
        <v>2023</v>
      </c>
      <c r="E28" s="249" t="s">
        <v>1035</v>
      </c>
      <c r="J28" s="228">
        <f t="shared" si="7"/>
        <v>1</v>
      </c>
      <c r="K28" s="121">
        <f>Transport!$A41</f>
        <v>44927</v>
      </c>
      <c r="L28" s="73">
        <f>Transport!$F41</f>
        <v>34.457578879124007</v>
      </c>
      <c r="M28" s="574">
        <f>Transport!J41</f>
        <v>34.457578879124007</v>
      </c>
      <c r="N28" s="120"/>
      <c r="O28">
        <f t="shared" si="8"/>
        <v>1</v>
      </c>
      <c r="P28" s="241">
        <f t="shared" si="9"/>
        <v>36.667763950870807</v>
      </c>
      <c r="Q28" s="73">
        <f t="shared" si="10"/>
        <v>36.667763950870807</v>
      </c>
      <c r="S28">
        <f t="shared" si="11"/>
        <v>1</v>
      </c>
      <c r="T28" s="73">
        <f t="shared" ca="1" si="12"/>
        <v>38.091926906136003</v>
      </c>
      <c r="U28" s="73">
        <f t="shared" ca="1" si="13"/>
        <v>38.091926906136003</v>
      </c>
      <c r="V28" s="2">
        <v>22</v>
      </c>
      <c r="X28" s="121">
        <f>Transport!$A41</f>
        <v>44927</v>
      </c>
      <c r="Y28" s="73">
        <f t="shared" si="0"/>
        <v>34.457578879124007</v>
      </c>
      <c r="Z28" s="15">
        <f t="shared" si="14"/>
        <v>3.539728969755251</v>
      </c>
      <c r="AA28" s="98">
        <f t="shared" si="15"/>
        <v>1</v>
      </c>
      <c r="AB28" s="128">
        <f>IF(AA28&gt;0,22,0)</f>
        <v>22</v>
      </c>
      <c r="AC28" s="128">
        <f t="shared" si="16"/>
        <v>484</v>
      </c>
      <c r="AD28" s="15">
        <f t="shared" si="17"/>
        <v>77.874037334615522</v>
      </c>
      <c r="AE28" s="127">
        <f t="shared" ca="1" si="18"/>
        <v>3.687850501526297</v>
      </c>
      <c r="AF28" s="127">
        <f t="shared" ca="1" si="19"/>
        <v>39.958863064102204</v>
      </c>
      <c r="AH28" s="121">
        <f>Transport!$A41</f>
        <v>44927</v>
      </c>
      <c r="AI28" s="73">
        <f t="shared" si="20"/>
        <v>36.667763950870807</v>
      </c>
      <c r="AJ28" s="15">
        <f t="shared" si="21"/>
        <v>3.6018980026093748</v>
      </c>
      <c r="AK28" s="98">
        <f t="shared" si="22"/>
        <v>1</v>
      </c>
      <c r="AL28" s="128">
        <f>IF(AK28&gt;0,22,0)</f>
        <v>22</v>
      </c>
      <c r="AM28" s="128">
        <f t="shared" si="23"/>
        <v>484</v>
      </c>
      <c r="AN28" s="15">
        <f t="shared" si="24"/>
        <v>79.241756057406249</v>
      </c>
      <c r="AO28" s="127">
        <f t="shared" ca="1" si="25"/>
        <v>3.691348135756682</v>
      </c>
      <c r="AP28" s="127">
        <f t="shared" ca="1" si="56"/>
        <v>40.098869253853536</v>
      </c>
      <c r="AR28" s="121">
        <f>Transport!$A41</f>
        <v>44927</v>
      </c>
      <c r="AS28" s="73">
        <f t="shared" si="57"/>
        <v>36.667763950870807</v>
      </c>
      <c r="AT28" s="15">
        <f t="shared" si="26"/>
        <v>3.6018980026093748</v>
      </c>
      <c r="AU28" s="98">
        <f t="shared" si="27"/>
        <v>1</v>
      </c>
      <c r="AV28" s="128">
        <f>IF(AU28&gt;0,22,0)</f>
        <v>22</v>
      </c>
      <c r="AW28" s="128">
        <f t="shared" si="28"/>
        <v>484</v>
      </c>
      <c r="AX28" s="15">
        <f t="shared" si="29"/>
        <v>79.241756057406249</v>
      </c>
      <c r="AY28" s="127">
        <f t="shared" ca="1" si="30"/>
        <v>3.6728578462084029</v>
      </c>
      <c r="AZ28" s="127">
        <f t="shared" ca="1" si="59"/>
        <v>39.364242214194569</v>
      </c>
      <c r="BB28" s="121">
        <f>Transport!$A41</f>
        <v>44927</v>
      </c>
      <c r="BC28" s="73">
        <f t="shared" si="62"/>
        <v>36.667763950870807</v>
      </c>
      <c r="BD28" s="15">
        <f t="shared" si="31"/>
        <v>3.6018980026093748</v>
      </c>
      <c r="BE28" s="98">
        <f t="shared" si="32"/>
        <v>1</v>
      </c>
      <c r="BF28" s="128">
        <f>IF(BE28&gt;0,22,0)</f>
        <v>22</v>
      </c>
      <c r="BG28" s="128">
        <f t="shared" si="33"/>
        <v>484</v>
      </c>
      <c r="BH28" s="15">
        <f t="shared" si="34"/>
        <v>79.241756057406249</v>
      </c>
      <c r="BI28" s="127">
        <f t="shared" ca="1" si="35"/>
        <v>3.6845747189687867</v>
      </c>
      <c r="BJ28" s="127">
        <f t="shared" ca="1" si="65"/>
        <v>39.828180677859585</v>
      </c>
      <c r="BL28" s="121">
        <f>Transport!$A41</f>
        <v>44927</v>
      </c>
      <c r="BM28" s="131">
        <v>0</v>
      </c>
      <c r="BN28" s="15">
        <f t="shared" si="36"/>
        <v>0</v>
      </c>
      <c r="BO28" s="98">
        <f t="shared" si="37"/>
        <v>0</v>
      </c>
      <c r="BP28" s="128">
        <f>IF(BO28&gt;0,22,0)</f>
        <v>0</v>
      </c>
      <c r="BQ28" s="128">
        <f t="shared" si="38"/>
        <v>0</v>
      </c>
      <c r="BR28" s="15">
        <f t="shared" si="39"/>
        <v>0</v>
      </c>
      <c r="BS28" s="127">
        <f t="shared" ca="1" si="40"/>
        <v>3.6587665952387378</v>
      </c>
      <c r="BT28" s="127">
        <f t="shared" ca="1" si="66"/>
        <v>38.813440653490453</v>
      </c>
      <c r="BZ28" s="583">
        <f t="shared" si="42"/>
        <v>1</v>
      </c>
      <c r="CA28" s="121">
        <f>Transport!$A41</f>
        <v>44927</v>
      </c>
      <c r="CB28" s="73">
        <f t="shared" si="43"/>
        <v>36.667763950870807</v>
      </c>
      <c r="CC28" s="15">
        <f t="shared" si="44"/>
        <v>3.6018980026093748</v>
      </c>
      <c r="CD28" s="98">
        <f t="shared" si="45"/>
        <v>1</v>
      </c>
      <c r="CE28" s="128">
        <f>IF(CD28&gt;0,22,0)</f>
        <v>22</v>
      </c>
      <c r="CF28" s="128">
        <f t="shared" si="46"/>
        <v>484</v>
      </c>
      <c r="CG28" s="15">
        <f t="shared" si="47"/>
        <v>79.241756057406249</v>
      </c>
      <c r="CH28" s="127">
        <f t="shared" ca="1" si="48"/>
        <v>3.6812750234939715</v>
      </c>
      <c r="CI28" s="127">
        <f t="shared" ca="1" si="67"/>
        <v>39.69697639643946</v>
      </c>
      <c r="DB28" s="121">
        <f>Transport!$A41</f>
        <v>44927</v>
      </c>
      <c r="DC28" s="158" t="e">
        <f t="shared" si="68"/>
        <v>#DIV/0!</v>
      </c>
      <c r="DD28" s="15" t="e">
        <f t="shared" si="49"/>
        <v>#DIV/0!</v>
      </c>
      <c r="DE28" s="98" t="e">
        <f t="shared" si="50"/>
        <v>#DIV/0!</v>
      </c>
      <c r="DF28" s="128" t="e">
        <f>IF(DE28&gt;0,22,0)</f>
        <v>#DIV/0!</v>
      </c>
      <c r="DG28" s="128" t="e">
        <f t="shared" si="51"/>
        <v>#DIV/0!</v>
      </c>
      <c r="DH28" s="15" t="e">
        <f t="shared" si="52"/>
        <v>#DIV/0!</v>
      </c>
      <c r="DI28" s="127" t="e">
        <f t="shared" si="5"/>
        <v>#DIV/0!</v>
      </c>
      <c r="DJ28" s="127" t="e">
        <f t="shared" si="6"/>
        <v>#DIV/0!</v>
      </c>
      <c r="DQ28" s="280">
        <f>Transport!$A41</f>
        <v>44927</v>
      </c>
      <c r="DR28" s="13">
        <f t="shared" si="53"/>
        <v>1</v>
      </c>
      <c r="DS28" s="281">
        <f t="shared" si="54"/>
        <v>34.457578879124007</v>
      </c>
      <c r="DT28" s="295">
        <f t="shared" ca="1" si="55"/>
        <v>40.098869253853536</v>
      </c>
      <c r="DX28" s="280">
        <f>Transport!$A41</f>
        <v>44927</v>
      </c>
      <c r="DY28" s="13">
        <f t="shared" si="58"/>
        <v>1</v>
      </c>
      <c r="DZ28" s="281">
        <f t="shared" si="60"/>
        <v>34.457578879124007</v>
      </c>
      <c r="EA28" s="127">
        <f t="shared" ca="1" si="61"/>
        <v>39.364242214194569</v>
      </c>
      <c r="EC28" s="280">
        <f>Transport!$A41</f>
        <v>44927</v>
      </c>
      <c r="ED28" s="13">
        <f t="shared" si="63"/>
        <v>1</v>
      </c>
      <c r="EE28" s="281">
        <f t="shared" si="64"/>
        <v>34.457578879124007</v>
      </c>
      <c r="EF28" s="127">
        <f t="shared" ca="1" si="69"/>
        <v>39.828180677859585</v>
      </c>
      <c r="EH28" s="280">
        <f>Transport!$A41</f>
        <v>44927</v>
      </c>
      <c r="EI28" s="13"/>
      <c r="EJ28" s="281"/>
      <c r="EK28" s="127"/>
    </row>
    <row r="29" spans="1:141" x14ac:dyDescent="0.2">
      <c r="J29" s="228">
        <f t="shared" si="7"/>
        <v>1</v>
      </c>
      <c r="K29" s="121">
        <f>Transport!$A42</f>
        <v>44958</v>
      </c>
      <c r="L29" s="73">
        <f>Transport!$F42</f>
        <v>35.59053999092955</v>
      </c>
      <c r="M29" s="574">
        <f>Transport!J42</f>
        <v>35.59053999092955</v>
      </c>
      <c r="N29" s="120"/>
      <c r="O29">
        <f t="shared" si="8"/>
        <v>1</v>
      </c>
      <c r="P29" s="241">
        <f t="shared" si="9"/>
        <v>37.77340263559055</v>
      </c>
      <c r="Q29" s="73">
        <f t="shared" si="10"/>
        <v>37.77340263559055</v>
      </c>
      <c r="S29">
        <f t="shared" ca="1" si="11"/>
        <v>1</v>
      </c>
      <c r="T29" s="73">
        <f t="shared" ca="1" si="12"/>
        <v>38.251779489981921</v>
      </c>
      <c r="U29" s="73">
        <f t="shared" ca="1" si="13"/>
        <v>38.251779489981921</v>
      </c>
      <c r="V29" s="2">
        <v>23</v>
      </c>
      <c r="X29" s="121">
        <f>Transport!$A42</f>
        <v>44958</v>
      </c>
      <c r="Y29" s="73">
        <f t="shared" si="0"/>
        <v>35.59053999092955</v>
      </c>
      <c r="Z29" s="15">
        <f t="shared" si="14"/>
        <v>3.5720798719534885</v>
      </c>
      <c r="AA29" s="98">
        <f t="shared" si="15"/>
        <v>1</v>
      </c>
      <c r="AB29" s="128">
        <f>IF(AA29&gt;0,23,0)</f>
        <v>23</v>
      </c>
      <c r="AC29" s="128">
        <f t="shared" si="16"/>
        <v>529</v>
      </c>
      <c r="AD29" s="15">
        <f t="shared" si="17"/>
        <v>82.157837054930241</v>
      </c>
      <c r="AE29" s="127">
        <f t="shared" ca="1" si="18"/>
        <v>3.6873714278470597</v>
      </c>
      <c r="AF29" s="127">
        <f t="shared" ca="1" si="19"/>
        <v>39.939724409334865</v>
      </c>
      <c r="AH29" s="121">
        <f>Transport!$A42</f>
        <v>44958</v>
      </c>
      <c r="AI29" s="73">
        <f t="shared" si="20"/>
        <v>37.77340263559055</v>
      </c>
      <c r="AJ29" s="15">
        <f t="shared" si="21"/>
        <v>3.6316052209798833</v>
      </c>
      <c r="AK29" s="98">
        <f t="shared" si="22"/>
        <v>1</v>
      </c>
      <c r="AL29" s="128">
        <f>IF(AK29&gt;0,23,0)</f>
        <v>23</v>
      </c>
      <c r="AM29" s="128">
        <f t="shared" si="23"/>
        <v>529</v>
      </c>
      <c r="AN29" s="15">
        <f t="shared" si="24"/>
        <v>83.526920082537316</v>
      </c>
      <c r="AO29" s="127">
        <f t="shared" ca="1" si="25"/>
        <v>3.6901647824481825</v>
      </c>
      <c r="AP29" s="127">
        <f t="shared" ca="1" si="56"/>
        <v>40.051446188909274</v>
      </c>
      <c r="AR29" s="121">
        <f>Transport!$A42</f>
        <v>44958</v>
      </c>
      <c r="AS29" s="73">
        <f t="shared" si="57"/>
        <v>37.77340263559055</v>
      </c>
      <c r="AT29" s="15">
        <f t="shared" si="26"/>
        <v>3.6316052209798833</v>
      </c>
      <c r="AU29" s="98">
        <f t="shared" si="27"/>
        <v>1</v>
      </c>
      <c r="AV29" s="128">
        <f>IF(AU29&gt;0,23,0)</f>
        <v>23</v>
      </c>
      <c r="AW29" s="128">
        <f t="shared" si="28"/>
        <v>529</v>
      </c>
      <c r="AX29" s="15">
        <f t="shared" si="29"/>
        <v>83.526920082537316</v>
      </c>
      <c r="AY29" s="127">
        <f t="shared" ca="1" si="30"/>
        <v>3.6765466463728149</v>
      </c>
      <c r="AZ29" s="127">
        <f t="shared" ca="1" si="59"/>
        <v>39.509717186437555</v>
      </c>
      <c r="BB29" s="121">
        <f>Transport!$A42</f>
        <v>44958</v>
      </c>
      <c r="BC29" s="73">
        <f t="shared" si="62"/>
        <v>37.77340263559055</v>
      </c>
      <c r="BD29" s="15">
        <f t="shared" si="31"/>
        <v>3.6316052209798833</v>
      </c>
      <c r="BE29" s="98">
        <f t="shared" si="32"/>
        <v>1</v>
      </c>
      <c r="BF29" s="128">
        <f>IF(BE29&gt;0,23,0)</f>
        <v>23</v>
      </c>
      <c r="BG29" s="128">
        <f t="shared" si="33"/>
        <v>529</v>
      </c>
      <c r="BH29" s="15">
        <f t="shared" si="34"/>
        <v>83.526920082537316</v>
      </c>
      <c r="BI29" s="127">
        <f t="shared" ca="1" si="35"/>
        <v>3.6858355098021187</v>
      </c>
      <c r="BJ29" s="127">
        <f t="shared" ca="1" si="65"/>
        <v>39.878427351583355</v>
      </c>
      <c r="BL29" s="121">
        <f>Transport!$A42</f>
        <v>44958</v>
      </c>
      <c r="BM29" s="73">
        <f t="shared" ref="BM29:BM40" si="70">$P29</f>
        <v>37.77340263559055</v>
      </c>
      <c r="BN29" s="15">
        <f t="shared" si="36"/>
        <v>3.6316052209798833</v>
      </c>
      <c r="BO29" s="98">
        <f t="shared" si="37"/>
        <v>1</v>
      </c>
      <c r="BP29" s="128">
        <f>IF(BO29&gt;0,23,0)</f>
        <v>23</v>
      </c>
      <c r="BQ29" s="128">
        <f t="shared" si="38"/>
        <v>529</v>
      </c>
      <c r="BR29" s="15">
        <f t="shared" si="39"/>
        <v>83.526920082537316</v>
      </c>
      <c r="BS29" s="127">
        <f t="shared" ca="1" si="40"/>
        <v>3.6638942394908711</v>
      </c>
      <c r="BT29" s="127">
        <f t="shared" ca="1" si="66"/>
        <v>39.01297329838463</v>
      </c>
      <c r="BZ29" s="583">
        <f t="shared" si="42"/>
        <v>1</v>
      </c>
      <c r="CA29" s="121">
        <f>Transport!$A42</f>
        <v>44958</v>
      </c>
      <c r="CB29" s="73">
        <f t="shared" si="43"/>
        <v>37.77340263559055</v>
      </c>
      <c r="CC29" s="15">
        <f t="shared" si="44"/>
        <v>3.6316052209798833</v>
      </c>
      <c r="CD29" s="98">
        <f t="shared" si="45"/>
        <v>1</v>
      </c>
      <c r="CE29" s="128">
        <f>IF(CD29&gt;0,23,0)</f>
        <v>23</v>
      </c>
      <c r="CF29" s="128">
        <f t="shared" si="46"/>
        <v>529</v>
      </c>
      <c r="CG29" s="15">
        <f t="shared" si="47"/>
        <v>83.526920082537316</v>
      </c>
      <c r="CH29" s="127">
        <f t="shared" ca="1" si="48"/>
        <v>3.6848819025168509</v>
      </c>
      <c r="CI29" s="127">
        <f t="shared" ca="1" si="67"/>
        <v>39.840417119033638</v>
      </c>
      <c r="DB29" s="121">
        <f>Transport!$A42</f>
        <v>44958</v>
      </c>
      <c r="DC29" s="158" t="e">
        <f t="shared" si="68"/>
        <v>#DIV/0!</v>
      </c>
      <c r="DD29" s="15" t="e">
        <f t="shared" si="49"/>
        <v>#DIV/0!</v>
      </c>
      <c r="DE29" s="98" t="e">
        <f t="shared" si="50"/>
        <v>#DIV/0!</v>
      </c>
      <c r="DF29" s="128" t="e">
        <f>IF(DE29&gt;0,23,0)</f>
        <v>#DIV/0!</v>
      </c>
      <c r="DG29" s="128" t="e">
        <f t="shared" si="51"/>
        <v>#DIV/0!</v>
      </c>
      <c r="DH29" s="15" t="e">
        <f t="shared" si="52"/>
        <v>#DIV/0!</v>
      </c>
      <c r="DI29" s="127" t="e">
        <f t="shared" si="5"/>
        <v>#DIV/0!</v>
      </c>
      <c r="DJ29" s="127" t="e">
        <f t="shared" si="6"/>
        <v>#DIV/0!</v>
      </c>
      <c r="DQ29" s="280">
        <f>Transport!$A42</f>
        <v>44958</v>
      </c>
      <c r="DR29" s="13">
        <f t="shared" si="53"/>
        <v>1</v>
      </c>
      <c r="DS29" s="281">
        <f t="shared" si="54"/>
        <v>35.59053999092955</v>
      </c>
      <c r="DT29" s="295">
        <f t="shared" ca="1" si="55"/>
        <v>40.051446188909274</v>
      </c>
      <c r="DX29" s="280">
        <f>Transport!$A42</f>
        <v>44958</v>
      </c>
      <c r="DY29" s="13">
        <f t="shared" si="58"/>
        <v>1</v>
      </c>
      <c r="DZ29" s="281">
        <f t="shared" si="60"/>
        <v>35.59053999092955</v>
      </c>
      <c r="EA29" s="127">
        <f t="shared" ca="1" si="61"/>
        <v>39.509717186437555</v>
      </c>
      <c r="EC29" s="280">
        <f>Transport!$A42</f>
        <v>44958</v>
      </c>
      <c r="ED29" s="13">
        <f t="shared" si="63"/>
        <v>1</v>
      </c>
      <c r="EE29" s="281">
        <f t="shared" si="64"/>
        <v>35.59053999092955</v>
      </c>
      <c r="EF29" s="127">
        <f t="shared" ca="1" si="69"/>
        <v>39.878427351583355</v>
      </c>
      <c r="EH29" s="280">
        <f>Transport!$A42</f>
        <v>44958</v>
      </c>
      <c r="EI29" s="13"/>
      <c r="EJ29" s="281"/>
      <c r="EK29" s="127"/>
    </row>
    <row r="30" spans="1:141" x14ac:dyDescent="0.2">
      <c r="J30" s="228">
        <f t="shared" si="7"/>
        <v>1</v>
      </c>
      <c r="K30" s="121">
        <f>Transport!$A43</f>
        <v>44986</v>
      </c>
      <c r="L30" s="73">
        <f>Transport!$F43</f>
        <v>43.272089036718107</v>
      </c>
      <c r="M30" s="574">
        <f>Transport!J43</f>
        <v>43.272089036718107</v>
      </c>
      <c r="N30" s="120"/>
      <c r="O30">
        <f t="shared" ca="1" si="8"/>
        <v>1</v>
      </c>
      <c r="P30" s="241">
        <f t="shared" ca="1" si="9"/>
        <v>38.281980430201976</v>
      </c>
      <c r="Q30" s="73">
        <f t="shared" ca="1" si="10"/>
        <v>38.281980430201976</v>
      </c>
      <c r="S30">
        <f t="shared" ca="1" si="11"/>
        <v>1</v>
      </c>
      <c r="T30" s="73">
        <f t="shared" ca="1" si="12"/>
        <v>38.420343103770144</v>
      </c>
      <c r="U30" s="73">
        <f t="shared" ca="1" si="13"/>
        <v>38.420343103770144</v>
      </c>
      <c r="V30" s="2">
        <v>24</v>
      </c>
      <c r="X30" s="121">
        <f>Transport!$A43</f>
        <v>44986</v>
      </c>
      <c r="Y30" s="73">
        <f t="shared" si="0"/>
        <v>43.272089036718107</v>
      </c>
      <c r="Z30" s="15">
        <f t="shared" si="14"/>
        <v>3.7675078321728073</v>
      </c>
      <c r="AA30" s="98">
        <f t="shared" si="15"/>
        <v>1</v>
      </c>
      <c r="AB30" s="128">
        <f>IF(AA30&gt;0,24,0)</f>
        <v>24</v>
      </c>
      <c r="AC30" s="128">
        <f t="shared" si="16"/>
        <v>576</v>
      </c>
      <c r="AD30" s="15">
        <f t="shared" si="17"/>
        <v>90.420187972147374</v>
      </c>
      <c r="AE30" s="127">
        <f t="shared" ca="1" si="18"/>
        <v>3.6868923541678225</v>
      </c>
      <c r="AF30" s="127">
        <f t="shared" ca="1" si="19"/>
        <v>39.92059492119737</v>
      </c>
      <c r="AH30" s="121">
        <f>Transport!$A43</f>
        <v>44986</v>
      </c>
      <c r="AI30" s="73">
        <f t="shared" ca="1" si="20"/>
        <v>38.281980430201976</v>
      </c>
      <c r="AJ30" s="15">
        <f t="shared" ca="1" si="21"/>
        <v>3.6449793006227522</v>
      </c>
      <c r="AK30" s="98">
        <f t="shared" ca="1" si="22"/>
        <v>1</v>
      </c>
      <c r="AL30" s="128">
        <f ca="1">IF(AK30&gt;0,24,0)</f>
        <v>24</v>
      </c>
      <c r="AM30" s="128">
        <f t="shared" ca="1" si="23"/>
        <v>576</v>
      </c>
      <c r="AN30" s="15">
        <f t="shared" ca="1" si="24"/>
        <v>87.47950321494605</v>
      </c>
      <c r="AO30" s="127">
        <f t="shared" ca="1" si="25"/>
        <v>3.6889814291396834</v>
      </c>
      <c r="AP30" s="127">
        <f t="shared" ca="1" si="56"/>
        <v>40.004079209015075</v>
      </c>
      <c r="AR30" s="121">
        <f>Transport!$A43</f>
        <v>44986</v>
      </c>
      <c r="AS30" s="73">
        <f t="shared" ca="1" si="57"/>
        <v>38.281980430201976</v>
      </c>
      <c r="AT30" s="15">
        <f t="shared" ca="1" si="26"/>
        <v>3.6449793006227522</v>
      </c>
      <c r="AU30" s="98">
        <f t="shared" ca="1" si="27"/>
        <v>1</v>
      </c>
      <c r="AV30" s="128">
        <f ca="1">IF(AU30&gt;0,24,0)</f>
        <v>24</v>
      </c>
      <c r="AW30" s="128">
        <f t="shared" ca="1" si="28"/>
        <v>576</v>
      </c>
      <c r="AX30" s="15">
        <f t="shared" ca="1" si="29"/>
        <v>87.47950321494605</v>
      </c>
      <c r="AY30" s="127">
        <f t="shared" ca="1" si="30"/>
        <v>3.6802354465372269</v>
      </c>
      <c r="AZ30" s="127">
        <f t="shared" ca="1" si="59"/>
        <v>39.655729777757116</v>
      </c>
      <c r="BB30" s="121">
        <f>Transport!$A43</f>
        <v>44986</v>
      </c>
      <c r="BC30" s="73">
        <f t="shared" ca="1" si="62"/>
        <v>38.281980430201976</v>
      </c>
      <c r="BD30" s="15">
        <f t="shared" ca="1" si="31"/>
        <v>3.6449793006227522</v>
      </c>
      <c r="BE30" s="98">
        <f t="shared" ca="1" si="32"/>
        <v>1</v>
      </c>
      <c r="BF30" s="128">
        <f ca="1">IF(BE30&gt;0,24,0)</f>
        <v>24</v>
      </c>
      <c r="BG30" s="128">
        <f t="shared" ca="1" si="33"/>
        <v>576</v>
      </c>
      <c r="BH30" s="15">
        <f t="shared" ca="1" si="34"/>
        <v>87.47950321494605</v>
      </c>
      <c r="BI30" s="127">
        <f t="shared" ca="1" si="35"/>
        <v>3.6870963006354502</v>
      </c>
      <c r="BJ30" s="127">
        <f t="shared" ca="1" si="65"/>
        <v>39.928737415805429</v>
      </c>
      <c r="BL30" s="121">
        <f>Transport!$A43</f>
        <v>44986</v>
      </c>
      <c r="BM30" s="73">
        <f t="shared" ca="1" si="70"/>
        <v>38.281980430201976</v>
      </c>
      <c r="BN30" s="15">
        <f t="shared" ca="1" si="36"/>
        <v>3.6449793006227522</v>
      </c>
      <c r="BO30" s="98">
        <f t="shared" ca="1" si="37"/>
        <v>1</v>
      </c>
      <c r="BP30" s="128">
        <f ca="1">IF(BO30&gt;0,24,0)</f>
        <v>24</v>
      </c>
      <c r="BQ30" s="128">
        <f t="shared" ca="1" si="38"/>
        <v>576</v>
      </c>
      <c r="BR30" s="15">
        <f t="shared" ca="1" si="39"/>
        <v>87.47950321494605</v>
      </c>
      <c r="BS30" s="127">
        <f t="shared" ca="1" si="40"/>
        <v>3.6690218837430049</v>
      </c>
      <c r="BT30" s="127">
        <f t="shared" ca="1" si="66"/>
        <v>39.213531703317308</v>
      </c>
      <c r="BZ30" s="583">
        <f t="shared" si="42"/>
        <v>1</v>
      </c>
      <c r="CA30" s="121">
        <f>Transport!$A43</f>
        <v>44986</v>
      </c>
      <c r="CB30" s="73">
        <f t="shared" ca="1" si="43"/>
        <v>38.281980430201976</v>
      </c>
      <c r="CC30" s="15">
        <f t="shared" ca="1" si="44"/>
        <v>3.6449793006227522</v>
      </c>
      <c r="CD30" s="98">
        <f t="shared" ca="1" si="45"/>
        <v>1</v>
      </c>
      <c r="CE30" s="128">
        <f ca="1">IF(CD30&gt;0,24,0)</f>
        <v>24</v>
      </c>
      <c r="CF30" s="128">
        <f t="shared" ca="1" si="46"/>
        <v>576</v>
      </c>
      <c r="CG30" s="15">
        <f t="shared" ca="1" si="47"/>
        <v>87.47950321494605</v>
      </c>
      <c r="CH30" s="127">
        <f t="shared" ca="1" si="48"/>
        <v>3.6884887815397303</v>
      </c>
      <c r="CI30" s="127">
        <f t="shared" ca="1" si="67"/>
        <v>39.984376149135493</v>
      </c>
      <c r="DB30" s="121">
        <f>Transport!$A43</f>
        <v>44986</v>
      </c>
      <c r="DC30" s="158" t="e">
        <f t="shared" si="68"/>
        <v>#DIV/0!</v>
      </c>
      <c r="DD30" s="15" t="e">
        <f t="shared" si="49"/>
        <v>#DIV/0!</v>
      </c>
      <c r="DE30" s="98" t="e">
        <f t="shared" si="50"/>
        <v>#DIV/0!</v>
      </c>
      <c r="DF30" s="128" t="e">
        <f>IF(DE30&gt;0,24,0)</f>
        <v>#DIV/0!</v>
      </c>
      <c r="DG30" s="128" t="e">
        <f t="shared" si="51"/>
        <v>#DIV/0!</v>
      </c>
      <c r="DH30" s="15" t="e">
        <f t="shared" si="52"/>
        <v>#DIV/0!</v>
      </c>
      <c r="DI30" s="127" t="e">
        <f t="shared" si="5"/>
        <v>#DIV/0!</v>
      </c>
      <c r="DJ30" s="127" t="e">
        <f t="shared" si="6"/>
        <v>#DIV/0!</v>
      </c>
      <c r="DQ30" s="280">
        <f>Transport!$A43</f>
        <v>44986</v>
      </c>
      <c r="DR30" s="13">
        <f t="shared" si="53"/>
        <v>1</v>
      </c>
      <c r="DS30" s="281">
        <f t="shared" si="54"/>
        <v>43.272089036718107</v>
      </c>
      <c r="DT30" s="295">
        <f t="shared" ca="1" si="55"/>
        <v>40.004079209015075</v>
      </c>
      <c r="DX30" s="280">
        <f>Transport!$A43</f>
        <v>44986</v>
      </c>
      <c r="DY30" s="13">
        <f t="shared" si="58"/>
        <v>1</v>
      </c>
      <c r="DZ30" s="281">
        <f t="shared" si="60"/>
        <v>43.272089036718107</v>
      </c>
      <c r="EA30" s="127">
        <f t="shared" ca="1" si="61"/>
        <v>39.655729777757116</v>
      </c>
      <c r="EC30" s="280">
        <f>Transport!$A43</f>
        <v>44986</v>
      </c>
      <c r="ED30" s="13">
        <f t="shared" si="63"/>
        <v>1</v>
      </c>
      <c r="EE30" s="281">
        <f t="shared" si="64"/>
        <v>43.272089036718107</v>
      </c>
      <c r="EF30" s="127">
        <f t="shared" ca="1" si="69"/>
        <v>39.928737415805429</v>
      </c>
      <c r="EH30" s="280">
        <f>Transport!$A43</f>
        <v>44986</v>
      </c>
      <c r="EI30" s="13"/>
      <c r="EJ30" s="281"/>
      <c r="EK30" s="127"/>
    </row>
    <row r="31" spans="1:141" x14ac:dyDescent="0.2">
      <c r="E31" s="575" t="s">
        <v>1010</v>
      </c>
      <c r="F31" s="541"/>
      <c r="G31" s="575" t="s">
        <v>1010</v>
      </c>
      <c r="H31" s="541"/>
      <c r="J31" s="228">
        <f t="shared" ca="1" si="7"/>
        <v>1</v>
      </c>
      <c r="K31" s="121">
        <f>Transport!$A44</f>
        <v>45017</v>
      </c>
      <c r="L31" s="73">
        <f ca="1">Transport!$F44</f>
        <v>35.983312262958279</v>
      </c>
      <c r="M31" s="574">
        <f ca="1">Transport!J44</f>
        <v>35.983312262958279</v>
      </c>
      <c r="N31" s="120"/>
      <c r="O31">
        <f t="shared" ca="1" si="8"/>
        <v>1</v>
      </c>
      <c r="P31" s="241">
        <f t="shared" ca="1" si="9"/>
        <v>39.835795029093035</v>
      </c>
      <c r="Q31" s="73">
        <f t="shared" ca="1" si="10"/>
        <v>39.835795029093035</v>
      </c>
      <c r="S31">
        <f t="shared" ca="1" si="11"/>
        <v>1</v>
      </c>
      <c r="T31" s="73">
        <f t="shared" ca="1" si="12"/>
        <v>39.06438800339523</v>
      </c>
      <c r="U31" s="73">
        <f t="shared" ca="1" si="13"/>
        <v>39.06438800339523</v>
      </c>
      <c r="V31" s="2">
        <v>25</v>
      </c>
      <c r="X31" s="121">
        <f>Transport!$A44</f>
        <v>45017</v>
      </c>
      <c r="Y31" s="73">
        <f t="shared" ca="1" si="0"/>
        <v>35.983312262958279</v>
      </c>
      <c r="Z31" s="15">
        <f t="shared" ca="1" si="14"/>
        <v>3.5830552827332469</v>
      </c>
      <c r="AA31" s="98">
        <f t="shared" ca="1" si="15"/>
        <v>1</v>
      </c>
      <c r="AB31" s="128">
        <f ca="1">IF(AA31&gt;0,25,0)</f>
        <v>25</v>
      </c>
      <c r="AC31" s="128">
        <f t="shared" ca="1" si="16"/>
        <v>625</v>
      </c>
      <c r="AD31" s="15">
        <f t="shared" ca="1" si="17"/>
        <v>89.576382068331171</v>
      </c>
      <c r="AE31" s="127">
        <f t="shared" ca="1" si="18"/>
        <v>3.6864132804885852</v>
      </c>
      <c r="AF31" s="127">
        <f t="shared" ca="1" si="19"/>
        <v>39.901474595299263</v>
      </c>
      <c r="AH31" s="121">
        <f>Transport!$A44</f>
        <v>45017</v>
      </c>
      <c r="AI31" s="73">
        <f t="shared" ca="1" si="20"/>
        <v>39.835795029093035</v>
      </c>
      <c r="AJ31" s="15">
        <f t="shared" ca="1" si="21"/>
        <v>3.6847658806874697</v>
      </c>
      <c r="AK31" s="98">
        <f t="shared" ca="1" si="22"/>
        <v>1</v>
      </c>
      <c r="AL31" s="128">
        <f ca="1">IF(AK31&gt;0,25,0)</f>
        <v>25</v>
      </c>
      <c r="AM31" s="128">
        <f t="shared" ca="1" si="23"/>
        <v>625</v>
      </c>
      <c r="AN31" s="15">
        <f t="shared" ca="1" si="24"/>
        <v>92.119147017186748</v>
      </c>
      <c r="AO31" s="127">
        <f t="shared" ca="1" si="25"/>
        <v>3.6877980758311839</v>
      </c>
      <c r="AP31" s="127">
        <f t="shared" ca="1" si="56"/>
        <v>39.956768247841715</v>
      </c>
      <c r="AR31" s="121">
        <f>Transport!$A44</f>
        <v>45017</v>
      </c>
      <c r="AS31" s="73">
        <f t="shared" ca="1" si="57"/>
        <v>39.835795029093035</v>
      </c>
      <c r="AT31" s="15">
        <f t="shared" ca="1" si="26"/>
        <v>3.6847658806874697</v>
      </c>
      <c r="AU31" s="98">
        <f t="shared" ca="1" si="27"/>
        <v>1</v>
      </c>
      <c r="AV31" s="128">
        <f ca="1">IF(AU31&gt;0,25,0)</f>
        <v>25</v>
      </c>
      <c r="AW31" s="128">
        <f t="shared" ca="1" si="28"/>
        <v>625</v>
      </c>
      <c r="AX31" s="15">
        <f t="shared" ca="1" si="29"/>
        <v>92.119147017186748</v>
      </c>
      <c r="AY31" s="127">
        <f t="shared" ca="1" si="30"/>
        <v>3.6839242467016384</v>
      </c>
      <c r="AZ31" s="127">
        <f t="shared" ca="1" si="59"/>
        <v>39.80228197498483</v>
      </c>
      <c r="BB31" s="121">
        <f>Transport!$A44</f>
        <v>45017</v>
      </c>
      <c r="BC31" s="73">
        <f t="shared" ca="1" si="62"/>
        <v>39.835795029093035</v>
      </c>
      <c r="BD31" s="15">
        <f t="shared" ca="1" si="31"/>
        <v>3.6847658806874697</v>
      </c>
      <c r="BE31" s="98">
        <f t="shared" ca="1" si="32"/>
        <v>1</v>
      </c>
      <c r="BF31" s="128">
        <f ca="1">IF(BE31&gt;0,25,0)</f>
        <v>25</v>
      </c>
      <c r="BG31" s="128">
        <f t="shared" ca="1" si="33"/>
        <v>625</v>
      </c>
      <c r="BH31" s="15">
        <f t="shared" ca="1" si="34"/>
        <v>92.119147017186748</v>
      </c>
      <c r="BI31" s="127">
        <f t="shared" ca="1" si="35"/>
        <v>3.6883570914687822</v>
      </c>
      <c r="BJ31" s="127">
        <f t="shared" ca="1" si="65"/>
        <v>39.979110950498402</v>
      </c>
      <c r="BL31" s="121">
        <f>Transport!$A44</f>
        <v>45017</v>
      </c>
      <c r="BM31" s="73">
        <f t="shared" ca="1" si="70"/>
        <v>39.835795029093035</v>
      </c>
      <c r="BN31" s="15">
        <f t="shared" ca="1" si="36"/>
        <v>3.6847658806874697</v>
      </c>
      <c r="BO31" s="98">
        <f t="shared" ca="1" si="37"/>
        <v>1</v>
      </c>
      <c r="BP31" s="128">
        <f ca="1">IF(BO31&gt;0,25,0)</f>
        <v>25</v>
      </c>
      <c r="BQ31" s="128">
        <f t="shared" ca="1" si="38"/>
        <v>625</v>
      </c>
      <c r="BR31" s="15">
        <f t="shared" ca="1" si="39"/>
        <v>92.119147017186748</v>
      </c>
      <c r="BS31" s="127">
        <f t="shared" ca="1" si="40"/>
        <v>3.6741495279951382</v>
      </c>
      <c r="BT31" s="127">
        <f t="shared" ca="1" si="66"/>
        <v>39.415121141529113</v>
      </c>
      <c r="BZ31" s="583">
        <f t="shared" si="42"/>
        <v>1</v>
      </c>
      <c r="CA31" s="121">
        <f>Transport!$A44</f>
        <v>45017</v>
      </c>
      <c r="CB31" s="73">
        <f t="shared" ca="1" si="43"/>
        <v>39.835795029093035</v>
      </c>
      <c r="CC31" s="15">
        <f t="shared" ca="1" si="44"/>
        <v>3.6847658806874697</v>
      </c>
      <c r="CD31" s="98">
        <f t="shared" ca="1" si="45"/>
        <v>1</v>
      </c>
      <c r="CE31" s="128">
        <f ca="1">IF(CD31&gt;0,25,0)</f>
        <v>25</v>
      </c>
      <c r="CF31" s="128">
        <f t="shared" ca="1" si="46"/>
        <v>625</v>
      </c>
      <c r="CG31" s="15">
        <f t="shared" ca="1" si="47"/>
        <v>92.119147017186748</v>
      </c>
      <c r="CH31" s="127">
        <f t="shared" ca="1" si="48"/>
        <v>3.6920956605626096</v>
      </c>
      <c r="CI31" s="127">
        <f t="shared" ca="1" si="67"/>
        <v>40.12885535959304</v>
      </c>
      <c r="DB31" s="121">
        <f>Transport!$A44</f>
        <v>45017</v>
      </c>
      <c r="DC31" s="158" t="e">
        <f t="shared" si="68"/>
        <v>#DIV/0!</v>
      </c>
      <c r="DD31" s="15" t="e">
        <f t="shared" si="49"/>
        <v>#DIV/0!</v>
      </c>
      <c r="DE31" s="98" t="e">
        <f t="shared" si="50"/>
        <v>#DIV/0!</v>
      </c>
      <c r="DF31" s="128" t="e">
        <f>IF(DE31&gt;0,25,0)</f>
        <v>#DIV/0!</v>
      </c>
      <c r="DG31" s="128" t="e">
        <f t="shared" si="51"/>
        <v>#DIV/0!</v>
      </c>
      <c r="DH31" s="15" t="e">
        <f t="shared" si="52"/>
        <v>#DIV/0!</v>
      </c>
      <c r="DI31" s="127" t="e">
        <f t="shared" si="5"/>
        <v>#DIV/0!</v>
      </c>
      <c r="DJ31" s="127" t="e">
        <f t="shared" si="6"/>
        <v>#DIV/0!</v>
      </c>
      <c r="DQ31" s="280">
        <f>Transport!$A44</f>
        <v>45017</v>
      </c>
      <c r="DR31" s="13">
        <f t="shared" ca="1" si="53"/>
        <v>1</v>
      </c>
      <c r="DS31" s="281">
        <f t="shared" ca="1" si="54"/>
        <v>35.983312262958279</v>
      </c>
      <c r="DT31" s="295">
        <f t="shared" ca="1" si="55"/>
        <v>39.956768247841715</v>
      </c>
      <c r="DX31" s="280">
        <f>Transport!$A44</f>
        <v>45017</v>
      </c>
      <c r="DY31" s="13">
        <f t="shared" ca="1" si="58"/>
        <v>1</v>
      </c>
      <c r="DZ31" s="281">
        <f t="shared" ca="1" si="60"/>
        <v>35.983312262958279</v>
      </c>
      <c r="EA31" s="127">
        <f t="shared" ca="1" si="61"/>
        <v>39.80228197498483</v>
      </c>
      <c r="EC31" s="280">
        <f>Transport!$A44</f>
        <v>45017</v>
      </c>
      <c r="ED31" s="13">
        <f t="shared" ca="1" si="63"/>
        <v>1</v>
      </c>
      <c r="EE31" s="281">
        <f t="shared" ca="1" si="64"/>
        <v>35.983312262958279</v>
      </c>
      <c r="EF31" s="127">
        <f t="shared" ca="1" si="69"/>
        <v>39.979110950498402</v>
      </c>
      <c r="EH31" s="280">
        <f>Transport!$A44</f>
        <v>45017</v>
      </c>
      <c r="EI31" s="13">
        <f t="shared" ref="EI31:EI42" ca="1" si="71">IF($L31&gt;0,1,0)</f>
        <v>1</v>
      </c>
      <c r="EJ31" s="281">
        <f t="shared" ref="EJ31:EJ42" ca="1" si="72">+EE31</f>
        <v>35.983312262958279</v>
      </c>
      <c r="EK31" s="127">
        <f t="shared" ref="EK31:EK42" ca="1" si="73">+BT31</f>
        <v>39.415121141529113</v>
      </c>
    </row>
    <row r="32" spans="1:141" x14ac:dyDescent="0.2">
      <c r="E32" s="576" t="s">
        <v>1011</v>
      </c>
      <c r="F32" s="577"/>
      <c r="G32" s="545" t="s">
        <v>1012</v>
      </c>
      <c r="H32" s="577"/>
      <c r="J32" s="228">
        <f t="shared" ca="1" si="7"/>
        <v>1</v>
      </c>
      <c r="K32" s="121">
        <f>Transport!$A45</f>
        <v>45047</v>
      </c>
      <c r="L32" s="73">
        <f ca="1">Transport!$F45</f>
        <v>40.251983787602725</v>
      </c>
      <c r="M32" s="574">
        <f ca="1">Transport!J45</f>
        <v>40.251983787602725</v>
      </c>
      <c r="N32" s="120"/>
      <c r="O32">
        <f t="shared" ca="1" si="8"/>
        <v>1</v>
      </c>
      <c r="P32" s="241">
        <f t="shared" ca="1" si="9"/>
        <v>39.06728357194973</v>
      </c>
      <c r="Q32" s="73">
        <f t="shared" ca="1" si="10"/>
        <v>39.06728357194973</v>
      </c>
      <c r="S32">
        <f t="shared" ca="1" si="11"/>
        <v>1</v>
      </c>
      <c r="T32" s="73">
        <f t="shared" ca="1" si="12"/>
        <v>40.450772078602121</v>
      </c>
      <c r="U32" s="73">
        <f t="shared" ca="1" si="13"/>
        <v>40.450772078602121</v>
      </c>
      <c r="V32" s="2">
        <v>26</v>
      </c>
      <c r="X32" s="121">
        <f>Transport!$A45</f>
        <v>45047</v>
      </c>
      <c r="Y32" s="73">
        <f t="shared" ca="1" si="0"/>
        <v>40.251983787602725</v>
      </c>
      <c r="Z32" s="15">
        <f t="shared" ca="1" si="14"/>
        <v>3.6951592892985405</v>
      </c>
      <c r="AA32" s="98">
        <f t="shared" ca="1" si="15"/>
        <v>1</v>
      </c>
      <c r="AB32" s="128">
        <f ca="1">IF(AA32&gt;0,26,0)</f>
        <v>26</v>
      </c>
      <c r="AC32" s="128">
        <f t="shared" ca="1" si="16"/>
        <v>676</v>
      </c>
      <c r="AD32" s="15">
        <f t="shared" ca="1" si="17"/>
        <v>96.074141521762058</v>
      </c>
      <c r="AE32" s="127">
        <f t="shared" ca="1" si="18"/>
        <v>3.6859342068093479</v>
      </c>
      <c r="AF32" s="127">
        <f t="shared" ca="1" si="19"/>
        <v>39.882363427252216</v>
      </c>
      <c r="AH32" s="121">
        <f>Transport!$A45</f>
        <v>45047</v>
      </c>
      <c r="AI32" s="73">
        <f t="shared" ca="1" si="20"/>
        <v>39.06728357194973</v>
      </c>
      <c r="AJ32" s="15">
        <f t="shared" ca="1" si="21"/>
        <v>3.6652853794409879</v>
      </c>
      <c r="AK32" s="98">
        <f t="shared" ca="1" si="22"/>
        <v>1</v>
      </c>
      <c r="AL32" s="128">
        <f ca="1">IF(AK32&gt;0,26,0)</f>
        <v>26</v>
      </c>
      <c r="AM32" s="128">
        <f t="shared" ca="1" si="23"/>
        <v>676</v>
      </c>
      <c r="AN32" s="15">
        <f t="shared" ca="1" si="24"/>
        <v>95.297419865465685</v>
      </c>
      <c r="AO32" s="127">
        <f t="shared" ca="1" si="25"/>
        <v>3.6866147225226849</v>
      </c>
      <c r="AP32" s="127">
        <f t="shared" ca="1" si="56"/>
        <v>39.909513239138512</v>
      </c>
      <c r="AR32" s="121">
        <f>Transport!$A45</f>
        <v>45047</v>
      </c>
      <c r="AS32" s="73">
        <f t="shared" ca="1" si="57"/>
        <v>39.06728357194973</v>
      </c>
      <c r="AT32" s="15">
        <f t="shared" ca="1" si="26"/>
        <v>3.6652853794409879</v>
      </c>
      <c r="AU32" s="98">
        <f t="shared" ca="1" si="27"/>
        <v>1</v>
      </c>
      <c r="AV32" s="128">
        <f ca="1">IF(AU32&gt;0,26,0)</f>
        <v>26</v>
      </c>
      <c r="AW32" s="128">
        <f t="shared" ca="1" si="28"/>
        <v>676</v>
      </c>
      <c r="AX32" s="15">
        <f t="shared" ca="1" si="29"/>
        <v>95.297419865465685</v>
      </c>
      <c r="AY32" s="127">
        <f t="shared" ca="1" si="30"/>
        <v>3.6876130468660504</v>
      </c>
      <c r="AZ32" s="127">
        <f t="shared" ca="1" si="59"/>
        <v>39.949375772294879</v>
      </c>
      <c r="BB32" s="121">
        <f>Transport!$A45</f>
        <v>45047</v>
      </c>
      <c r="BC32" s="73">
        <f t="shared" ca="1" si="62"/>
        <v>39.06728357194973</v>
      </c>
      <c r="BD32" s="15">
        <f t="shared" ca="1" si="31"/>
        <v>3.6652853794409879</v>
      </c>
      <c r="BE32" s="98">
        <f t="shared" ca="1" si="32"/>
        <v>1</v>
      </c>
      <c r="BF32" s="128">
        <f ca="1">IF(BE32&gt;0,26,0)</f>
        <v>26</v>
      </c>
      <c r="BG32" s="128">
        <f t="shared" ca="1" si="33"/>
        <v>676</v>
      </c>
      <c r="BH32" s="15">
        <f t="shared" ca="1" si="34"/>
        <v>95.297419865465685</v>
      </c>
      <c r="BI32" s="127">
        <f t="shared" ca="1" si="35"/>
        <v>3.6896178823021142</v>
      </c>
      <c r="BJ32" s="127">
        <f t="shared" ca="1" si="65"/>
        <v>40.029548035735708</v>
      </c>
      <c r="BL32" s="121">
        <f>Transport!$A45</f>
        <v>45047</v>
      </c>
      <c r="BM32" s="73">
        <f t="shared" ca="1" si="70"/>
        <v>39.06728357194973</v>
      </c>
      <c r="BN32" s="15">
        <f t="shared" ca="1" si="36"/>
        <v>3.6652853794409879</v>
      </c>
      <c r="BO32" s="98">
        <f t="shared" ca="1" si="37"/>
        <v>1</v>
      </c>
      <c r="BP32" s="128">
        <f ca="1">IF(BO32&gt;0,26,0)</f>
        <v>26</v>
      </c>
      <c r="BQ32" s="128">
        <f t="shared" ca="1" si="38"/>
        <v>676</v>
      </c>
      <c r="BR32" s="15">
        <f t="shared" ca="1" si="39"/>
        <v>95.297419865465685</v>
      </c>
      <c r="BS32" s="127">
        <f t="shared" ca="1" si="40"/>
        <v>3.6792771722472715</v>
      </c>
      <c r="BT32" s="127">
        <f t="shared" ca="1" si="66"/>
        <v>39.61774691336948</v>
      </c>
      <c r="BZ32" s="583">
        <f t="shared" si="42"/>
        <v>1</v>
      </c>
      <c r="CA32" s="121">
        <f>Transport!$A45</f>
        <v>45047</v>
      </c>
      <c r="CB32" s="73">
        <f t="shared" ca="1" si="43"/>
        <v>39.06728357194973</v>
      </c>
      <c r="CC32" s="15">
        <f t="shared" ca="1" si="44"/>
        <v>3.6652853794409879</v>
      </c>
      <c r="CD32" s="98">
        <f t="shared" ca="1" si="45"/>
        <v>1</v>
      </c>
      <c r="CE32" s="128">
        <f ca="1">IF(CD32&gt;0,26,0)</f>
        <v>26</v>
      </c>
      <c r="CF32" s="128">
        <f t="shared" ca="1" si="46"/>
        <v>676</v>
      </c>
      <c r="CG32" s="15">
        <f t="shared" ca="1" si="47"/>
        <v>95.297419865465685</v>
      </c>
      <c r="CH32" s="127">
        <f t="shared" ca="1" si="48"/>
        <v>3.695702539585489</v>
      </c>
      <c r="CI32" s="127">
        <f t="shared" ca="1" si="67"/>
        <v>40.273856630021626</v>
      </c>
      <c r="DB32" s="121">
        <f>Transport!$A45</f>
        <v>45047</v>
      </c>
      <c r="DC32" s="158" t="e">
        <f t="shared" si="68"/>
        <v>#DIV/0!</v>
      </c>
      <c r="DD32" s="15" t="e">
        <f t="shared" si="49"/>
        <v>#DIV/0!</v>
      </c>
      <c r="DE32" s="98" t="e">
        <f t="shared" si="50"/>
        <v>#DIV/0!</v>
      </c>
      <c r="DF32" s="128" t="e">
        <f>IF(DE32&gt;0,26,0)</f>
        <v>#DIV/0!</v>
      </c>
      <c r="DG32" s="128" t="e">
        <f t="shared" si="51"/>
        <v>#DIV/0!</v>
      </c>
      <c r="DH32" s="15" t="e">
        <f t="shared" si="52"/>
        <v>#DIV/0!</v>
      </c>
      <c r="DI32" s="127" t="e">
        <f t="shared" si="5"/>
        <v>#DIV/0!</v>
      </c>
      <c r="DJ32" s="127" t="e">
        <f t="shared" si="6"/>
        <v>#DIV/0!</v>
      </c>
      <c r="DQ32" s="280">
        <f>Transport!$A45</f>
        <v>45047</v>
      </c>
      <c r="DR32" s="13">
        <f t="shared" ca="1" si="53"/>
        <v>1</v>
      </c>
      <c r="DS32" s="281">
        <f t="shared" ca="1" si="54"/>
        <v>40.251983787602725</v>
      </c>
      <c r="DT32" s="295">
        <f t="shared" ca="1" si="55"/>
        <v>39.909513239138512</v>
      </c>
      <c r="DX32" s="280">
        <f>Transport!$A45</f>
        <v>45047</v>
      </c>
      <c r="DY32" s="13">
        <f t="shared" ca="1" si="58"/>
        <v>1</v>
      </c>
      <c r="DZ32" s="281">
        <f t="shared" ca="1" si="60"/>
        <v>40.251983787602725</v>
      </c>
      <c r="EA32" s="127">
        <f t="shared" ca="1" si="61"/>
        <v>39.949375772294879</v>
      </c>
      <c r="EC32" s="280">
        <f>Transport!$A45</f>
        <v>45047</v>
      </c>
      <c r="ED32" s="13">
        <f t="shared" ca="1" si="63"/>
        <v>1</v>
      </c>
      <c r="EE32" s="281">
        <f t="shared" ca="1" si="64"/>
        <v>40.251983787602725</v>
      </c>
      <c r="EF32" s="127">
        <f t="shared" ca="1" si="69"/>
        <v>40.029548035735708</v>
      </c>
      <c r="EH32" s="280">
        <f>Transport!$A45</f>
        <v>45047</v>
      </c>
      <c r="EI32" s="13">
        <f t="shared" ca="1" si="71"/>
        <v>1</v>
      </c>
      <c r="EJ32" s="281">
        <f t="shared" ca="1" si="72"/>
        <v>40.251983787602725</v>
      </c>
      <c r="EK32" s="127">
        <f t="shared" ca="1" si="73"/>
        <v>39.61774691336948</v>
      </c>
    </row>
    <row r="33" spans="1:141" x14ac:dyDescent="0.2">
      <c r="A33" s="249" t="s">
        <v>1009</v>
      </c>
      <c r="E33" s="2"/>
      <c r="F33" s="2" t="s">
        <v>155</v>
      </c>
      <c r="G33" s="2"/>
      <c r="H33" s="2" t="s">
        <v>155</v>
      </c>
      <c r="J33" s="228">
        <f t="shared" ca="1" si="7"/>
        <v>1</v>
      </c>
      <c r="K33" s="121">
        <f>Transport!$A46</f>
        <v>45078</v>
      </c>
      <c r="L33" s="73">
        <f ca="1">Transport!$F46</f>
        <v>40.966554665288186</v>
      </c>
      <c r="M33" s="574">
        <f ca="1">Transport!J46</f>
        <v>40.966554665288186</v>
      </c>
      <c r="N33" s="120"/>
      <c r="O33">
        <f t="shared" ca="1" si="8"/>
        <v>1</v>
      </c>
      <c r="P33" s="241">
        <f t="shared" ca="1" si="9"/>
        <v>39.846795576588477</v>
      </c>
      <c r="Q33" s="73">
        <f t="shared" ca="1" si="10"/>
        <v>39.846795576588477</v>
      </c>
      <c r="S33">
        <f t="shared" ca="1" si="11"/>
        <v>1</v>
      </c>
      <c r="T33" s="73">
        <f t="shared" ca="1" si="12"/>
        <v>39.844760491322859</v>
      </c>
      <c r="U33" s="73">
        <f t="shared" ca="1" si="13"/>
        <v>39.844760491322859</v>
      </c>
      <c r="V33" s="2">
        <v>27</v>
      </c>
      <c r="X33" s="121">
        <f>Transport!$A46</f>
        <v>45078</v>
      </c>
      <c r="Y33" s="73">
        <f t="shared" ca="1" si="0"/>
        <v>40.966554665288186</v>
      </c>
      <c r="Z33" s="15">
        <f t="shared" ca="1" si="14"/>
        <v>3.7127559939364687</v>
      </c>
      <c r="AA33" s="98">
        <f t="shared" ca="1" si="15"/>
        <v>1</v>
      </c>
      <c r="AB33" s="128">
        <f ca="1">IF(AA33&gt;0,27,0)</f>
        <v>27</v>
      </c>
      <c r="AC33" s="128">
        <f t="shared" ca="1" si="16"/>
        <v>729</v>
      </c>
      <c r="AD33" s="15">
        <f t="shared" ca="1" si="17"/>
        <v>100.24441183628466</v>
      </c>
      <c r="AE33" s="127">
        <f t="shared" ca="1" si="18"/>
        <v>3.6854551331301106</v>
      </c>
      <c r="AF33" s="127">
        <f t="shared" ca="1" si="19"/>
        <v>39.863261412669992</v>
      </c>
      <c r="AH33" s="121">
        <f>Transport!$A46</f>
        <v>45078</v>
      </c>
      <c r="AI33" s="73">
        <f t="shared" ca="1" si="20"/>
        <v>39.846795576588477</v>
      </c>
      <c r="AJ33" s="15">
        <f t="shared" ca="1" si="21"/>
        <v>3.6850419898722167</v>
      </c>
      <c r="AK33" s="98">
        <f t="shared" ca="1" si="22"/>
        <v>1</v>
      </c>
      <c r="AL33" s="128">
        <f ca="1">IF(AK33&gt;0,27,0)</f>
        <v>27</v>
      </c>
      <c r="AM33" s="128">
        <f t="shared" ca="1" si="23"/>
        <v>729</v>
      </c>
      <c r="AN33" s="15">
        <f t="shared" ca="1" si="24"/>
        <v>99.496133726549843</v>
      </c>
      <c r="AO33" s="127">
        <f t="shared" ca="1" si="25"/>
        <v>3.6854313692141853</v>
      </c>
      <c r="AP33" s="127">
        <f t="shared" ca="1" si="56"/>
        <v>39.862314116733046</v>
      </c>
      <c r="AR33" s="121">
        <f>Transport!$A46</f>
        <v>45078</v>
      </c>
      <c r="AS33" s="73">
        <f t="shared" ca="1" si="57"/>
        <v>39.846795576588477</v>
      </c>
      <c r="AT33" s="15">
        <f t="shared" ca="1" si="26"/>
        <v>3.6850419898722167</v>
      </c>
      <c r="AU33" s="98">
        <f t="shared" ca="1" si="27"/>
        <v>1</v>
      </c>
      <c r="AV33" s="128">
        <f ca="1">IF(AU33&gt;0,27,0)</f>
        <v>27</v>
      </c>
      <c r="AW33" s="128">
        <f t="shared" ca="1" si="28"/>
        <v>729</v>
      </c>
      <c r="AX33" s="15">
        <f t="shared" ca="1" si="29"/>
        <v>99.496133726549843</v>
      </c>
      <c r="AY33" s="127">
        <f t="shared" ca="1" si="30"/>
        <v>3.6913018470304624</v>
      </c>
      <c r="AZ33" s="127">
        <f t="shared" ca="1" si="59"/>
        <v>40.097013171231112</v>
      </c>
      <c r="BB33" s="121">
        <f>Transport!$A46</f>
        <v>45078</v>
      </c>
      <c r="BC33" s="73">
        <f t="shared" ca="1" si="62"/>
        <v>39.846795576588477</v>
      </c>
      <c r="BD33" s="15">
        <f t="shared" ca="1" si="31"/>
        <v>3.6850419898722167</v>
      </c>
      <c r="BE33" s="98">
        <f t="shared" ca="1" si="32"/>
        <v>1</v>
      </c>
      <c r="BF33" s="128">
        <f ca="1">IF(BE33&gt;0,27,0)</f>
        <v>27</v>
      </c>
      <c r="BG33" s="128">
        <f t="shared" ca="1" si="33"/>
        <v>729</v>
      </c>
      <c r="BH33" s="15">
        <f t="shared" ca="1" si="34"/>
        <v>99.496133726549843</v>
      </c>
      <c r="BI33" s="127">
        <f t="shared" ca="1" si="35"/>
        <v>3.6908786731354457</v>
      </c>
      <c r="BJ33" s="127">
        <f t="shared" ca="1" si="65"/>
        <v>40.080048751691812</v>
      </c>
      <c r="BL33" s="121">
        <f>Transport!$A46</f>
        <v>45078</v>
      </c>
      <c r="BM33" s="73">
        <f t="shared" ca="1" si="70"/>
        <v>39.846795576588477</v>
      </c>
      <c r="BN33" s="15">
        <f t="shared" ca="1" si="36"/>
        <v>3.6850419898722167</v>
      </c>
      <c r="BO33" s="98">
        <f t="shared" ca="1" si="37"/>
        <v>1</v>
      </c>
      <c r="BP33" s="128">
        <f ca="1">IF(BO33&gt;0,27,0)</f>
        <v>27</v>
      </c>
      <c r="BQ33" s="128">
        <f t="shared" ca="1" si="38"/>
        <v>729</v>
      </c>
      <c r="BR33" s="15">
        <f t="shared" ca="1" si="39"/>
        <v>99.496133726549843</v>
      </c>
      <c r="BS33" s="127">
        <f t="shared" ca="1" si="40"/>
        <v>3.6844048164994052</v>
      </c>
      <c r="BT33" s="127">
        <f t="shared" ca="1" si="66"/>
        <v>39.82141434643593</v>
      </c>
      <c r="BZ33" s="583">
        <f t="shared" si="42"/>
        <v>1</v>
      </c>
      <c r="CA33" s="121">
        <f>Transport!$A46</f>
        <v>45078</v>
      </c>
      <c r="CB33" s="73">
        <f t="shared" ca="1" si="43"/>
        <v>39.846795576588477</v>
      </c>
      <c r="CC33" s="15">
        <f t="shared" ca="1" si="44"/>
        <v>3.6850419898722167</v>
      </c>
      <c r="CD33" s="98">
        <f t="shared" ca="1" si="45"/>
        <v>1</v>
      </c>
      <c r="CE33" s="128">
        <f ca="1">IF(CD33&gt;0,27,0)</f>
        <v>27</v>
      </c>
      <c r="CF33" s="128">
        <f t="shared" ca="1" si="46"/>
        <v>729</v>
      </c>
      <c r="CG33" s="15">
        <f t="shared" ca="1" si="47"/>
        <v>99.496133726549843</v>
      </c>
      <c r="CH33" s="127">
        <f t="shared" ca="1" si="48"/>
        <v>3.6993094186083684</v>
      </c>
      <c r="CI33" s="127">
        <f t="shared" ca="1" si="67"/>
        <v>40.419381846828387</v>
      </c>
      <c r="DB33" s="121">
        <f>Transport!$A46</f>
        <v>45078</v>
      </c>
      <c r="DC33" s="158" t="e">
        <f t="shared" ca="1" si="68"/>
        <v>#DIV/0!</v>
      </c>
      <c r="DD33" s="15" t="e">
        <f t="shared" ca="1" si="49"/>
        <v>#DIV/0!</v>
      </c>
      <c r="DE33" s="98" t="e">
        <f t="shared" ca="1" si="50"/>
        <v>#DIV/0!</v>
      </c>
      <c r="DF33" s="128" t="e">
        <f ca="1">IF(DE33&gt;0,27,0)</f>
        <v>#DIV/0!</v>
      </c>
      <c r="DG33" s="128" t="e">
        <f t="shared" ca="1" si="51"/>
        <v>#DIV/0!</v>
      </c>
      <c r="DH33" s="15" t="e">
        <f t="shared" ca="1" si="52"/>
        <v>#DIV/0!</v>
      </c>
      <c r="DI33" s="127" t="e">
        <f t="shared" si="5"/>
        <v>#DIV/0!</v>
      </c>
      <c r="DJ33" s="127" t="e">
        <f t="shared" ca="1" si="6"/>
        <v>#DIV/0!</v>
      </c>
      <c r="DQ33" s="280">
        <f>Transport!$A46</f>
        <v>45078</v>
      </c>
      <c r="DR33" s="13">
        <f t="shared" ca="1" si="53"/>
        <v>1</v>
      </c>
      <c r="DS33" s="281">
        <f t="shared" ca="1" si="54"/>
        <v>40.966554665288186</v>
      </c>
      <c r="DT33" s="295">
        <f t="shared" ca="1" si="55"/>
        <v>39.862314116733046</v>
      </c>
      <c r="DX33" s="280">
        <f>Transport!$A46</f>
        <v>45078</v>
      </c>
      <c r="DY33" s="13">
        <f t="shared" ca="1" si="58"/>
        <v>1</v>
      </c>
      <c r="DZ33" s="281">
        <f t="shared" ca="1" si="60"/>
        <v>40.966554665288186</v>
      </c>
      <c r="EA33" s="127">
        <f t="shared" ca="1" si="61"/>
        <v>40.097013171231112</v>
      </c>
      <c r="EC33" s="280">
        <f>Transport!$A46</f>
        <v>45078</v>
      </c>
      <c r="ED33" s="13">
        <f t="shared" ca="1" si="63"/>
        <v>1</v>
      </c>
      <c r="EE33" s="281">
        <f t="shared" ca="1" si="64"/>
        <v>40.966554665288186</v>
      </c>
      <c r="EF33" s="127">
        <f t="shared" ca="1" si="69"/>
        <v>40.080048751691812</v>
      </c>
      <c r="EH33" s="280">
        <f>Transport!$A46</f>
        <v>45078</v>
      </c>
      <c r="EI33" s="13">
        <f t="shared" ca="1" si="71"/>
        <v>1</v>
      </c>
      <c r="EJ33" s="281">
        <f t="shared" ca="1" si="72"/>
        <v>40.966554665288186</v>
      </c>
      <c r="EK33" s="127">
        <f t="shared" ca="1" si="73"/>
        <v>39.82141434643593</v>
      </c>
    </row>
    <row r="34" spans="1:141" x14ac:dyDescent="0.2">
      <c r="E34" s="29" t="s">
        <v>260</v>
      </c>
      <c r="F34" s="29" t="s">
        <v>157</v>
      </c>
      <c r="G34" s="29" t="s">
        <v>260</v>
      </c>
      <c r="H34" s="29" t="s">
        <v>157</v>
      </c>
      <c r="J34" s="228">
        <f t="shared" ca="1" si="7"/>
        <v>1</v>
      </c>
      <c r="K34" s="121">
        <f>Transport!$A47</f>
        <v>45108</v>
      </c>
      <c r="L34" s="73">
        <f ca="1">Transport!$F47</f>
        <v>38.321848276874519</v>
      </c>
      <c r="M34" s="574">
        <f ca="1">Transport!J47</f>
        <v>38.321848276874519</v>
      </c>
      <c r="N34" s="120"/>
      <c r="O34">
        <f t="shared" ca="1" si="8"/>
        <v>1</v>
      </c>
      <c r="P34" s="241">
        <f t="shared" ca="1" si="9"/>
        <v>41.065749128111214</v>
      </c>
      <c r="Q34" s="73">
        <f t="shared" ca="1" si="10"/>
        <v>41.065749128111214</v>
      </c>
      <c r="S34">
        <f t="shared" ca="1" si="11"/>
        <v>1</v>
      </c>
      <c r="T34" s="73">
        <f t="shared" ca="1" si="12"/>
        <v>41.406584482410494</v>
      </c>
      <c r="U34" s="73">
        <f t="shared" ca="1" si="13"/>
        <v>41.406584482410494</v>
      </c>
      <c r="V34" s="2">
        <v>28</v>
      </c>
      <c r="X34" s="121">
        <f>Transport!$A47</f>
        <v>45108</v>
      </c>
      <c r="Y34" s="73">
        <f t="shared" ca="1" si="0"/>
        <v>38.321848276874519</v>
      </c>
      <c r="Z34" s="15">
        <f t="shared" ca="1" si="14"/>
        <v>3.6460201846345561</v>
      </c>
      <c r="AA34" s="98">
        <f t="shared" ca="1" si="15"/>
        <v>1</v>
      </c>
      <c r="AB34" s="128">
        <f ca="1">IF(AA34&gt;0,28,0)</f>
        <v>28</v>
      </c>
      <c r="AC34" s="128">
        <f t="shared" ca="1" si="16"/>
        <v>784</v>
      </c>
      <c r="AD34" s="15">
        <f t="shared" ca="1" si="17"/>
        <v>102.08856516976758</v>
      </c>
      <c r="AE34" s="127">
        <f t="shared" ca="1" si="18"/>
        <v>3.6849760594508734</v>
      </c>
      <c r="AF34" s="127">
        <f t="shared" ca="1" si="19"/>
        <v>39.844168547168458</v>
      </c>
      <c r="AH34" s="121">
        <f>Transport!$A47</f>
        <v>45108</v>
      </c>
      <c r="AI34" s="73">
        <f t="shared" ca="1" si="20"/>
        <v>41.065749128111214</v>
      </c>
      <c r="AJ34" s="15">
        <f t="shared" ca="1" si="21"/>
        <v>3.7151744195220791</v>
      </c>
      <c r="AK34" s="98">
        <f t="shared" ca="1" si="22"/>
        <v>1</v>
      </c>
      <c r="AL34" s="128">
        <f ca="1">IF(AK34&gt;0,28,0)</f>
        <v>28</v>
      </c>
      <c r="AM34" s="128">
        <f t="shared" ca="1" si="23"/>
        <v>784</v>
      </c>
      <c r="AN34" s="15">
        <f t="shared" ca="1" si="24"/>
        <v>104.02488374661822</v>
      </c>
      <c r="AO34" s="127">
        <f t="shared" ca="1" si="25"/>
        <v>3.6842480159056863</v>
      </c>
      <c r="AP34" s="127">
        <f t="shared" ca="1" si="56"/>
        <v>39.815170814531228</v>
      </c>
      <c r="AR34" s="121">
        <f>Transport!$A47</f>
        <v>45108</v>
      </c>
      <c r="AS34" s="73">
        <f t="shared" ca="1" si="57"/>
        <v>41.065749128111214</v>
      </c>
      <c r="AT34" s="15">
        <f t="shared" ca="1" si="26"/>
        <v>3.7151744195220791</v>
      </c>
      <c r="AU34" s="98">
        <f t="shared" ca="1" si="27"/>
        <v>1</v>
      </c>
      <c r="AV34" s="128">
        <f ca="1">IF(AU34&gt;0,28,0)</f>
        <v>28</v>
      </c>
      <c r="AW34" s="128">
        <f t="shared" ca="1" si="28"/>
        <v>784</v>
      </c>
      <c r="AX34" s="15">
        <f t="shared" ca="1" si="29"/>
        <v>104.02488374661822</v>
      </c>
      <c r="AY34" s="127">
        <f t="shared" ca="1" si="30"/>
        <v>3.6949906471948744</v>
      </c>
      <c r="AZ34" s="127">
        <f t="shared" ca="1" si="59"/>
        <v>40.24519618073429</v>
      </c>
      <c r="BB34" s="121">
        <f>Transport!$A47</f>
        <v>45108</v>
      </c>
      <c r="BC34" s="73">
        <f t="shared" ca="1" si="62"/>
        <v>41.065749128111214</v>
      </c>
      <c r="BD34" s="15">
        <f t="shared" ca="1" si="31"/>
        <v>3.7151744195220791</v>
      </c>
      <c r="BE34" s="98">
        <f t="shared" ca="1" si="32"/>
        <v>1</v>
      </c>
      <c r="BF34" s="128">
        <f ca="1">IF(BE34&gt;0,28,0)</f>
        <v>28</v>
      </c>
      <c r="BG34" s="128">
        <f t="shared" ca="1" si="33"/>
        <v>784</v>
      </c>
      <c r="BH34" s="15">
        <f t="shared" ca="1" si="34"/>
        <v>104.02488374661822</v>
      </c>
      <c r="BI34" s="127">
        <f t="shared" ca="1" si="35"/>
        <v>3.6921394639687777</v>
      </c>
      <c r="BJ34" s="127">
        <f t="shared" ca="1" si="65"/>
        <v>40.130613178642363</v>
      </c>
      <c r="BL34" s="121">
        <f>Transport!$A47</f>
        <v>45108</v>
      </c>
      <c r="BM34" s="73">
        <f t="shared" ca="1" si="70"/>
        <v>41.065749128111214</v>
      </c>
      <c r="BN34" s="15">
        <f t="shared" ca="1" si="36"/>
        <v>3.7151744195220791</v>
      </c>
      <c r="BO34" s="98">
        <f t="shared" ca="1" si="37"/>
        <v>1</v>
      </c>
      <c r="BP34" s="128">
        <f ca="1">IF(BO34&gt;0,28,0)</f>
        <v>28</v>
      </c>
      <c r="BQ34" s="128">
        <f t="shared" ca="1" si="38"/>
        <v>784</v>
      </c>
      <c r="BR34" s="15">
        <f t="shared" ca="1" si="39"/>
        <v>104.02488374661822</v>
      </c>
      <c r="BS34" s="127">
        <f t="shared" ca="1" si="40"/>
        <v>3.6895324607515385</v>
      </c>
      <c r="BT34" s="127">
        <f t="shared" ca="1" si="66"/>
        <v>40.026128795714122</v>
      </c>
      <c r="BZ34" s="583">
        <f t="shared" si="42"/>
        <v>1</v>
      </c>
      <c r="CA34" s="121">
        <f>Transport!$A47</f>
        <v>45108</v>
      </c>
      <c r="CB34" s="73">
        <f t="shared" ca="1" si="43"/>
        <v>41.065749128111214</v>
      </c>
      <c r="CC34" s="15">
        <f t="shared" ca="1" si="44"/>
        <v>3.7151744195220791</v>
      </c>
      <c r="CD34" s="98">
        <f t="shared" ca="1" si="45"/>
        <v>1</v>
      </c>
      <c r="CE34" s="128">
        <f ca="1">IF(CD34&gt;0,28,0)</f>
        <v>28</v>
      </c>
      <c r="CF34" s="128">
        <f t="shared" ca="1" si="46"/>
        <v>784</v>
      </c>
      <c r="CG34" s="15">
        <f t="shared" ca="1" si="47"/>
        <v>104.02488374661822</v>
      </c>
      <c r="CH34" s="127">
        <f t="shared" ca="1" si="48"/>
        <v>3.7029162976312477</v>
      </c>
      <c r="CI34" s="127">
        <f t="shared" ca="1" si="67"/>
        <v>40.565432903236783</v>
      </c>
      <c r="DB34" s="121">
        <f>Transport!$A47</f>
        <v>45108</v>
      </c>
      <c r="DC34" s="158" t="e">
        <f t="shared" ca="1" si="68"/>
        <v>#DIV/0!</v>
      </c>
      <c r="DD34" s="15" t="e">
        <f t="shared" ca="1" si="49"/>
        <v>#DIV/0!</v>
      </c>
      <c r="DE34" s="98" t="e">
        <f t="shared" ca="1" si="50"/>
        <v>#DIV/0!</v>
      </c>
      <c r="DF34" s="128" t="e">
        <f ca="1">IF(DE34&gt;0,28,0)</f>
        <v>#DIV/0!</v>
      </c>
      <c r="DG34" s="128" t="e">
        <f t="shared" ca="1" si="51"/>
        <v>#DIV/0!</v>
      </c>
      <c r="DH34" s="15" t="e">
        <f t="shared" ca="1" si="52"/>
        <v>#DIV/0!</v>
      </c>
      <c r="DI34" s="127" t="e">
        <f t="shared" si="5"/>
        <v>#DIV/0!</v>
      </c>
      <c r="DJ34" s="127" t="e">
        <f t="shared" ca="1" si="6"/>
        <v>#DIV/0!</v>
      </c>
      <c r="DQ34" s="280">
        <f>Transport!$A47</f>
        <v>45108</v>
      </c>
      <c r="DR34" s="13">
        <f t="shared" ca="1" si="53"/>
        <v>1</v>
      </c>
      <c r="DS34" s="281">
        <f t="shared" ca="1" si="54"/>
        <v>38.321848276874519</v>
      </c>
      <c r="DT34" s="295">
        <f t="shared" ca="1" si="55"/>
        <v>39.815170814531228</v>
      </c>
      <c r="DX34" s="280">
        <f>Transport!$A47</f>
        <v>45108</v>
      </c>
      <c r="DY34" s="13">
        <f t="shared" ca="1" si="58"/>
        <v>1</v>
      </c>
      <c r="DZ34" s="281">
        <f t="shared" ca="1" si="60"/>
        <v>38.321848276874519</v>
      </c>
      <c r="EA34" s="127">
        <f t="shared" ca="1" si="61"/>
        <v>40.24519618073429</v>
      </c>
      <c r="EC34" s="280">
        <f>Transport!$A47</f>
        <v>45108</v>
      </c>
      <c r="ED34" s="13">
        <f t="shared" ca="1" si="63"/>
        <v>1</v>
      </c>
      <c r="EE34" s="281">
        <f t="shared" ca="1" si="64"/>
        <v>38.321848276874519</v>
      </c>
      <c r="EF34" s="127">
        <f t="shared" ca="1" si="69"/>
        <v>40.130613178642363</v>
      </c>
      <c r="EH34" s="280">
        <f>Transport!$A47</f>
        <v>45108</v>
      </c>
      <c r="EI34" s="13">
        <f t="shared" ca="1" si="71"/>
        <v>1</v>
      </c>
      <c r="EJ34" s="281">
        <f t="shared" ca="1" si="72"/>
        <v>38.321848276874519</v>
      </c>
      <c r="EK34" s="127">
        <f t="shared" ca="1" si="73"/>
        <v>40.026128795714122</v>
      </c>
    </row>
    <row r="35" spans="1:141" x14ac:dyDescent="0.2">
      <c r="B35" s="121">
        <f>+BX12</f>
        <v>44621</v>
      </c>
      <c r="C35" s="121" t="s">
        <v>815</v>
      </c>
      <c r="D35" s="121">
        <f>+BX13</f>
        <v>45200</v>
      </c>
      <c r="E35" s="70">
        <f ca="1">+CB56</f>
        <v>4.4232899376089652E-2</v>
      </c>
      <c r="F35" s="70">
        <f ca="1">+CB118</f>
        <v>4.4232899376089652E-2</v>
      </c>
      <c r="G35" s="70">
        <f ca="1">+CB180</f>
        <v>4.2090515227990233E-2</v>
      </c>
      <c r="H35" s="70">
        <f ca="1">+CB242</f>
        <v>4.2090515227990233E-2</v>
      </c>
      <c r="J35" s="228">
        <f t="shared" ca="1" si="7"/>
        <v>1</v>
      </c>
      <c r="K35" s="121">
        <f>Transport!$A48</f>
        <v>45139</v>
      </c>
      <c r="L35" s="73">
        <f ca="1">Transport!$F48</f>
        <v>43.908844442170953</v>
      </c>
      <c r="M35" s="574">
        <f ca="1">Transport!J48</f>
        <v>43.908844442170953</v>
      </c>
      <c r="N35" s="120"/>
      <c r="O35">
        <f t="shared" ca="1" si="8"/>
        <v>1</v>
      </c>
      <c r="P35" s="241">
        <f t="shared" ca="1" si="9"/>
        <v>40.62223741069598</v>
      </c>
      <c r="Q35" s="73">
        <f t="shared" ca="1" si="10"/>
        <v>40.62223741069598</v>
      </c>
      <c r="S35">
        <f t="shared" ca="1" si="11"/>
        <v>1</v>
      </c>
      <c r="T35" s="73">
        <f t="shared" ca="1" si="12"/>
        <v>41.715835758736723</v>
      </c>
      <c r="U35" s="73">
        <f t="shared" ca="1" si="13"/>
        <v>41.715835758736723</v>
      </c>
      <c r="V35" s="2">
        <v>29</v>
      </c>
      <c r="X35" s="121">
        <f>Transport!$A48</f>
        <v>45139</v>
      </c>
      <c r="Y35" s="73">
        <f t="shared" ca="1" si="0"/>
        <v>43.908844442170953</v>
      </c>
      <c r="Z35" s="15">
        <f t="shared" ca="1" si="14"/>
        <v>3.7821157677201889</v>
      </c>
      <c r="AA35" s="98">
        <f t="shared" ca="1" si="15"/>
        <v>1</v>
      </c>
      <c r="AB35" s="128">
        <f ca="1">IF(AA35&gt;0,29,0)</f>
        <v>29</v>
      </c>
      <c r="AC35" s="128">
        <f t="shared" ca="1" si="16"/>
        <v>841</v>
      </c>
      <c r="AD35" s="15">
        <f t="shared" ca="1" si="17"/>
        <v>109.68135726388547</v>
      </c>
      <c r="AE35" s="127">
        <f t="shared" ca="1" si="18"/>
        <v>3.6844969857716365</v>
      </c>
      <c r="AF35" s="127">
        <f t="shared" ca="1" si="19"/>
        <v>39.825084826365597</v>
      </c>
      <c r="AH35" s="121">
        <f>Transport!$A48</f>
        <v>45139</v>
      </c>
      <c r="AI35" s="73">
        <f t="shared" ca="1" si="20"/>
        <v>40.62223741069598</v>
      </c>
      <c r="AJ35" s="15">
        <f t="shared" ca="1" si="21"/>
        <v>3.7043156361393943</v>
      </c>
      <c r="AK35" s="98">
        <f t="shared" ca="1" si="22"/>
        <v>1</v>
      </c>
      <c r="AL35" s="128">
        <f ca="1">IF(AK35&gt;0,29,0)</f>
        <v>29</v>
      </c>
      <c r="AM35" s="128">
        <f t="shared" ca="1" si="23"/>
        <v>841</v>
      </c>
      <c r="AN35" s="15">
        <f t="shared" ca="1" si="24"/>
        <v>107.42515344804244</v>
      </c>
      <c r="AO35" s="127">
        <f t="shared" ca="1" si="25"/>
        <v>3.6830646625971868</v>
      </c>
      <c r="AP35" s="127">
        <f t="shared" ca="1" si="56"/>
        <v>39.768083266517067</v>
      </c>
      <c r="AR35" s="121">
        <f>Transport!$A48</f>
        <v>45139</v>
      </c>
      <c r="AS35" s="73">
        <f t="shared" ca="1" si="57"/>
        <v>40.62223741069598</v>
      </c>
      <c r="AT35" s="15">
        <f t="shared" ca="1" si="26"/>
        <v>3.7043156361393943</v>
      </c>
      <c r="AU35" s="98">
        <f t="shared" ca="1" si="27"/>
        <v>1</v>
      </c>
      <c r="AV35" s="128">
        <f ca="1">IF(AU35&gt;0,29,0)</f>
        <v>29</v>
      </c>
      <c r="AW35" s="128">
        <f t="shared" ca="1" si="28"/>
        <v>841</v>
      </c>
      <c r="AX35" s="15">
        <f t="shared" ca="1" si="29"/>
        <v>107.42515344804244</v>
      </c>
      <c r="AY35" s="127">
        <f t="shared" ca="1" si="30"/>
        <v>3.6986794473592863</v>
      </c>
      <c r="AZ35" s="127">
        <f t="shared" ca="1" si="59"/>
        <v>40.393926817169479</v>
      </c>
      <c r="BB35" s="121">
        <f>Transport!$A48</f>
        <v>45139</v>
      </c>
      <c r="BC35" s="73">
        <f t="shared" ca="1" si="62"/>
        <v>40.62223741069598</v>
      </c>
      <c r="BD35" s="15">
        <f t="shared" ca="1" si="31"/>
        <v>3.7043156361393943</v>
      </c>
      <c r="BE35" s="98">
        <f t="shared" ca="1" si="32"/>
        <v>1</v>
      </c>
      <c r="BF35" s="128">
        <f ca="1">IF(BE35&gt;0,29,0)</f>
        <v>29</v>
      </c>
      <c r="BG35" s="128">
        <f t="shared" ca="1" si="33"/>
        <v>841</v>
      </c>
      <c r="BH35" s="15">
        <f t="shared" ca="1" si="34"/>
        <v>107.42515344804244</v>
      </c>
      <c r="BI35" s="127">
        <f t="shared" ca="1" si="35"/>
        <v>3.6934002548021097</v>
      </c>
      <c r="BJ35" s="127">
        <f t="shared" ca="1" si="65"/>
        <v>40.181241396964246</v>
      </c>
      <c r="BL35" s="121">
        <f>Transport!$A48</f>
        <v>45139</v>
      </c>
      <c r="BM35" s="73">
        <f t="shared" ca="1" si="70"/>
        <v>40.62223741069598</v>
      </c>
      <c r="BN35" s="15">
        <f t="shared" ca="1" si="36"/>
        <v>3.7043156361393943</v>
      </c>
      <c r="BO35" s="98">
        <f t="shared" ca="1" si="37"/>
        <v>1</v>
      </c>
      <c r="BP35" s="128">
        <f ca="1">IF(BO35&gt;0,29,0)</f>
        <v>29</v>
      </c>
      <c r="BQ35" s="128">
        <f t="shared" ca="1" si="38"/>
        <v>841</v>
      </c>
      <c r="BR35" s="15">
        <f t="shared" ca="1" si="39"/>
        <v>107.42515344804244</v>
      </c>
      <c r="BS35" s="127">
        <f t="shared" ca="1" si="40"/>
        <v>3.6946601050036718</v>
      </c>
      <c r="BT35" s="127">
        <f t="shared" ca="1" si="66"/>
        <v>40.231895643718758</v>
      </c>
      <c r="BZ35" s="583">
        <f t="shared" si="42"/>
        <v>1</v>
      </c>
      <c r="CA35" s="121">
        <f>Transport!$A48</f>
        <v>45139</v>
      </c>
      <c r="CB35" s="73">
        <f t="shared" ca="1" si="43"/>
        <v>40.62223741069598</v>
      </c>
      <c r="CC35" s="15">
        <f t="shared" ca="1" si="44"/>
        <v>3.7043156361393943</v>
      </c>
      <c r="CD35" s="98">
        <f t="shared" ca="1" si="45"/>
        <v>1</v>
      </c>
      <c r="CE35" s="128">
        <f ca="1">IF(CD35&gt;0,29,0)</f>
        <v>29</v>
      </c>
      <c r="CF35" s="128">
        <f t="shared" ca="1" si="46"/>
        <v>841</v>
      </c>
      <c r="CG35" s="15">
        <f t="shared" ca="1" si="47"/>
        <v>107.42515344804244</v>
      </c>
      <c r="CH35" s="127">
        <f t="shared" ca="1" si="48"/>
        <v>3.7065231766541271</v>
      </c>
      <c r="CI35" s="127">
        <f t="shared" ca="1" si="67"/>
        <v>40.712011699311233</v>
      </c>
      <c r="DB35" s="121">
        <f>Transport!$A48</f>
        <v>45139</v>
      </c>
      <c r="DC35" s="158" t="e">
        <f t="shared" ca="1" si="68"/>
        <v>#DIV/0!</v>
      </c>
      <c r="DD35" s="15" t="e">
        <f t="shared" ca="1" si="49"/>
        <v>#DIV/0!</v>
      </c>
      <c r="DE35" s="98" t="e">
        <f t="shared" ca="1" si="50"/>
        <v>#DIV/0!</v>
      </c>
      <c r="DF35" s="128" t="e">
        <f ca="1">IF(DE35&gt;0,29,0)</f>
        <v>#DIV/0!</v>
      </c>
      <c r="DG35" s="128" t="e">
        <f t="shared" ca="1" si="51"/>
        <v>#DIV/0!</v>
      </c>
      <c r="DH35" s="15" t="e">
        <f t="shared" ca="1" si="52"/>
        <v>#DIV/0!</v>
      </c>
      <c r="DI35" s="127" t="e">
        <f t="shared" si="5"/>
        <v>#DIV/0!</v>
      </c>
      <c r="DJ35" s="127" t="e">
        <f t="shared" ca="1" si="6"/>
        <v>#DIV/0!</v>
      </c>
      <c r="DQ35" s="280">
        <f>Transport!$A48</f>
        <v>45139</v>
      </c>
      <c r="DR35" s="13">
        <f t="shared" ca="1" si="53"/>
        <v>1</v>
      </c>
      <c r="DS35" s="281">
        <f t="shared" ca="1" si="54"/>
        <v>43.908844442170953</v>
      </c>
      <c r="DT35" s="295">
        <f t="shared" ca="1" si="55"/>
        <v>39.768083266517067</v>
      </c>
      <c r="DX35" s="280">
        <f>Transport!$A48</f>
        <v>45139</v>
      </c>
      <c r="DY35" s="13">
        <f t="shared" ca="1" si="58"/>
        <v>1</v>
      </c>
      <c r="DZ35" s="281">
        <f t="shared" ca="1" si="60"/>
        <v>43.908844442170953</v>
      </c>
      <c r="EA35" s="127">
        <f t="shared" ca="1" si="61"/>
        <v>40.393926817169479</v>
      </c>
      <c r="EC35" s="280">
        <f>Transport!$A48</f>
        <v>45139</v>
      </c>
      <c r="ED35" s="13">
        <f t="shared" ca="1" si="63"/>
        <v>1</v>
      </c>
      <c r="EE35" s="281">
        <f t="shared" ca="1" si="64"/>
        <v>43.908844442170953</v>
      </c>
      <c r="EF35" s="127">
        <f t="shared" ca="1" si="69"/>
        <v>40.181241396964246</v>
      </c>
      <c r="EH35" s="280">
        <f>Transport!$A48</f>
        <v>45139</v>
      </c>
      <c r="EI35" s="13">
        <f t="shared" ca="1" si="71"/>
        <v>1</v>
      </c>
      <c r="EJ35" s="281">
        <f t="shared" ca="1" si="72"/>
        <v>43.908844442170953</v>
      </c>
      <c r="EK35" s="127">
        <f t="shared" ca="1" si="73"/>
        <v>40.231895643718758</v>
      </c>
    </row>
    <row r="36" spans="1:141" x14ac:dyDescent="0.2">
      <c r="J36" s="228">
        <f t="shared" ca="1" si="7"/>
        <v>1</v>
      </c>
      <c r="K36" s="121">
        <f>Transport!$A49</f>
        <v>45170</v>
      </c>
      <c r="L36" s="73">
        <f ca="1">Transport!$F49</f>
        <v>39.63601951304247</v>
      </c>
      <c r="M36" s="574">
        <f ca="1">Transport!J49</f>
        <v>39.63601951304247</v>
      </c>
      <c r="N36" s="120"/>
      <c r="O36">
        <f t="shared" ca="1" si="8"/>
        <v>1</v>
      </c>
      <c r="P36" s="241">
        <f t="shared" ca="1" si="9"/>
        <v>42.966373388232512</v>
      </c>
      <c r="Q36" s="73">
        <f t="shared" ca="1" si="10"/>
        <v>42.966373388232512</v>
      </c>
      <c r="S36">
        <f t="shared" ca="1" si="11"/>
        <v>1</v>
      </c>
      <c r="T36" s="73">
        <f t="shared" ca="1" si="12"/>
        <v>41.510183064828567</v>
      </c>
      <c r="U36" s="73">
        <f t="shared" ca="1" si="13"/>
        <v>41.510183064828567</v>
      </c>
      <c r="V36" s="2">
        <v>30</v>
      </c>
      <c r="X36" s="121">
        <f>Transport!$A49</f>
        <v>45170</v>
      </c>
      <c r="Y36" s="73">
        <f t="shared" ca="1" si="0"/>
        <v>39.63601951304247</v>
      </c>
      <c r="Z36" s="15">
        <f t="shared" ca="1" si="14"/>
        <v>3.6797382885025787</v>
      </c>
      <c r="AA36" s="98">
        <f t="shared" ca="1" si="15"/>
        <v>1</v>
      </c>
      <c r="AB36" s="128">
        <f ca="1">IF(AA36&gt;0,30,0)</f>
        <v>30</v>
      </c>
      <c r="AC36" s="128">
        <f t="shared" ca="1" si="16"/>
        <v>900</v>
      </c>
      <c r="AD36" s="15">
        <f t="shared" ca="1" si="17"/>
        <v>110.39214865507736</v>
      </c>
      <c r="AE36" s="127">
        <f t="shared" ca="1" si="18"/>
        <v>3.6840179120923993</v>
      </c>
      <c r="AF36" s="127">
        <f t="shared" ca="1" si="19"/>
        <v>39.806010245881438</v>
      </c>
      <c r="AH36" s="121">
        <f>Transport!$A49</f>
        <v>45170</v>
      </c>
      <c r="AI36" s="73">
        <f t="shared" ca="1" si="20"/>
        <v>42.966373388232512</v>
      </c>
      <c r="AJ36" s="15">
        <f t="shared" ca="1" si="21"/>
        <v>3.7604177955337796</v>
      </c>
      <c r="AK36" s="98">
        <f t="shared" ca="1" si="22"/>
        <v>1</v>
      </c>
      <c r="AL36" s="128">
        <f ca="1">IF(AK36&gt;0,30,0)</f>
        <v>30</v>
      </c>
      <c r="AM36" s="128">
        <f t="shared" ca="1" si="23"/>
        <v>900</v>
      </c>
      <c r="AN36" s="15">
        <f t="shared" ca="1" si="24"/>
        <v>112.81253386601338</v>
      </c>
      <c r="AO36" s="127">
        <f t="shared" ca="1" si="25"/>
        <v>3.6818813092886873</v>
      </c>
      <c r="AP36" s="127">
        <f t="shared" ca="1" si="56"/>
        <v>39.7210514067527</v>
      </c>
      <c r="AR36" s="121">
        <f>Transport!$A49</f>
        <v>45170</v>
      </c>
      <c r="AS36" s="73">
        <f t="shared" ca="1" si="57"/>
        <v>42.966373388232512</v>
      </c>
      <c r="AT36" s="15">
        <f t="shared" ca="1" si="26"/>
        <v>3.7604177955337796</v>
      </c>
      <c r="AU36" s="98">
        <f t="shared" ca="1" si="27"/>
        <v>1</v>
      </c>
      <c r="AV36" s="128">
        <f ca="1">IF(AU36&gt;0,30,0)</f>
        <v>30</v>
      </c>
      <c r="AW36" s="128">
        <f t="shared" ca="1" si="28"/>
        <v>900</v>
      </c>
      <c r="AX36" s="15">
        <f t="shared" ca="1" si="29"/>
        <v>112.81253386601338</v>
      </c>
      <c r="AY36" s="127">
        <f t="shared" ca="1" si="30"/>
        <v>3.7023682475236983</v>
      </c>
      <c r="AZ36" s="127">
        <f t="shared" ca="1" si="59"/>
        <v>40.543207104353414</v>
      </c>
      <c r="BB36" s="121">
        <f>Transport!$A49</f>
        <v>45170</v>
      </c>
      <c r="BC36" s="73">
        <f t="shared" ca="1" si="62"/>
        <v>42.966373388232512</v>
      </c>
      <c r="BD36" s="15">
        <f t="shared" ca="1" si="31"/>
        <v>3.7604177955337796</v>
      </c>
      <c r="BE36" s="98">
        <f t="shared" ca="1" si="32"/>
        <v>1</v>
      </c>
      <c r="BF36" s="128">
        <f ca="1">IF(BE36&gt;0,30,0)</f>
        <v>30</v>
      </c>
      <c r="BG36" s="128">
        <f t="shared" ca="1" si="33"/>
        <v>900</v>
      </c>
      <c r="BH36" s="15">
        <f t="shared" ca="1" si="34"/>
        <v>112.81253386601338</v>
      </c>
      <c r="BI36" s="127">
        <f t="shared" ca="1" si="35"/>
        <v>3.6946610456354416</v>
      </c>
      <c r="BJ36" s="127">
        <f t="shared" ca="1" si="65"/>
        <v>40.231933487135763</v>
      </c>
      <c r="BL36" s="121">
        <f>Transport!$A49</f>
        <v>45170</v>
      </c>
      <c r="BM36" s="73">
        <f t="shared" ca="1" si="70"/>
        <v>42.966373388232512</v>
      </c>
      <c r="BN36" s="15">
        <f t="shared" ca="1" si="36"/>
        <v>3.7604177955337796</v>
      </c>
      <c r="BO36" s="98">
        <f t="shared" ca="1" si="37"/>
        <v>1</v>
      </c>
      <c r="BP36" s="128">
        <f ca="1">IF(BO36&gt;0,30,0)</f>
        <v>30</v>
      </c>
      <c r="BQ36" s="128">
        <f t="shared" ca="1" si="38"/>
        <v>900</v>
      </c>
      <c r="BR36" s="15">
        <f t="shared" ca="1" si="39"/>
        <v>112.81253386601338</v>
      </c>
      <c r="BS36" s="127">
        <f t="shared" ca="1" si="40"/>
        <v>3.6997877492558056</v>
      </c>
      <c r="BT36" s="127">
        <f t="shared" ca="1" si="66"/>
        <v>40.438720300635033</v>
      </c>
      <c r="BZ36" s="583">
        <f t="shared" si="42"/>
        <v>1</v>
      </c>
      <c r="CA36" s="121">
        <f>Transport!$A49</f>
        <v>45170</v>
      </c>
      <c r="CB36" s="73">
        <f t="shared" ca="1" si="43"/>
        <v>42.966373388232512</v>
      </c>
      <c r="CC36" s="15">
        <f t="shared" ca="1" si="44"/>
        <v>3.7604177955337796</v>
      </c>
      <c r="CD36" s="98">
        <f t="shared" ca="1" si="45"/>
        <v>1</v>
      </c>
      <c r="CE36" s="128">
        <f ca="1">IF(CD36&gt;0,30,0)</f>
        <v>30</v>
      </c>
      <c r="CF36" s="128">
        <f t="shared" ca="1" si="46"/>
        <v>900</v>
      </c>
      <c r="CG36" s="15">
        <f t="shared" ca="1" si="47"/>
        <v>112.81253386601338</v>
      </c>
      <c r="CH36" s="127">
        <f t="shared" ca="1" si="48"/>
        <v>3.7101300556770065</v>
      </c>
      <c r="CI36" s="127">
        <f t="shared" ca="1" si="67"/>
        <v>40.859120141981833</v>
      </c>
      <c r="DB36" s="121">
        <f>Transport!$A49</f>
        <v>45170</v>
      </c>
      <c r="DC36" s="158" t="e">
        <f t="shared" ca="1" si="68"/>
        <v>#DIV/0!</v>
      </c>
      <c r="DD36" s="15" t="e">
        <f t="shared" ca="1" si="49"/>
        <v>#DIV/0!</v>
      </c>
      <c r="DE36" s="98" t="e">
        <f t="shared" ca="1" si="50"/>
        <v>#DIV/0!</v>
      </c>
      <c r="DF36" s="128" t="e">
        <f ca="1">IF(DE36&gt;0,30,0)</f>
        <v>#DIV/0!</v>
      </c>
      <c r="DG36" s="128" t="e">
        <f t="shared" ca="1" si="51"/>
        <v>#DIV/0!</v>
      </c>
      <c r="DH36" s="15" t="e">
        <f t="shared" ca="1" si="52"/>
        <v>#DIV/0!</v>
      </c>
      <c r="DI36" s="127" t="e">
        <f t="shared" si="5"/>
        <v>#DIV/0!</v>
      </c>
      <c r="DJ36" s="127" t="e">
        <f t="shared" ca="1" si="6"/>
        <v>#DIV/0!</v>
      </c>
      <c r="DQ36" s="280">
        <f>Transport!$A49</f>
        <v>45170</v>
      </c>
      <c r="DR36" s="13">
        <f t="shared" ca="1" si="53"/>
        <v>1</v>
      </c>
      <c r="DS36" s="281">
        <f t="shared" ca="1" si="54"/>
        <v>39.63601951304247</v>
      </c>
      <c r="DT36" s="295">
        <f t="shared" ca="1" si="55"/>
        <v>39.7210514067527</v>
      </c>
      <c r="DX36" s="280">
        <f>Transport!$A49</f>
        <v>45170</v>
      </c>
      <c r="DY36" s="13">
        <f t="shared" ca="1" si="58"/>
        <v>1</v>
      </c>
      <c r="DZ36" s="281">
        <f t="shared" ca="1" si="60"/>
        <v>39.63601951304247</v>
      </c>
      <c r="EA36" s="127">
        <f t="shared" ca="1" si="61"/>
        <v>40.543207104353414</v>
      </c>
      <c r="EC36" s="280">
        <f>Transport!$A49</f>
        <v>45170</v>
      </c>
      <c r="ED36" s="13">
        <f t="shared" ca="1" si="63"/>
        <v>1</v>
      </c>
      <c r="EE36" s="281">
        <f t="shared" ca="1" si="64"/>
        <v>39.63601951304247</v>
      </c>
      <c r="EF36" s="127">
        <f t="shared" ca="1" si="69"/>
        <v>40.231933487135763</v>
      </c>
      <c r="EH36" s="280">
        <f>Transport!$A49</f>
        <v>45170</v>
      </c>
      <c r="EI36" s="13">
        <f t="shared" ca="1" si="71"/>
        <v>1</v>
      </c>
      <c r="EJ36" s="281">
        <f t="shared" ca="1" si="72"/>
        <v>39.63601951304247</v>
      </c>
      <c r="EK36" s="127">
        <f t="shared" ca="1" si="73"/>
        <v>40.438720300635033</v>
      </c>
    </row>
    <row r="37" spans="1:141" x14ac:dyDescent="0.2">
      <c r="B37" s="227" t="s">
        <v>1031</v>
      </c>
      <c r="J37" s="228">
        <f t="shared" ca="1" si="7"/>
        <v>1</v>
      </c>
      <c r="K37" s="121">
        <f>Transport!$A50</f>
        <v>45200</v>
      </c>
      <c r="L37" s="73">
        <f ca="1">Transport!$F50</f>
        <v>45.354256209484092</v>
      </c>
      <c r="M37" s="574">
        <f ca="1">Transport!J50</f>
        <v>45.354256209484092</v>
      </c>
      <c r="N37" s="120"/>
      <c r="O37">
        <f t="shared" ca="1" si="8"/>
        <v>1</v>
      </c>
      <c r="P37" s="241">
        <f t="shared" ca="1" si="9"/>
        <v>42.365922389362225</v>
      </c>
      <c r="Q37" s="73">
        <f t="shared" ca="1" si="10"/>
        <v>42.365922389362225</v>
      </c>
      <c r="S37">
        <f t="shared" ca="1" si="11"/>
        <v>1</v>
      </c>
      <c r="T37" s="73">
        <f t="shared" ca="1" si="12"/>
        <v>41.299326223385044</v>
      </c>
      <c r="U37" s="73">
        <f t="shared" ca="1" si="13"/>
        <v>41.299326223385044</v>
      </c>
      <c r="V37" s="2">
        <v>31</v>
      </c>
      <c r="X37" s="121">
        <f>Transport!$A50</f>
        <v>45200</v>
      </c>
      <c r="Y37" s="73">
        <f t="shared" ca="1" si="0"/>
        <v>45.354256209484092</v>
      </c>
      <c r="Z37" s="15">
        <f t="shared" ca="1" si="14"/>
        <v>3.8145040246266078</v>
      </c>
      <c r="AA37" s="98">
        <f t="shared" ca="1" si="15"/>
        <v>1</v>
      </c>
      <c r="AB37" s="128">
        <f ca="1">IF(AA37&gt;0,31,0)</f>
        <v>31</v>
      </c>
      <c r="AC37" s="128">
        <f t="shared" ca="1" si="16"/>
        <v>961</v>
      </c>
      <c r="AD37" s="15">
        <f t="shared" ca="1" si="17"/>
        <v>118.24962476342483</v>
      </c>
      <c r="AE37" s="127">
        <f t="shared" ca="1" si="18"/>
        <v>3.683538838413162</v>
      </c>
      <c r="AF37" s="127">
        <f t="shared" ca="1" si="19"/>
        <v>39.786944801338166</v>
      </c>
      <c r="AH37" s="121">
        <f>Transport!$A50</f>
        <v>45200</v>
      </c>
      <c r="AI37" s="73">
        <f t="shared" ca="1" si="20"/>
        <v>42.365922389362225</v>
      </c>
      <c r="AJ37" s="15">
        <f t="shared" ca="1" si="21"/>
        <v>3.7463443218520336</v>
      </c>
      <c r="AK37" s="98">
        <f t="shared" ca="1" si="22"/>
        <v>1</v>
      </c>
      <c r="AL37" s="128">
        <f ca="1">IF(AK37&gt;0,31,0)</f>
        <v>31</v>
      </c>
      <c r="AM37" s="128">
        <f t="shared" ca="1" si="23"/>
        <v>961</v>
      </c>
      <c r="AN37" s="15">
        <f t="shared" ca="1" si="24"/>
        <v>116.13667397741304</v>
      </c>
      <c r="AO37" s="127">
        <f t="shared" ca="1" si="25"/>
        <v>3.6806979559801882</v>
      </c>
      <c r="AP37" s="127">
        <f t="shared" ca="1" si="56"/>
        <v>39.674075169378256</v>
      </c>
      <c r="AR37" s="121">
        <f>Transport!$A50</f>
        <v>45200</v>
      </c>
      <c r="AS37" s="73">
        <f t="shared" ca="1" si="57"/>
        <v>42.365922389362225</v>
      </c>
      <c r="AT37" s="15">
        <f t="shared" ca="1" si="26"/>
        <v>3.7463443218520336</v>
      </c>
      <c r="AU37" s="98">
        <f t="shared" ca="1" si="27"/>
        <v>1</v>
      </c>
      <c r="AV37" s="128">
        <f ca="1">IF(AU37&gt;0,31,0)</f>
        <v>31</v>
      </c>
      <c r="AW37" s="128">
        <f t="shared" ca="1" si="28"/>
        <v>961</v>
      </c>
      <c r="AX37" s="15">
        <f t="shared" ca="1" si="29"/>
        <v>116.13667397741304</v>
      </c>
      <c r="AY37" s="127">
        <f t="shared" ca="1" si="30"/>
        <v>3.7060570476881103</v>
      </c>
      <c r="AZ37" s="127">
        <f t="shared" ca="1" si="59"/>
        <v>40.693039073582099</v>
      </c>
      <c r="BB37" s="121">
        <f>Transport!$A50</f>
        <v>45200</v>
      </c>
      <c r="BC37" s="73">
        <f t="shared" ca="1" si="62"/>
        <v>42.365922389362225</v>
      </c>
      <c r="BD37" s="15">
        <f t="shared" ca="1" si="31"/>
        <v>3.7463443218520336</v>
      </c>
      <c r="BE37" s="98">
        <f t="shared" ca="1" si="32"/>
        <v>1</v>
      </c>
      <c r="BF37" s="128">
        <f ca="1">IF(BE37&gt;0,31,0)</f>
        <v>31</v>
      </c>
      <c r="BG37" s="128">
        <f t="shared" ca="1" si="33"/>
        <v>961</v>
      </c>
      <c r="BH37" s="15">
        <f t="shared" ca="1" si="34"/>
        <v>116.13667397741304</v>
      </c>
      <c r="BI37" s="127">
        <f t="shared" ca="1" si="35"/>
        <v>3.6959218364687731</v>
      </c>
      <c r="BJ37" s="127">
        <f t="shared" ca="1" si="65"/>
        <v>40.282689529736714</v>
      </c>
      <c r="BL37" s="121">
        <f>Transport!$A50</f>
        <v>45200</v>
      </c>
      <c r="BM37" s="73">
        <f t="shared" ca="1" si="70"/>
        <v>42.365922389362225</v>
      </c>
      <c r="BN37" s="15">
        <f t="shared" ca="1" si="36"/>
        <v>3.7463443218520336</v>
      </c>
      <c r="BO37" s="98">
        <f t="shared" ca="1" si="37"/>
        <v>1</v>
      </c>
      <c r="BP37" s="128">
        <f ca="1">IF(BO37&gt;0,31,0)</f>
        <v>31</v>
      </c>
      <c r="BQ37" s="128">
        <f t="shared" ca="1" si="38"/>
        <v>961</v>
      </c>
      <c r="BR37" s="15">
        <f t="shared" ca="1" si="39"/>
        <v>116.13667397741304</v>
      </c>
      <c r="BS37" s="127">
        <f t="shared" ca="1" si="40"/>
        <v>3.7049153935079389</v>
      </c>
      <c r="BT37" s="127">
        <f t="shared" ca="1" si="66"/>
        <v>40.64660820446084</v>
      </c>
      <c r="BZ37" s="583">
        <f t="shared" si="42"/>
        <v>1</v>
      </c>
      <c r="CA37" s="121">
        <f>Transport!$A50</f>
        <v>45200</v>
      </c>
      <c r="CB37" s="73">
        <f t="shared" ca="1" si="43"/>
        <v>42.365922389362225</v>
      </c>
      <c r="CC37" s="15">
        <f t="shared" ca="1" si="44"/>
        <v>3.7463443218520336</v>
      </c>
      <c r="CD37" s="98">
        <f t="shared" ca="1" si="45"/>
        <v>1</v>
      </c>
      <c r="CE37" s="128">
        <f ca="1">IF(CD37&gt;0,31,0)</f>
        <v>31</v>
      </c>
      <c r="CF37" s="128">
        <f t="shared" ca="1" si="46"/>
        <v>961</v>
      </c>
      <c r="CG37" s="15">
        <f t="shared" ca="1" si="47"/>
        <v>116.13667397741304</v>
      </c>
      <c r="CH37" s="127">
        <f t="shared" ca="1" si="48"/>
        <v>3.7137369346998859</v>
      </c>
      <c r="CI37" s="127">
        <f t="shared" ca="1" si="67"/>
        <v>41.006760145069173</v>
      </c>
      <c r="DB37" s="121">
        <f>Transport!$A50</f>
        <v>45200</v>
      </c>
      <c r="DC37" s="158" t="e">
        <f t="shared" ca="1" si="68"/>
        <v>#DIV/0!</v>
      </c>
      <c r="DD37" s="15" t="e">
        <f t="shared" ca="1" si="49"/>
        <v>#DIV/0!</v>
      </c>
      <c r="DE37" s="98" t="e">
        <f t="shared" ca="1" si="50"/>
        <v>#DIV/0!</v>
      </c>
      <c r="DF37" s="128" t="e">
        <f ca="1">IF(DE37&gt;0,31,0)</f>
        <v>#DIV/0!</v>
      </c>
      <c r="DG37" s="128" t="e">
        <f t="shared" ca="1" si="51"/>
        <v>#DIV/0!</v>
      </c>
      <c r="DH37" s="15" t="e">
        <f t="shared" ca="1" si="52"/>
        <v>#DIV/0!</v>
      </c>
      <c r="DI37" s="127" t="e">
        <f t="shared" si="5"/>
        <v>#DIV/0!</v>
      </c>
      <c r="DJ37" s="127" t="e">
        <f t="shared" ca="1" si="6"/>
        <v>#DIV/0!</v>
      </c>
      <c r="DQ37" s="280">
        <f>Transport!$A50</f>
        <v>45200</v>
      </c>
      <c r="DR37" s="13">
        <f t="shared" ca="1" si="53"/>
        <v>1</v>
      </c>
      <c r="DS37" s="281">
        <f t="shared" ca="1" si="54"/>
        <v>45.354256209484092</v>
      </c>
      <c r="DT37" s="295">
        <f t="shared" ca="1" si="55"/>
        <v>39.674075169378256</v>
      </c>
      <c r="DX37" s="280">
        <f>Transport!$A50</f>
        <v>45200</v>
      </c>
      <c r="DY37" s="13">
        <f t="shared" ca="1" si="58"/>
        <v>1</v>
      </c>
      <c r="DZ37" s="281">
        <f t="shared" ca="1" si="60"/>
        <v>45.354256209484092</v>
      </c>
      <c r="EA37" s="127">
        <f t="shared" ca="1" si="61"/>
        <v>40.693039073582099</v>
      </c>
      <c r="EC37" s="280">
        <f>Transport!$A50</f>
        <v>45200</v>
      </c>
      <c r="ED37" s="13">
        <f t="shared" ca="1" si="63"/>
        <v>1</v>
      </c>
      <c r="EE37" s="281">
        <f t="shared" ca="1" si="64"/>
        <v>45.354256209484092</v>
      </c>
      <c r="EF37" s="127">
        <f t="shared" ca="1" si="69"/>
        <v>40.282689529736714</v>
      </c>
      <c r="EH37" s="280">
        <f>Transport!$A50</f>
        <v>45200</v>
      </c>
      <c r="EI37" s="13">
        <f t="shared" ca="1" si="71"/>
        <v>1</v>
      </c>
      <c r="EJ37" s="281">
        <f t="shared" ca="1" si="72"/>
        <v>45.354256209484092</v>
      </c>
      <c r="EK37" s="127">
        <f t="shared" ca="1" si="73"/>
        <v>40.64660820446084</v>
      </c>
    </row>
    <row r="38" spans="1:141" x14ac:dyDescent="0.2">
      <c r="B38" s="227" t="s">
        <v>1032</v>
      </c>
      <c r="J38" s="228">
        <f t="shared" ca="1" si="7"/>
        <v>1</v>
      </c>
      <c r="K38" s="121">
        <f>Transport!$A51</f>
        <v>45231</v>
      </c>
      <c r="L38" s="73">
        <f ca="1">Transport!$F51</f>
        <v>42.107491445560107</v>
      </c>
      <c r="M38" s="574">
        <f ca="1">Transport!J51</f>
        <v>42.107491445560107</v>
      </c>
      <c r="N38" s="120"/>
      <c r="O38">
        <f t="shared" ca="1" si="8"/>
        <v>1</v>
      </c>
      <c r="P38" s="241">
        <f t="shared" ca="1" si="9"/>
        <v>42.398128718961154</v>
      </c>
      <c r="Q38" s="73">
        <f t="shared" ca="1" si="10"/>
        <v>42.398128718961154</v>
      </c>
      <c r="S38">
        <f t="shared" ca="1" si="11"/>
        <v>1</v>
      </c>
      <c r="T38" s="73">
        <f t="shared" ca="1" si="12"/>
        <v>40.237972508640247</v>
      </c>
      <c r="U38" s="73">
        <f t="shared" ca="1" si="13"/>
        <v>40.237972508640247</v>
      </c>
      <c r="V38" s="2">
        <v>32</v>
      </c>
      <c r="X38" s="121">
        <f>Transport!$A51</f>
        <v>45231</v>
      </c>
      <c r="Y38" s="73">
        <f t="shared" ca="1" si="0"/>
        <v>42.107491445560107</v>
      </c>
      <c r="Z38" s="15">
        <f t="shared" ca="1" si="14"/>
        <v>3.7402256689332285</v>
      </c>
      <c r="AA38" s="98">
        <f t="shared" ca="1" si="15"/>
        <v>1</v>
      </c>
      <c r="AB38" s="128">
        <f ca="1">IF(AA38&gt;0,32,0)</f>
        <v>32</v>
      </c>
      <c r="AC38" s="128">
        <f t="shared" ca="1" si="16"/>
        <v>1024</v>
      </c>
      <c r="AD38" s="15">
        <f t="shared" ca="1" si="17"/>
        <v>119.68722140586331</v>
      </c>
      <c r="AE38" s="127">
        <f t="shared" ca="1" si="18"/>
        <v>3.6830597647339247</v>
      </c>
      <c r="AF38" s="127">
        <f t="shared" ca="1" si="19"/>
        <v>39.767888488360029</v>
      </c>
      <c r="AH38" s="121">
        <f>Transport!$A51</f>
        <v>45231</v>
      </c>
      <c r="AI38" s="73">
        <f t="shared" ca="1" si="20"/>
        <v>42.398128718961154</v>
      </c>
      <c r="AJ38" s="15">
        <f t="shared" ca="1" si="21"/>
        <v>3.7471042272772137</v>
      </c>
      <c r="AK38" s="98">
        <f t="shared" ca="1" si="22"/>
        <v>1</v>
      </c>
      <c r="AL38" s="128">
        <f ca="1">IF(AK38&gt;0,32,0)</f>
        <v>32</v>
      </c>
      <c r="AM38" s="128">
        <f t="shared" ca="1" si="23"/>
        <v>1024</v>
      </c>
      <c r="AN38" s="15">
        <f t="shared" ca="1" si="24"/>
        <v>119.90733527287084</v>
      </c>
      <c r="AO38" s="127">
        <f t="shared" ca="1" si="25"/>
        <v>3.6795146026716887</v>
      </c>
      <c r="AP38" s="127">
        <f t="shared" ca="1" si="56"/>
        <v>39.627154488611673</v>
      </c>
      <c r="AR38" s="121">
        <f>Transport!$A51</f>
        <v>45231</v>
      </c>
      <c r="AS38" s="73">
        <f t="shared" ca="1" si="57"/>
        <v>42.398128718961154</v>
      </c>
      <c r="AT38" s="15">
        <f t="shared" ca="1" si="26"/>
        <v>3.7471042272772137</v>
      </c>
      <c r="AU38" s="98">
        <f t="shared" ca="1" si="27"/>
        <v>1</v>
      </c>
      <c r="AV38" s="128">
        <f ca="1">IF(AU38&gt;0,32,0)</f>
        <v>32</v>
      </c>
      <c r="AW38" s="128">
        <f t="shared" ca="1" si="28"/>
        <v>1024</v>
      </c>
      <c r="AX38" s="15">
        <f t="shared" ca="1" si="29"/>
        <v>119.90733527287084</v>
      </c>
      <c r="AY38" s="127">
        <f t="shared" ca="1" si="30"/>
        <v>3.7097458478525223</v>
      </c>
      <c r="AZ38" s="127">
        <f t="shared" ca="1" si="59"/>
        <v>40.843424763658398</v>
      </c>
      <c r="BB38" s="121">
        <f>Transport!$A51</f>
        <v>45231</v>
      </c>
      <c r="BC38" s="73">
        <f t="shared" ca="1" si="62"/>
        <v>42.398128718961154</v>
      </c>
      <c r="BD38" s="15">
        <f t="shared" ca="1" si="31"/>
        <v>3.7471042272772137</v>
      </c>
      <c r="BE38" s="98">
        <f t="shared" ca="1" si="32"/>
        <v>1</v>
      </c>
      <c r="BF38" s="128">
        <f ca="1">IF(BE38&gt;0,32,0)</f>
        <v>32</v>
      </c>
      <c r="BG38" s="128">
        <f t="shared" ca="1" si="33"/>
        <v>1024</v>
      </c>
      <c r="BH38" s="15">
        <f t="shared" ca="1" si="34"/>
        <v>119.90733527287084</v>
      </c>
      <c r="BI38" s="127">
        <f t="shared" ca="1" si="35"/>
        <v>3.6971826273021051</v>
      </c>
      <c r="BJ38" s="127">
        <f t="shared" ca="1" si="65"/>
        <v>40.333509605448626</v>
      </c>
      <c r="BL38" s="121">
        <f>Transport!$A51</f>
        <v>45231</v>
      </c>
      <c r="BM38" s="73">
        <f t="shared" ca="1" si="70"/>
        <v>42.398128718961154</v>
      </c>
      <c r="BN38" s="15">
        <f t="shared" ca="1" si="36"/>
        <v>3.7471042272772137</v>
      </c>
      <c r="BO38" s="98">
        <f t="shared" ca="1" si="37"/>
        <v>1</v>
      </c>
      <c r="BP38" s="128">
        <f ca="1">IF(BO38&gt;0,32,0)</f>
        <v>32</v>
      </c>
      <c r="BQ38" s="128">
        <f t="shared" ca="1" si="38"/>
        <v>1024</v>
      </c>
      <c r="BR38" s="15">
        <f t="shared" ca="1" si="39"/>
        <v>119.90733527287084</v>
      </c>
      <c r="BS38" s="127">
        <f t="shared" ca="1" si="40"/>
        <v>3.7100430377600722</v>
      </c>
      <c r="BT38" s="127">
        <f t="shared" ca="1" si="66"/>
        <v>40.855564821149862</v>
      </c>
      <c r="BZ38" s="583">
        <f t="shared" si="42"/>
        <v>0</v>
      </c>
      <c r="CA38" s="121">
        <f>Transport!$A51</f>
        <v>45231</v>
      </c>
      <c r="CB38" s="73">
        <f t="shared" ca="1" si="43"/>
        <v>0</v>
      </c>
      <c r="CC38" s="15">
        <f t="shared" ca="1" si="44"/>
        <v>0</v>
      </c>
      <c r="CD38" s="98">
        <f t="shared" ca="1" si="45"/>
        <v>0</v>
      </c>
      <c r="CE38" s="128">
        <f ca="1">IF(CD38&gt;0,32,0)</f>
        <v>0</v>
      </c>
      <c r="CF38" s="128">
        <f t="shared" ca="1" si="46"/>
        <v>0</v>
      </c>
      <c r="CG38" s="15">
        <f t="shared" ca="1" si="47"/>
        <v>0</v>
      </c>
      <c r="CH38" s="127">
        <f t="shared" ca="1" si="48"/>
        <v>3.7173438137227652</v>
      </c>
      <c r="CI38" s="127">
        <f t="shared" ca="1" si="67"/>
        <v>41.154933629309205</v>
      </c>
      <c r="DB38" s="121">
        <f>Transport!$A51</f>
        <v>45231</v>
      </c>
      <c r="DC38" s="158" t="e">
        <f t="shared" ca="1" si="68"/>
        <v>#DIV/0!</v>
      </c>
      <c r="DD38" s="15" t="e">
        <f t="shared" ca="1" si="49"/>
        <v>#DIV/0!</v>
      </c>
      <c r="DE38" s="98" t="e">
        <f t="shared" ca="1" si="50"/>
        <v>#DIV/0!</v>
      </c>
      <c r="DF38" s="128" t="e">
        <f ca="1">IF(DE38&gt;0,32,0)</f>
        <v>#DIV/0!</v>
      </c>
      <c r="DG38" s="128" t="e">
        <f t="shared" ca="1" si="51"/>
        <v>#DIV/0!</v>
      </c>
      <c r="DH38" s="15" t="e">
        <f t="shared" ca="1" si="52"/>
        <v>#DIV/0!</v>
      </c>
      <c r="DI38" s="127" t="e">
        <f t="shared" si="5"/>
        <v>#DIV/0!</v>
      </c>
      <c r="DJ38" s="127" t="e">
        <f t="shared" ca="1" si="6"/>
        <v>#DIV/0!</v>
      </c>
      <c r="DQ38" s="280">
        <f>Transport!$A51</f>
        <v>45231</v>
      </c>
      <c r="DR38" s="13">
        <f t="shared" ca="1" si="53"/>
        <v>1</v>
      </c>
      <c r="DS38" s="281">
        <f t="shared" ca="1" si="54"/>
        <v>42.107491445560107</v>
      </c>
      <c r="DT38" s="295">
        <f t="shared" ca="1" si="55"/>
        <v>39.627154488611673</v>
      </c>
      <c r="DX38" s="280">
        <f>Transport!$A51</f>
        <v>45231</v>
      </c>
      <c r="DY38" s="13">
        <f t="shared" ca="1" si="58"/>
        <v>1</v>
      </c>
      <c r="DZ38" s="281">
        <f t="shared" ca="1" si="60"/>
        <v>42.107491445560107</v>
      </c>
      <c r="EA38" s="127">
        <f t="shared" ca="1" si="61"/>
        <v>40.843424763658398</v>
      </c>
      <c r="EC38" s="280">
        <f>Transport!$A51</f>
        <v>45231</v>
      </c>
      <c r="ED38" s="13">
        <f t="shared" ca="1" si="63"/>
        <v>1</v>
      </c>
      <c r="EE38" s="281">
        <f t="shared" ca="1" si="64"/>
        <v>42.107491445560107</v>
      </c>
      <c r="EF38" s="127">
        <f t="shared" ca="1" si="69"/>
        <v>40.333509605448626</v>
      </c>
      <c r="EH38" s="280">
        <f>Transport!$A51</f>
        <v>45231</v>
      </c>
      <c r="EI38" s="13">
        <f t="shared" ca="1" si="71"/>
        <v>1</v>
      </c>
      <c r="EJ38" s="281">
        <f t="shared" ca="1" si="72"/>
        <v>42.107491445560107</v>
      </c>
      <c r="EK38" s="127">
        <f t="shared" ca="1" si="73"/>
        <v>40.855564821149862</v>
      </c>
    </row>
    <row r="39" spans="1:141" x14ac:dyDescent="0.2">
      <c r="J39" s="228">
        <f t="shared" ca="1" si="7"/>
        <v>1</v>
      </c>
      <c r="K39" s="121">
        <f>Transport!$A52</f>
        <v>45261</v>
      </c>
      <c r="L39" s="73">
        <f ca="1">Transport!$F52</f>
        <v>39.732638501839261</v>
      </c>
      <c r="M39" s="574">
        <f ca="1">Transport!J52</f>
        <v>39.732638501839261</v>
      </c>
      <c r="N39" s="120"/>
      <c r="O39">
        <f t="shared" ca="1" si="8"/>
        <v>1</v>
      </c>
      <c r="P39" s="241">
        <f t="shared" ca="1" si="9"/>
        <v>39.63227905853757</v>
      </c>
      <c r="Q39" s="73">
        <f t="shared" ca="1" si="10"/>
        <v>39.63227905853757</v>
      </c>
      <c r="S39">
        <f t="shared" ca="1" si="11"/>
        <v>1</v>
      </c>
      <c r="T39" s="73">
        <f t="shared" ca="1" si="12"/>
        <v>40.606969054338499</v>
      </c>
      <c r="U39" s="73">
        <f t="shared" ca="1" si="13"/>
        <v>40.606969054338499</v>
      </c>
      <c r="V39" s="2">
        <v>33</v>
      </c>
      <c r="X39" s="121">
        <f>Transport!$A52</f>
        <v>45261</v>
      </c>
      <c r="Y39" s="73">
        <f t="shared" ca="1" si="0"/>
        <v>39.732638501839261</v>
      </c>
      <c r="Z39" s="15">
        <f t="shared" ca="1" si="14"/>
        <v>3.6821729784404167</v>
      </c>
      <c r="AA39" s="98">
        <f t="shared" ca="1" si="15"/>
        <v>1</v>
      </c>
      <c r="AB39" s="128">
        <f ca="1">IF(AA39&gt;0,33,0)</f>
        <v>33</v>
      </c>
      <c r="AC39" s="128">
        <f t="shared" ca="1" si="16"/>
        <v>1089</v>
      </c>
      <c r="AD39" s="15">
        <f t="shared" ca="1" si="17"/>
        <v>121.51170828853375</v>
      </c>
      <c r="AE39" s="127">
        <f t="shared" ca="1" si="18"/>
        <v>3.6825806910546874</v>
      </c>
      <c r="AF39" s="127">
        <f t="shared" ca="1" si="19"/>
        <v>39.748841302573396</v>
      </c>
      <c r="AH39" s="121">
        <f>Transport!$A52</f>
        <v>45261</v>
      </c>
      <c r="AI39" s="73">
        <f t="shared" ca="1" si="20"/>
        <v>39.63227905853757</v>
      </c>
      <c r="AJ39" s="15">
        <f t="shared" ca="1" si="21"/>
        <v>3.6796439139650881</v>
      </c>
      <c r="AK39" s="98">
        <f t="shared" ca="1" si="22"/>
        <v>1</v>
      </c>
      <c r="AL39" s="128">
        <f ca="1">IF(AK39&gt;0,33,0)</f>
        <v>33</v>
      </c>
      <c r="AM39" s="128">
        <f t="shared" ca="1" si="23"/>
        <v>1089</v>
      </c>
      <c r="AN39" s="15">
        <f t="shared" ca="1" si="24"/>
        <v>121.42824916084791</v>
      </c>
      <c r="AO39" s="127">
        <f t="shared" ca="1" si="25"/>
        <v>3.6783312493631897</v>
      </c>
      <c r="AP39" s="127">
        <f t="shared" ca="1" si="56"/>
        <v>39.580289298748788</v>
      </c>
      <c r="AR39" s="121">
        <f>Transport!$A52</f>
        <v>45261</v>
      </c>
      <c r="AS39" s="73">
        <f t="shared" ca="1" si="57"/>
        <v>39.63227905853757</v>
      </c>
      <c r="AT39" s="15">
        <f t="shared" ca="1" si="26"/>
        <v>3.6796439139650881</v>
      </c>
      <c r="AU39" s="98">
        <f t="shared" ca="1" si="27"/>
        <v>1</v>
      </c>
      <c r="AV39" s="128">
        <f ca="1">IF(AU39&gt;0,33,0)</f>
        <v>33</v>
      </c>
      <c r="AW39" s="128">
        <f t="shared" ca="1" si="28"/>
        <v>1089</v>
      </c>
      <c r="AX39" s="15">
        <f t="shared" ca="1" si="29"/>
        <v>121.42824916084791</v>
      </c>
      <c r="AY39" s="127">
        <f t="shared" ca="1" si="30"/>
        <v>3.7134346480169342</v>
      </c>
      <c r="AZ39" s="127">
        <f t="shared" ca="1" si="59"/>
        <v>40.994366220919815</v>
      </c>
      <c r="BB39" s="121">
        <f>Transport!$A52</f>
        <v>45261</v>
      </c>
      <c r="BC39" s="73">
        <f t="shared" ca="1" si="62"/>
        <v>39.63227905853757</v>
      </c>
      <c r="BD39" s="15">
        <f t="shared" ca="1" si="31"/>
        <v>3.6796439139650881</v>
      </c>
      <c r="BE39" s="98">
        <f t="shared" ca="1" si="32"/>
        <v>1</v>
      </c>
      <c r="BF39" s="128">
        <f ca="1">IF(BE39&gt;0,33,0)</f>
        <v>33</v>
      </c>
      <c r="BG39" s="128">
        <f t="shared" ca="1" si="33"/>
        <v>1089</v>
      </c>
      <c r="BH39" s="15">
        <f t="shared" ca="1" si="34"/>
        <v>121.42824916084791</v>
      </c>
      <c r="BI39" s="127">
        <f t="shared" ca="1" si="35"/>
        <v>3.6984434181354371</v>
      </c>
      <c r="BJ39" s="127">
        <f t="shared" ca="1" si="65"/>
        <v>40.384393795054763</v>
      </c>
      <c r="BL39" s="121">
        <f>Transport!$A52</f>
        <v>45261</v>
      </c>
      <c r="BM39" s="73">
        <f t="shared" ca="1" si="70"/>
        <v>39.63227905853757</v>
      </c>
      <c r="BN39" s="15">
        <f t="shared" ca="1" si="36"/>
        <v>3.6796439139650881</v>
      </c>
      <c r="BO39" s="98">
        <f t="shared" ca="1" si="37"/>
        <v>1</v>
      </c>
      <c r="BP39" s="128">
        <f ca="1">IF(BO39&gt;0,33,0)</f>
        <v>33</v>
      </c>
      <c r="BQ39" s="128">
        <f t="shared" ca="1" si="38"/>
        <v>1089</v>
      </c>
      <c r="BR39" s="15">
        <f t="shared" ca="1" si="39"/>
        <v>121.42824916084791</v>
      </c>
      <c r="BS39" s="127">
        <f t="shared" ca="1" si="40"/>
        <v>3.7151706820122059</v>
      </c>
      <c r="BT39" s="127">
        <f t="shared" ca="1" si="66"/>
        <v>41.065595644755213</v>
      </c>
      <c r="BZ39" s="583">
        <f t="shared" si="42"/>
        <v>0</v>
      </c>
      <c r="CA39" s="121">
        <f>Transport!$A52</f>
        <v>45261</v>
      </c>
      <c r="CB39" s="73">
        <f t="shared" ca="1" si="43"/>
        <v>0</v>
      </c>
      <c r="CC39" s="15">
        <f t="shared" ca="1" si="44"/>
        <v>0</v>
      </c>
      <c r="CD39" s="98">
        <f t="shared" ca="1" si="45"/>
        <v>0</v>
      </c>
      <c r="CE39" s="128">
        <f ca="1">IF(CD39&gt;0,33,0)</f>
        <v>0</v>
      </c>
      <c r="CF39" s="128">
        <f t="shared" ca="1" si="46"/>
        <v>0</v>
      </c>
      <c r="CG39" s="15">
        <f t="shared" ca="1" si="47"/>
        <v>0</v>
      </c>
      <c r="CH39" s="127">
        <f t="shared" ca="1" si="48"/>
        <v>3.7209506927456446</v>
      </c>
      <c r="CI39" s="127">
        <f t="shared" ca="1" si="67"/>
        <v>41.303642522378283</v>
      </c>
      <c r="DB39" s="121">
        <f>Transport!$A52</f>
        <v>45261</v>
      </c>
      <c r="DC39" s="158" t="e">
        <f t="shared" ca="1" si="68"/>
        <v>#DIV/0!</v>
      </c>
      <c r="DD39" s="15" t="e">
        <f t="shared" ca="1" si="49"/>
        <v>#DIV/0!</v>
      </c>
      <c r="DE39" s="98" t="e">
        <f t="shared" ca="1" si="50"/>
        <v>#DIV/0!</v>
      </c>
      <c r="DF39" s="128" t="e">
        <f ca="1">IF(DE39&gt;0,33,0)</f>
        <v>#DIV/0!</v>
      </c>
      <c r="DG39" s="128" t="e">
        <f t="shared" ca="1" si="51"/>
        <v>#DIV/0!</v>
      </c>
      <c r="DH39" s="15" t="e">
        <f t="shared" ca="1" si="52"/>
        <v>#DIV/0!</v>
      </c>
      <c r="DI39" s="127" t="e">
        <f t="shared" si="5"/>
        <v>#DIV/0!</v>
      </c>
      <c r="DJ39" s="127" t="e">
        <f t="shared" ca="1" si="6"/>
        <v>#DIV/0!</v>
      </c>
      <c r="DQ39" s="280">
        <f>Transport!$A52</f>
        <v>45261</v>
      </c>
      <c r="DR39" s="13">
        <f t="shared" ca="1" si="53"/>
        <v>1</v>
      </c>
      <c r="DS39" s="281">
        <f t="shared" ca="1" si="54"/>
        <v>39.732638501839261</v>
      </c>
      <c r="DT39" s="295">
        <f t="shared" ca="1" si="55"/>
        <v>39.580289298748788</v>
      </c>
      <c r="DX39" s="280">
        <f>Transport!$A52</f>
        <v>45261</v>
      </c>
      <c r="DY39" s="13">
        <f t="shared" ca="1" si="58"/>
        <v>1</v>
      </c>
      <c r="DZ39" s="281">
        <f t="shared" ca="1" si="60"/>
        <v>39.732638501839261</v>
      </c>
      <c r="EA39" s="127">
        <f t="shared" ca="1" si="61"/>
        <v>40.994366220919815</v>
      </c>
      <c r="EC39" s="280">
        <f>Transport!$A52</f>
        <v>45261</v>
      </c>
      <c r="ED39" s="13">
        <f t="shared" ca="1" si="63"/>
        <v>1</v>
      </c>
      <c r="EE39" s="281">
        <f t="shared" ca="1" si="64"/>
        <v>39.732638501839261</v>
      </c>
      <c r="EF39" s="127">
        <f t="shared" ca="1" si="69"/>
        <v>40.384393795054763</v>
      </c>
      <c r="EH39" s="280">
        <f>Transport!$A52</f>
        <v>45261</v>
      </c>
      <c r="EI39" s="13">
        <f t="shared" ca="1" si="71"/>
        <v>1</v>
      </c>
      <c r="EJ39" s="281">
        <f t="shared" ca="1" si="72"/>
        <v>39.732638501839261</v>
      </c>
      <c r="EK39" s="127">
        <f t="shared" ca="1" si="73"/>
        <v>41.065595644755213</v>
      </c>
    </row>
    <row r="40" spans="1:141" x14ac:dyDescent="0.2">
      <c r="J40" s="228">
        <f t="shared" ca="1" si="7"/>
        <v>1</v>
      </c>
      <c r="K40" s="121">
        <f>Transport!$A53</f>
        <v>45292</v>
      </c>
      <c r="L40" s="73">
        <f ca="1">Transport!$F53</f>
        <v>37.056707228213348</v>
      </c>
      <c r="M40" s="574">
        <f ca="1">Transport!J53</f>
        <v>37.056707228213348</v>
      </c>
      <c r="N40" s="120"/>
      <c r="O40">
        <f t="shared" ca="1" si="8"/>
        <v>1</v>
      </c>
      <c r="P40" s="241">
        <f t="shared" ca="1" si="9"/>
        <v>38.110022627918276</v>
      </c>
      <c r="Q40" s="73">
        <f t="shared" ca="1" si="10"/>
        <v>38.110022627918276</v>
      </c>
      <c r="S40">
        <f t="shared" ca="1" si="11"/>
        <v>1</v>
      </c>
      <c r="T40" s="73">
        <f t="shared" ca="1" si="12"/>
        <v>39.657511623309382</v>
      </c>
      <c r="U40" s="73">
        <f t="shared" ca="1" si="13"/>
        <v>39.657511623309382</v>
      </c>
      <c r="V40" s="2">
        <v>34</v>
      </c>
      <c r="X40" s="121">
        <f>Transport!$A53</f>
        <v>45292</v>
      </c>
      <c r="Y40" s="73">
        <f t="shared" ca="1" si="0"/>
        <v>37.056707228213348</v>
      </c>
      <c r="Z40" s="15">
        <f t="shared" ca="1" si="14"/>
        <v>3.612449367158447</v>
      </c>
      <c r="AA40" s="98">
        <f t="shared" ca="1" si="15"/>
        <v>1</v>
      </c>
      <c r="AB40" s="128">
        <f ca="1">IF(AA40&gt;0,34,0)</f>
        <v>34</v>
      </c>
      <c r="AC40" s="128">
        <f t="shared" ca="1" si="16"/>
        <v>1156</v>
      </c>
      <c r="AD40" s="15">
        <f t="shared" ca="1" si="17"/>
        <v>122.8232784833872</v>
      </c>
      <c r="AE40" s="127">
        <f t="shared" ca="1" si="18"/>
        <v>3.6821016173754502</v>
      </c>
      <c r="AF40" s="127">
        <f t="shared" ca="1" si="19"/>
        <v>39.72980323960671</v>
      </c>
      <c r="AH40" s="121">
        <f>Transport!$A53</f>
        <v>45292</v>
      </c>
      <c r="AI40" s="73">
        <f t="shared" ca="1" si="20"/>
        <v>38.110022627918276</v>
      </c>
      <c r="AJ40" s="15">
        <f t="shared" ca="1" si="21"/>
        <v>3.6404773086383679</v>
      </c>
      <c r="AK40" s="98">
        <f t="shared" ca="1" si="22"/>
        <v>1</v>
      </c>
      <c r="AL40" s="128">
        <f ca="1">IF(AK40&gt;0,34,0)</f>
        <v>34</v>
      </c>
      <c r="AM40" s="128">
        <f t="shared" ca="1" si="23"/>
        <v>1156</v>
      </c>
      <c r="AN40" s="15">
        <f t="shared" ca="1" si="24"/>
        <v>123.77622849370451</v>
      </c>
      <c r="AO40" s="127">
        <f t="shared" ca="1" si="25"/>
        <v>3.6771478960546902</v>
      </c>
      <c r="AP40" s="127">
        <f t="shared" ca="1" si="56"/>
        <v>39.53347953416305</v>
      </c>
      <c r="AR40" s="121">
        <f>Transport!$A53</f>
        <v>45292</v>
      </c>
      <c r="AS40" s="73">
        <f t="shared" ca="1" si="57"/>
        <v>38.110022627918276</v>
      </c>
      <c r="AT40" s="15">
        <f t="shared" ca="1" si="26"/>
        <v>3.6404773086383679</v>
      </c>
      <c r="AU40" s="98">
        <f t="shared" ca="1" si="27"/>
        <v>1</v>
      </c>
      <c r="AV40" s="128">
        <f ca="1">IF(AU40&gt;0,34,0)</f>
        <v>34</v>
      </c>
      <c r="AW40" s="128">
        <f t="shared" ca="1" si="28"/>
        <v>1156</v>
      </c>
      <c r="AX40" s="15">
        <f t="shared" ca="1" si="29"/>
        <v>123.77622849370451</v>
      </c>
      <c r="AY40" s="127">
        <f t="shared" ca="1" si="30"/>
        <v>3.7171234481813462</v>
      </c>
      <c r="AZ40" s="127">
        <f t="shared" ca="1" si="59"/>
        <v>41.145865499266314</v>
      </c>
      <c r="BB40" s="121">
        <f>Transport!$A53</f>
        <v>45292</v>
      </c>
      <c r="BC40" s="73">
        <f t="shared" ca="1" si="62"/>
        <v>38.110022627918276</v>
      </c>
      <c r="BD40" s="15">
        <f t="shared" ca="1" si="31"/>
        <v>3.6404773086383679</v>
      </c>
      <c r="BE40" s="98">
        <f t="shared" ca="1" si="32"/>
        <v>1</v>
      </c>
      <c r="BF40" s="128">
        <f ca="1">IF(BE40&gt;0,34,0)</f>
        <v>34</v>
      </c>
      <c r="BG40" s="128">
        <f t="shared" ca="1" si="33"/>
        <v>1156</v>
      </c>
      <c r="BH40" s="15">
        <f t="shared" ca="1" si="34"/>
        <v>123.77622849370451</v>
      </c>
      <c r="BI40" s="127">
        <f t="shared" ca="1" si="35"/>
        <v>3.6997042089687691</v>
      </c>
      <c r="BJ40" s="127">
        <f t="shared" ca="1" si="65"/>
        <v>40.435342179440305</v>
      </c>
      <c r="BL40" s="121">
        <f>Transport!$A53</f>
        <v>45292</v>
      </c>
      <c r="BM40" s="73">
        <f t="shared" ca="1" si="70"/>
        <v>38.110022627918276</v>
      </c>
      <c r="BN40" s="15">
        <f t="shared" ca="1" si="36"/>
        <v>3.6404773086383679</v>
      </c>
      <c r="BO40" s="98">
        <f t="shared" ca="1" si="37"/>
        <v>1</v>
      </c>
      <c r="BP40" s="128">
        <f ca="1">IF(BO40&gt;0,34,0)</f>
        <v>34</v>
      </c>
      <c r="BQ40" s="128">
        <f t="shared" ca="1" si="38"/>
        <v>1156</v>
      </c>
      <c r="BR40" s="15">
        <f t="shared" ca="1" si="39"/>
        <v>123.77622849370451</v>
      </c>
      <c r="BS40" s="127">
        <f t="shared" ca="1" si="40"/>
        <v>3.7202983262643392</v>
      </c>
      <c r="BT40" s="127">
        <f t="shared" ca="1" si="66"/>
        <v>41.27670619757388</v>
      </c>
      <c r="BZ40" s="583">
        <f t="shared" si="42"/>
        <v>0</v>
      </c>
      <c r="CA40" s="121">
        <f>Transport!$A53</f>
        <v>45292</v>
      </c>
      <c r="CB40" s="73">
        <f t="shared" ca="1" si="43"/>
        <v>0</v>
      </c>
      <c r="CC40" s="15">
        <f t="shared" ca="1" si="44"/>
        <v>0</v>
      </c>
      <c r="CD40" s="98">
        <f t="shared" ca="1" si="45"/>
        <v>0</v>
      </c>
      <c r="CE40" s="128">
        <f ca="1">IF(CD40&gt;0,34,0)</f>
        <v>0</v>
      </c>
      <c r="CF40" s="128">
        <f t="shared" ca="1" si="46"/>
        <v>0</v>
      </c>
      <c r="CG40" s="15">
        <f t="shared" ca="1" si="47"/>
        <v>0</v>
      </c>
      <c r="CH40" s="127">
        <f t="shared" ca="1" si="48"/>
        <v>3.724557571768524</v>
      </c>
      <c r="CI40" s="127">
        <f t="shared" ca="1" si="67"/>
        <v>41.452888758918178</v>
      </c>
      <c r="DB40" s="121">
        <f>Transport!$A53</f>
        <v>45292</v>
      </c>
      <c r="DC40" s="158" t="e">
        <f t="shared" si="68"/>
        <v>#DIV/0!</v>
      </c>
      <c r="DD40" s="15" t="e">
        <f t="shared" si="49"/>
        <v>#DIV/0!</v>
      </c>
      <c r="DE40" s="98" t="e">
        <f t="shared" si="50"/>
        <v>#DIV/0!</v>
      </c>
      <c r="DF40" s="128" t="e">
        <f>IF(DE40&gt;0,34,0)</f>
        <v>#DIV/0!</v>
      </c>
      <c r="DG40" s="128" t="e">
        <f t="shared" si="51"/>
        <v>#DIV/0!</v>
      </c>
      <c r="DH40" s="15" t="e">
        <f t="shared" si="52"/>
        <v>#DIV/0!</v>
      </c>
      <c r="DI40" s="127" t="e">
        <f t="shared" si="5"/>
        <v>#DIV/0!</v>
      </c>
      <c r="DJ40" s="127" t="e">
        <f t="shared" si="6"/>
        <v>#DIV/0!</v>
      </c>
      <c r="DQ40" s="280">
        <f>Transport!$A53</f>
        <v>45292</v>
      </c>
      <c r="DR40" s="13">
        <f t="shared" ca="1" si="53"/>
        <v>1</v>
      </c>
      <c r="DS40" s="281">
        <f t="shared" ca="1" si="54"/>
        <v>37.056707228213348</v>
      </c>
      <c r="DT40" s="295">
        <f t="shared" ca="1" si="55"/>
        <v>39.53347953416305</v>
      </c>
      <c r="DX40" s="280">
        <f>Transport!$A53</f>
        <v>45292</v>
      </c>
      <c r="DY40" s="13">
        <f t="shared" ca="1" si="58"/>
        <v>1</v>
      </c>
      <c r="DZ40" s="281">
        <f t="shared" ca="1" si="60"/>
        <v>37.056707228213348</v>
      </c>
      <c r="EA40" s="127">
        <f t="shared" ca="1" si="61"/>
        <v>41.145865499266314</v>
      </c>
      <c r="EC40" s="280">
        <f>Transport!$A53</f>
        <v>45292</v>
      </c>
      <c r="ED40" s="13">
        <f t="shared" ca="1" si="63"/>
        <v>1</v>
      </c>
      <c r="EE40" s="281">
        <f t="shared" ca="1" si="64"/>
        <v>37.056707228213348</v>
      </c>
      <c r="EF40" s="127">
        <f t="shared" ca="1" si="69"/>
        <v>40.435342179440305</v>
      </c>
      <c r="EH40" s="280">
        <f>Transport!$A53</f>
        <v>45292</v>
      </c>
      <c r="EI40" s="13">
        <f t="shared" ca="1" si="71"/>
        <v>1</v>
      </c>
      <c r="EJ40" s="281">
        <f t="shared" ca="1" si="72"/>
        <v>37.056707228213348</v>
      </c>
      <c r="EK40" s="127">
        <f t="shared" ca="1" si="73"/>
        <v>41.27670619757388</v>
      </c>
    </row>
    <row r="41" spans="1:141" x14ac:dyDescent="0.2">
      <c r="J41" s="228">
        <f t="shared" ca="1" si="7"/>
        <v>1</v>
      </c>
      <c r="K41" s="121">
        <f>Transport!$A54</f>
        <v>45323</v>
      </c>
      <c r="L41" s="73">
        <f ca="1">Transport!$F54</f>
        <v>37.540722153702205</v>
      </c>
      <c r="M41" s="574">
        <f ca="1">Transport!J54</f>
        <v>37.540722153702205</v>
      </c>
      <c r="N41" s="120"/>
      <c r="O41">
        <f t="shared" ca="1" si="8"/>
        <v>1</v>
      </c>
      <c r="P41" s="241">
        <f t="shared" ca="1" si="9"/>
        <v>38.815809389715845</v>
      </c>
      <c r="Q41" s="73">
        <f t="shared" ca="1" si="10"/>
        <v>38.815809389715845</v>
      </c>
      <c r="S41">
        <f t="shared" ca="1" si="11"/>
        <v>0</v>
      </c>
      <c r="T41" s="73">
        <f t="shared" ca="1" si="12"/>
        <v>0</v>
      </c>
      <c r="U41" s="73">
        <f t="shared" ca="1" si="13"/>
        <v>0</v>
      </c>
      <c r="V41" s="2">
        <v>35</v>
      </c>
      <c r="X41" s="121">
        <f>Transport!$A54</f>
        <v>45323</v>
      </c>
      <c r="Y41" s="73">
        <f t="shared" ca="1" si="0"/>
        <v>37.540722153702205</v>
      </c>
      <c r="Z41" s="15">
        <f t="shared" ca="1" si="14"/>
        <v>3.625426267886021</v>
      </c>
      <c r="AA41" s="98">
        <f t="shared" ca="1" si="15"/>
        <v>1</v>
      </c>
      <c r="AB41" s="128">
        <f ca="1">IF(AA41&gt;0,35,0)</f>
        <v>35</v>
      </c>
      <c r="AC41" s="128">
        <f t="shared" ca="1" si="16"/>
        <v>1225</v>
      </c>
      <c r="AD41" s="15">
        <f t="shared" ca="1" si="17"/>
        <v>126.88991937601074</v>
      </c>
      <c r="AE41" s="127">
        <f t="shared" ca="1" si="18"/>
        <v>3.6816225436962129</v>
      </c>
      <c r="AF41" s="127">
        <f t="shared" ca="1" si="19"/>
        <v>39.710774295090516</v>
      </c>
      <c r="AH41" s="121">
        <f>Transport!$A54</f>
        <v>45323</v>
      </c>
      <c r="AI41" s="131">
        <v>0</v>
      </c>
      <c r="AJ41" s="15">
        <f t="shared" si="21"/>
        <v>0</v>
      </c>
      <c r="AK41" s="98">
        <f t="shared" si="22"/>
        <v>0</v>
      </c>
      <c r="AL41" s="128">
        <f>IF(AK41&gt;0,35,0)</f>
        <v>0</v>
      </c>
      <c r="AM41" s="128">
        <f t="shared" si="23"/>
        <v>0</v>
      </c>
      <c r="AN41" s="15">
        <f t="shared" si="24"/>
        <v>0</v>
      </c>
      <c r="AO41" s="127">
        <f t="shared" ca="1" si="25"/>
        <v>3.6759645427461907</v>
      </c>
      <c r="AP41" s="127">
        <f t="shared" ca="1" si="56"/>
        <v>39.486725129305583</v>
      </c>
      <c r="AR41" s="121">
        <f>Transport!$A54</f>
        <v>45323</v>
      </c>
      <c r="AS41" s="131">
        <v>0</v>
      </c>
      <c r="AT41" s="15">
        <f t="shared" si="26"/>
        <v>0</v>
      </c>
      <c r="AU41" s="98">
        <f t="shared" si="27"/>
        <v>0</v>
      </c>
      <c r="AV41" s="128">
        <f>IF(AU41&gt;0,35,0)</f>
        <v>0</v>
      </c>
      <c r="AW41" s="128">
        <f t="shared" si="28"/>
        <v>0</v>
      </c>
      <c r="AX41" s="15">
        <f t="shared" si="29"/>
        <v>0</v>
      </c>
      <c r="AY41" s="127">
        <f t="shared" ca="1" si="30"/>
        <v>3.7208122483457577</v>
      </c>
      <c r="AZ41" s="127">
        <f t="shared" ca="1" si="59"/>
        <v>41.297924660188258</v>
      </c>
      <c r="BB41" s="121">
        <f>Transport!$A54</f>
        <v>45323</v>
      </c>
      <c r="BC41" s="131">
        <v>0</v>
      </c>
      <c r="BD41" s="15">
        <f t="shared" si="31"/>
        <v>0</v>
      </c>
      <c r="BE41" s="98">
        <f t="shared" si="32"/>
        <v>0</v>
      </c>
      <c r="BF41" s="128">
        <f>IF(BE41&gt;0,35,0)</f>
        <v>0</v>
      </c>
      <c r="BG41" s="128">
        <f t="shared" si="33"/>
        <v>0</v>
      </c>
      <c r="BH41" s="15">
        <f t="shared" si="34"/>
        <v>0</v>
      </c>
      <c r="BI41" s="127">
        <f t="shared" ca="1" si="35"/>
        <v>3.7009649998021006</v>
      </c>
      <c r="BJ41" s="127">
        <f t="shared" ca="1" si="65"/>
        <v>40.486354839592465</v>
      </c>
      <c r="BL41" s="121">
        <f>Transport!$A54</f>
        <v>45323</v>
      </c>
      <c r="BM41" s="131">
        <v>0</v>
      </c>
      <c r="BN41" s="15">
        <f t="shared" si="36"/>
        <v>0</v>
      </c>
      <c r="BO41" s="98">
        <f t="shared" si="37"/>
        <v>0</v>
      </c>
      <c r="BP41" s="128">
        <f>IF(BO41&gt;0,35,0)</f>
        <v>0</v>
      </c>
      <c r="BQ41" s="128">
        <f t="shared" si="38"/>
        <v>0</v>
      </c>
      <c r="BR41" s="15">
        <f t="shared" si="39"/>
        <v>0</v>
      </c>
      <c r="BS41" s="127">
        <f t="shared" ca="1" si="40"/>
        <v>3.725425970516473</v>
      </c>
      <c r="BT41" s="127">
        <f t="shared" ca="1" si="66"/>
        <v>41.488902030291989</v>
      </c>
      <c r="BZ41" s="583">
        <f t="shared" si="42"/>
        <v>0</v>
      </c>
      <c r="CA41" s="121">
        <f>Transport!$A54</f>
        <v>45323</v>
      </c>
      <c r="CB41" s="73">
        <f t="shared" ca="1" si="43"/>
        <v>0</v>
      </c>
      <c r="CC41" s="15">
        <f t="shared" ca="1" si="44"/>
        <v>0</v>
      </c>
      <c r="CD41" s="98">
        <f t="shared" ca="1" si="45"/>
        <v>0</v>
      </c>
      <c r="CE41" s="128">
        <f ca="1">IF(CD41&gt;0,35,0)</f>
        <v>0</v>
      </c>
      <c r="CF41" s="128">
        <f t="shared" ca="1" si="46"/>
        <v>0</v>
      </c>
      <c r="CG41" s="15">
        <f t="shared" ca="1" si="47"/>
        <v>0</v>
      </c>
      <c r="CH41" s="127">
        <f t="shared" ca="1" si="48"/>
        <v>3.7281644507914034</v>
      </c>
      <c r="CI41" s="127">
        <f t="shared" ca="1" si="67"/>
        <v>41.602674280561295</v>
      </c>
      <c r="DB41" s="121">
        <f>Transport!$A54</f>
        <v>45323</v>
      </c>
      <c r="DC41" s="158" t="e">
        <f t="shared" si="68"/>
        <v>#DIV/0!</v>
      </c>
      <c r="DD41" s="15" t="e">
        <f t="shared" si="49"/>
        <v>#DIV/0!</v>
      </c>
      <c r="DE41" s="98" t="e">
        <f t="shared" si="50"/>
        <v>#DIV/0!</v>
      </c>
      <c r="DF41" s="128" t="e">
        <f>IF(DE41&gt;0,35,0)</f>
        <v>#DIV/0!</v>
      </c>
      <c r="DG41" s="128" t="e">
        <f t="shared" si="51"/>
        <v>#DIV/0!</v>
      </c>
      <c r="DH41" s="15" t="e">
        <f t="shared" si="52"/>
        <v>#DIV/0!</v>
      </c>
      <c r="DI41" s="127" t="e">
        <f t="shared" si="5"/>
        <v>#DIV/0!</v>
      </c>
      <c r="DJ41" s="127" t="e">
        <f t="shared" si="6"/>
        <v>#DIV/0!</v>
      </c>
      <c r="DQ41" s="280">
        <f>Transport!$A54</f>
        <v>45323</v>
      </c>
      <c r="DR41" s="13">
        <f t="shared" ca="1" si="53"/>
        <v>1</v>
      </c>
      <c r="DS41" s="281">
        <f t="shared" ca="1" si="54"/>
        <v>37.540722153702205</v>
      </c>
      <c r="DT41" s="295">
        <f t="shared" ca="1" si="55"/>
        <v>39.486725129305583</v>
      </c>
      <c r="DX41" s="280">
        <f>Transport!$A54</f>
        <v>45323</v>
      </c>
      <c r="DY41" s="13">
        <f t="shared" ca="1" si="58"/>
        <v>1</v>
      </c>
      <c r="DZ41" s="281">
        <f t="shared" ca="1" si="60"/>
        <v>37.540722153702205</v>
      </c>
      <c r="EA41" s="127">
        <f t="shared" ca="1" si="61"/>
        <v>41.297924660188258</v>
      </c>
      <c r="EC41" s="280">
        <f>Transport!$A54</f>
        <v>45323</v>
      </c>
      <c r="ED41" s="13">
        <f t="shared" ca="1" si="63"/>
        <v>1</v>
      </c>
      <c r="EE41" s="281">
        <f t="shared" ca="1" si="64"/>
        <v>37.540722153702205</v>
      </c>
      <c r="EF41" s="127">
        <f t="shared" ca="1" si="69"/>
        <v>40.486354839592465</v>
      </c>
      <c r="EH41" s="280">
        <f>Transport!$A54</f>
        <v>45323</v>
      </c>
      <c r="EI41" s="13">
        <f t="shared" ca="1" si="71"/>
        <v>1</v>
      </c>
      <c r="EJ41" s="281">
        <f t="shared" ca="1" si="72"/>
        <v>37.540722153702205</v>
      </c>
      <c r="EK41" s="127">
        <f t="shared" ca="1" si="73"/>
        <v>41.488902030291989</v>
      </c>
    </row>
    <row r="42" spans="1:141" x14ac:dyDescent="0.2">
      <c r="J42" s="228">
        <f t="shared" ca="1" si="7"/>
        <v>1</v>
      </c>
      <c r="K42" s="121">
        <f>Transport!$A55</f>
        <v>45352</v>
      </c>
      <c r="L42" s="73">
        <f ca="1">Transport!$F55</f>
        <v>41.849998787231975</v>
      </c>
      <c r="M42" s="574">
        <f ca="1">Transport!J55</f>
        <v>41.849998787231975</v>
      </c>
      <c r="N42" s="120"/>
      <c r="O42">
        <f t="shared" ca="1" si="8"/>
        <v>0</v>
      </c>
      <c r="P42" s="241">
        <f t="shared" ca="1" si="9"/>
        <v>0</v>
      </c>
      <c r="Q42" s="73">
        <f t="shared" ca="1" si="10"/>
        <v>0</v>
      </c>
      <c r="S42">
        <f t="shared" ca="1" si="11"/>
        <v>0</v>
      </c>
      <c r="T42" s="73">
        <f t="shared" ca="1" si="12"/>
        <v>0</v>
      </c>
      <c r="U42" s="73">
        <f t="shared" ca="1" si="13"/>
        <v>0</v>
      </c>
      <c r="V42" s="2">
        <v>36</v>
      </c>
      <c r="X42" s="121">
        <f>Transport!$A55</f>
        <v>45352</v>
      </c>
      <c r="Y42" s="73">
        <f t="shared" ca="1" si="0"/>
        <v>41.849998787231975</v>
      </c>
      <c r="Z42" s="15">
        <f t="shared" ca="1" si="14"/>
        <v>3.7340917679565586</v>
      </c>
      <c r="AA42" s="98">
        <f t="shared" ca="1" si="15"/>
        <v>1</v>
      </c>
      <c r="AB42" s="128">
        <f ca="1">IF(AA42&gt;0,36,0)</f>
        <v>36</v>
      </c>
      <c r="AC42" s="128">
        <f t="shared" ca="1" si="16"/>
        <v>1296</v>
      </c>
      <c r="AD42" s="15">
        <f t="shared" ca="1" si="17"/>
        <v>134.42730364643612</v>
      </c>
      <c r="AE42" s="127">
        <f t="shared" ca="1" si="18"/>
        <v>3.6811434700169756</v>
      </c>
      <c r="AF42" s="127">
        <f t="shared" ca="1" si="19"/>
        <v>39.691754464657457</v>
      </c>
      <c r="AH42" s="121">
        <f>Transport!$A55</f>
        <v>45352</v>
      </c>
      <c r="AI42" s="131">
        <v>0</v>
      </c>
      <c r="AJ42" s="15">
        <f t="shared" si="21"/>
        <v>0</v>
      </c>
      <c r="AK42" s="98">
        <f t="shared" si="22"/>
        <v>0</v>
      </c>
      <c r="AL42" s="128">
        <f>IF(AK42&gt;0,36,0)</f>
        <v>0</v>
      </c>
      <c r="AM42" s="128">
        <f t="shared" si="23"/>
        <v>0</v>
      </c>
      <c r="AN42" s="15">
        <f t="shared" si="24"/>
        <v>0</v>
      </c>
      <c r="AO42" s="127">
        <f t="shared" ca="1" si="25"/>
        <v>3.6747811894376916</v>
      </c>
      <c r="AP42" s="127">
        <f t="shared" ca="1" si="56"/>
        <v>39.440026018705034</v>
      </c>
      <c r="AR42" s="121">
        <f>Transport!$A55</f>
        <v>45352</v>
      </c>
      <c r="AS42" s="131">
        <v>0</v>
      </c>
      <c r="AT42" s="15">
        <f t="shared" si="26"/>
        <v>0</v>
      </c>
      <c r="AU42" s="98">
        <f t="shared" si="27"/>
        <v>0</v>
      </c>
      <c r="AV42" s="128">
        <f>IF(AU42&gt;0,36,0)</f>
        <v>0</v>
      </c>
      <c r="AW42" s="128">
        <f t="shared" si="28"/>
        <v>0</v>
      </c>
      <c r="AX42" s="15">
        <f t="shared" si="29"/>
        <v>0</v>
      </c>
      <c r="AY42" s="127">
        <f t="shared" ca="1" si="30"/>
        <v>3.7245010485101697</v>
      </c>
      <c r="AZ42" s="127">
        <f t="shared" ca="1" si="59"/>
        <v>41.450545772794555</v>
      </c>
      <c r="BB42" s="121">
        <f>Transport!$A55</f>
        <v>45352</v>
      </c>
      <c r="BC42" s="131">
        <v>0</v>
      </c>
      <c r="BD42" s="15">
        <f t="shared" si="31"/>
        <v>0</v>
      </c>
      <c r="BE42" s="98">
        <f t="shared" si="32"/>
        <v>0</v>
      </c>
      <c r="BF42" s="128">
        <f>IF(BE42&gt;0,36,0)</f>
        <v>0</v>
      </c>
      <c r="BG42" s="128">
        <f t="shared" si="33"/>
        <v>0</v>
      </c>
      <c r="BH42" s="15">
        <f t="shared" si="34"/>
        <v>0</v>
      </c>
      <c r="BI42" s="127">
        <f t="shared" ca="1" si="35"/>
        <v>3.7022257906354326</v>
      </c>
      <c r="BJ42" s="127">
        <f t="shared" ca="1" si="65"/>
        <v>40.537431856600698</v>
      </c>
      <c r="BL42" s="121">
        <f>Transport!$A55</f>
        <v>45352</v>
      </c>
      <c r="BM42" s="131">
        <v>0</v>
      </c>
      <c r="BN42" s="15">
        <f t="shared" si="36"/>
        <v>0</v>
      </c>
      <c r="BO42" s="98">
        <f t="shared" si="37"/>
        <v>0</v>
      </c>
      <c r="BP42" s="128">
        <f>IF(BO42&gt;0,36,0)</f>
        <v>0</v>
      </c>
      <c r="BQ42" s="128">
        <f t="shared" si="38"/>
        <v>0</v>
      </c>
      <c r="BR42" s="15">
        <f t="shared" si="39"/>
        <v>0</v>
      </c>
      <c r="BS42" s="127">
        <f t="shared" ca="1" si="40"/>
        <v>3.7305536147686063</v>
      </c>
      <c r="BT42" s="127">
        <f t="shared" ca="1" si="66"/>
        <v>41.702188722130657</v>
      </c>
      <c r="BZ42" s="583">
        <f t="shared" si="42"/>
        <v>0</v>
      </c>
      <c r="CA42" s="121">
        <f>Transport!$A55</f>
        <v>45352</v>
      </c>
      <c r="CB42" s="73">
        <f t="shared" ca="1" si="43"/>
        <v>0</v>
      </c>
      <c r="CC42" s="15">
        <f t="shared" ca="1" si="44"/>
        <v>0</v>
      </c>
      <c r="CD42" s="98">
        <f t="shared" ca="1" si="45"/>
        <v>0</v>
      </c>
      <c r="CE42" s="128">
        <f ca="1">IF(CD42&gt;0,36,0)</f>
        <v>0</v>
      </c>
      <c r="CF42" s="128">
        <f t="shared" ca="1" si="46"/>
        <v>0</v>
      </c>
      <c r="CG42" s="15">
        <f t="shared" ca="1" si="47"/>
        <v>0</v>
      </c>
      <c r="CH42" s="127">
        <f t="shared" ca="1" si="48"/>
        <v>3.7317713298142827</v>
      </c>
      <c r="CI42" s="127">
        <f t="shared" ca="1" si="67"/>
        <v>41.753001035955926</v>
      </c>
      <c r="DB42" s="121">
        <f>Transport!$A55</f>
        <v>45352</v>
      </c>
      <c r="DC42" s="158" t="e">
        <f t="shared" si="68"/>
        <v>#DIV/0!</v>
      </c>
      <c r="DD42" s="15" t="e">
        <f t="shared" si="49"/>
        <v>#DIV/0!</v>
      </c>
      <c r="DE42" s="98" t="e">
        <f t="shared" si="50"/>
        <v>#DIV/0!</v>
      </c>
      <c r="DF42" s="128" t="e">
        <f>IF(DE42&gt;0,36,0)</f>
        <v>#DIV/0!</v>
      </c>
      <c r="DG42" s="128" t="e">
        <f t="shared" si="51"/>
        <v>#DIV/0!</v>
      </c>
      <c r="DH42" s="15" t="e">
        <f t="shared" si="52"/>
        <v>#DIV/0!</v>
      </c>
      <c r="DI42" s="127" t="e">
        <f t="shared" si="5"/>
        <v>#DIV/0!</v>
      </c>
      <c r="DJ42" s="127" t="e">
        <f t="shared" si="6"/>
        <v>#DIV/0!</v>
      </c>
      <c r="DQ42" s="280">
        <f>Transport!$A55</f>
        <v>45352</v>
      </c>
      <c r="DR42" s="13">
        <f t="shared" ca="1" si="53"/>
        <v>1</v>
      </c>
      <c r="DS42" s="281">
        <f t="shared" ca="1" si="54"/>
        <v>41.849998787231975</v>
      </c>
      <c r="DT42" s="296">
        <f ca="1">+DT41/DT40*DT41</f>
        <v>39.440026018705019</v>
      </c>
      <c r="DX42" s="280">
        <f>Transport!$A55</f>
        <v>45352</v>
      </c>
      <c r="DY42" s="13">
        <f t="shared" ca="1" si="58"/>
        <v>1</v>
      </c>
      <c r="DZ42" s="281">
        <f t="shared" ca="1" si="60"/>
        <v>41.849998787231975</v>
      </c>
      <c r="EA42" s="296">
        <f ca="1">+EA41/EA40*EA41</f>
        <v>41.45054577279452</v>
      </c>
      <c r="EC42" s="280">
        <f>Transport!$A55</f>
        <v>45352</v>
      </c>
      <c r="ED42" s="13">
        <f t="shared" ca="1" si="63"/>
        <v>1</v>
      </c>
      <c r="EE42" s="281">
        <f t="shared" ca="1" si="64"/>
        <v>41.849998787231975</v>
      </c>
      <c r="EF42" s="296">
        <f ca="1">+EF41/EF40*EF41</f>
        <v>40.537431856600669</v>
      </c>
      <c r="EH42" s="280">
        <f>Transport!$A55</f>
        <v>45352</v>
      </c>
      <c r="EI42" s="13">
        <f t="shared" ca="1" si="71"/>
        <v>1</v>
      </c>
      <c r="EJ42" s="281">
        <f t="shared" ca="1" si="72"/>
        <v>41.849998787231975</v>
      </c>
      <c r="EK42" s="127">
        <f t="shared" ca="1" si="73"/>
        <v>41.702188722130657</v>
      </c>
    </row>
    <row r="43" spans="1:141" x14ac:dyDescent="0.2">
      <c r="X43" s="121" t="s">
        <v>86</v>
      </c>
      <c r="Y43" s="73">
        <f t="shared" ref="Y43:AD43" ca="1" si="74">SUM(Y7:Y42)</f>
        <v>1448.7795681428072</v>
      </c>
      <c r="Z43" s="15">
        <f t="shared" ca="1" si="74"/>
        <v>132.82298133853058</v>
      </c>
      <c r="AA43" s="98">
        <f t="shared" ca="1" si="74"/>
        <v>36</v>
      </c>
      <c r="AB43" s="128">
        <f t="shared" ca="1" si="74"/>
        <v>666</v>
      </c>
      <c r="AC43" s="7">
        <f t="shared" ca="1" si="74"/>
        <v>16206</v>
      </c>
      <c r="AD43" s="15">
        <f t="shared" ca="1" si="74"/>
        <v>2455.3639535189791</v>
      </c>
      <c r="AE43" s="66"/>
      <c r="AF43" s="120"/>
      <c r="AH43" s="121" t="s">
        <v>86</v>
      </c>
      <c r="AI43" s="73">
        <f t="shared" ref="AI43:AN43" ca="1" si="75">SUM(AI7:AI42)</f>
        <v>1333.4396025535968</v>
      </c>
      <c r="AJ43" s="15">
        <f t="shared" ca="1" si="75"/>
        <v>121.97069111669241</v>
      </c>
      <c r="AK43" s="98">
        <f t="shared" ca="1" si="75"/>
        <v>33</v>
      </c>
      <c r="AL43" s="128">
        <f t="shared" ca="1" si="75"/>
        <v>594</v>
      </c>
      <c r="AM43" s="7">
        <f t="shared" ca="1" si="75"/>
        <v>13684</v>
      </c>
      <c r="AN43" s="15">
        <f t="shared" ca="1" si="75"/>
        <v>2191.9318470014332</v>
      </c>
      <c r="AO43" s="66"/>
      <c r="AP43" s="120"/>
      <c r="AR43" s="121" t="s">
        <v>86</v>
      </c>
      <c r="AS43" s="73">
        <f t="shared" ref="AS43:AX43" ca="1" si="76">SUM(AS7:AS42)</f>
        <v>947.84207305437849</v>
      </c>
      <c r="AT43" s="15">
        <f t="shared" ca="1" si="76"/>
        <v>88.192853910974605</v>
      </c>
      <c r="AU43" s="98">
        <f t="shared" ca="1" si="76"/>
        <v>24</v>
      </c>
      <c r="AV43" s="128">
        <f t="shared" ca="1" si="76"/>
        <v>540</v>
      </c>
      <c r="AW43" s="7">
        <f t="shared" ca="1" si="76"/>
        <v>13300</v>
      </c>
      <c r="AX43" s="15">
        <f t="shared" ca="1" si="76"/>
        <v>1988.5813331860027</v>
      </c>
      <c r="AY43" s="66"/>
      <c r="AZ43" s="120"/>
      <c r="BB43" s="121" t="s">
        <v>86</v>
      </c>
      <c r="BC43" s="73">
        <f t="shared" ref="BC43:BH43" ca="1" si="77">SUM(BC7:BC42)</f>
        <v>720.78959369347422</v>
      </c>
      <c r="BD43" s="15">
        <f t="shared" ca="1" si="77"/>
        <v>66.401774763938064</v>
      </c>
      <c r="BE43" s="98">
        <f t="shared" ca="1" si="77"/>
        <v>18</v>
      </c>
      <c r="BF43" s="128">
        <f t="shared" ca="1" si="77"/>
        <v>459</v>
      </c>
      <c r="BG43" s="7">
        <f t="shared" ca="1" si="77"/>
        <v>12189</v>
      </c>
      <c r="BH43" s="15">
        <f t="shared" ca="1" si="77"/>
        <v>1693.85610963917</v>
      </c>
      <c r="BI43" s="66"/>
      <c r="BJ43" s="120"/>
      <c r="BL43" s="121" t="s">
        <v>86</v>
      </c>
      <c r="BM43" s="73">
        <f t="shared" ref="BM43:BR43" ca="1" si="78">SUM(BM7:BM42)</f>
        <v>481.96596996524266</v>
      </c>
      <c r="BN43" s="15">
        <f t="shared" ca="1" si="78"/>
        <v>44.305155394531262</v>
      </c>
      <c r="BO43" s="98">
        <f t="shared" ca="1" si="78"/>
        <v>12</v>
      </c>
      <c r="BP43" s="128">
        <f t="shared" ca="1" si="78"/>
        <v>342</v>
      </c>
      <c r="BQ43" s="7">
        <f t="shared" ca="1" si="78"/>
        <v>9890</v>
      </c>
      <c r="BR43" s="15">
        <f t="shared" ca="1" si="78"/>
        <v>1263.430181872196</v>
      </c>
      <c r="BS43" s="66"/>
      <c r="BT43" s="120"/>
      <c r="CA43" s="121" t="s">
        <v>86</v>
      </c>
      <c r="CB43" s="73">
        <f t="shared" ref="CB43:CG43" ca="1" si="79">SUM(CB7:CB42)</f>
        <v>793.36555972759277</v>
      </c>
      <c r="CC43" s="15">
        <f t="shared" ca="1" si="79"/>
        <v>73.58943167965063</v>
      </c>
      <c r="CD43" s="98">
        <f t="shared" ca="1" si="79"/>
        <v>20</v>
      </c>
      <c r="CE43" s="128">
        <f t="shared" ca="1" si="79"/>
        <v>430</v>
      </c>
      <c r="CF43" s="7">
        <f t="shared" ca="1" si="79"/>
        <v>9910</v>
      </c>
      <c r="CG43" s="15">
        <f t="shared" ca="1" si="79"/>
        <v>1584.5713556627031</v>
      </c>
      <c r="CH43" s="66"/>
      <c r="CI43" s="120"/>
      <c r="DB43" s="121" t="s">
        <v>86</v>
      </c>
      <c r="DC43" s="158" t="e">
        <f t="shared" ref="DC43:DH43" si="80">SUM(DC7:DC42)</f>
        <v>#DIV/0!</v>
      </c>
      <c r="DD43" s="15" t="e">
        <f t="shared" si="80"/>
        <v>#DIV/0!</v>
      </c>
      <c r="DE43" s="98" t="e">
        <f t="shared" si="80"/>
        <v>#DIV/0!</v>
      </c>
      <c r="DF43" s="128" t="e">
        <f t="shared" si="80"/>
        <v>#DIV/0!</v>
      </c>
      <c r="DG43" s="7" t="e">
        <f t="shared" si="80"/>
        <v>#DIV/0!</v>
      </c>
      <c r="DH43" s="15" t="e">
        <f t="shared" si="80"/>
        <v>#DIV/0!</v>
      </c>
      <c r="DI43" s="66"/>
      <c r="DJ43" s="120"/>
      <c r="DQ43" s="121"/>
      <c r="DX43" s="121"/>
      <c r="EC43" s="121"/>
      <c r="EH43" s="121"/>
    </row>
    <row r="44" spans="1:141" x14ac:dyDescent="0.2">
      <c r="X44" s="7" t="s">
        <v>176</v>
      </c>
      <c r="Y44" s="7"/>
      <c r="Z44" s="15">
        <f ca="1">+Z43/AA43</f>
        <v>3.6895272594036275</v>
      </c>
      <c r="AA44" s="7"/>
      <c r="AB44" s="7">
        <f ca="1">+AB43/AA43</f>
        <v>18.5</v>
      </c>
      <c r="AC44" s="7">
        <f ca="1">+AC43/AA43</f>
        <v>450.16666666666669</v>
      </c>
      <c r="AD44" s="15">
        <f ca="1">+AD43/AA43</f>
        <v>68.204554264416089</v>
      </c>
      <c r="AH44" s="7" t="s">
        <v>176</v>
      </c>
      <c r="AI44" s="7"/>
      <c r="AJ44" s="15">
        <f ca="1">+AJ43/AK43</f>
        <v>3.6960815489906791</v>
      </c>
      <c r="AK44" s="7"/>
      <c r="AL44" s="7">
        <f ca="1">+AL43/AK43</f>
        <v>18</v>
      </c>
      <c r="AM44" s="7">
        <f ca="1">+AM43/AK43</f>
        <v>414.66666666666669</v>
      </c>
      <c r="AN44" s="15">
        <f ca="1">+AN43/AK43</f>
        <v>66.422177181861613</v>
      </c>
      <c r="AR44" s="7" t="s">
        <v>176</v>
      </c>
      <c r="AS44" s="7"/>
      <c r="AT44" s="15">
        <f ca="1">+AT43/AU43</f>
        <v>3.6747022462906087</v>
      </c>
      <c r="AU44" s="7"/>
      <c r="AV44" s="7">
        <f ca="1">+AV43/AU43</f>
        <v>22.5</v>
      </c>
      <c r="AW44" s="7">
        <f ca="1">+AW43/AU43</f>
        <v>554.16666666666663</v>
      </c>
      <c r="AX44" s="15">
        <f ca="1">+AX43/AU43</f>
        <v>82.857555549416773</v>
      </c>
      <c r="BB44" s="7" t="s">
        <v>176</v>
      </c>
      <c r="BC44" s="7"/>
      <c r="BD44" s="15">
        <f ca="1">+BD43/BE43</f>
        <v>3.688987486885448</v>
      </c>
      <c r="BE44" s="7"/>
      <c r="BF44" s="7">
        <f ca="1">+BF43/BE43</f>
        <v>25.5</v>
      </c>
      <c r="BG44" s="7">
        <f ca="1">+BG43/BE43</f>
        <v>677.16666666666663</v>
      </c>
      <c r="BH44" s="15">
        <f ca="1">+BH43/BE43</f>
        <v>94.103117202176108</v>
      </c>
      <c r="BL44" s="7" t="s">
        <v>176</v>
      </c>
      <c r="BM44" s="7"/>
      <c r="BN44" s="15">
        <f ca="1">+BN43/BO43</f>
        <v>3.6920962828776052</v>
      </c>
      <c r="BO44" s="7"/>
      <c r="BP44" s="7">
        <f ca="1">+BP43/BO43</f>
        <v>28.5</v>
      </c>
      <c r="BQ44" s="7">
        <f ca="1">+BQ43/BO43</f>
        <v>824.16666666666663</v>
      </c>
      <c r="BR44" s="15">
        <f ca="1">+BR43/BO43</f>
        <v>105.28584848934968</v>
      </c>
      <c r="CA44" s="7" t="s">
        <v>176</v>
      </c>
      <c r="CB44" s="7"/>
      <c r="CC44" s="15">
        <f ca="1">+CC43/CD43</f>
        <v>3.6794715839825316</v>
      </c>
      <c r="CD44" s="7"/>
      <c r="CE44" s="7">
        <f ca="1">+CE43/CD43</f>
        <v>21.5</v>
      </c>
      <c r="CF44" s="7">
        <f ca="1">+CF43/CD43</f>
        <v>495.5</v>
      </c>
      <c r="CG44" s="15">
        <f ca="1">+CG43/CD43</f>
        <v>79.228567783135162</v>
      </c>
      <c r="DB44" s="7" t="s">
        <v>176</v>
      </c>
      <c r="DC44" s="7"/>
      <c r="DD44" s="15" t="e">
        <f>+DD43/DE43</f>
        <v>#DIV/0!</v>
      </c>
      <c r="DE44" s="7"/>
      <c r="DF44" s="7" t="e">
        <f>+DF43/DE43</f>
        <v>#DIV/0!</v>
      </c>
      <c r="DG44" s="7" t="e">
        <f>+DG43/DE43</f>
        <v>#DIV/0!</v>
      </c>
      <c r="DH44" s="15" t="e">
        <f>+DH43/DE43</f>
        <v>#DIV/0!</v>
      </c>
      <c r="DQ44" s="7" t="s">
        <v>86</v>
      </c>
      <c r="DR44" s="2">
        <f ca="1">SUM(DR7:DR42)</f>
        <v>36</v>
      </c>
      <c r="DX44" s="7" t="s">
        <v>86</v>
      </c>
      <c r="DY44" s="2">
        <f ca="1">SUM(DY7:DY42)</f>
        <v>24</v>
      </c>
      <c r="EC44" s="7" t="s">
        <v>86</v>
      </c>
      <c r="ED44" s="2">
        <f ca="1">SUM(ED7:ED42)</f>
        <v>18</v>
      </c>
      <c r="EH44" s="7" t="s">
        <v>86</v>
      </c>
      <c r="EI44" s="2">
        <f ca="1">SUM(EI7:EI42)</f>
        <v>12</v>
      </c>
    </row>
    <row r="46" spans="1:141" x14ac:dyDescent="0.2">
      <c r="X46" t="s">
        <v>205</v>
      </c>
      <c r="Y46">
        <f ca="1">AA43</f>
        <v>36</v>
      </c>
      <c r="AH46" t="s">
        <v>205</v>
      </c>
      <c r="AI46">
        <f ca="1">AK43</f>
        <v>33</v>
      </c>
      <c r="AR46" t="s">
        <v>205</v>
      </c>
      <c r="AS46">
        <f ca="1">AU43</f>
        <v>24</v>
      </c>
      <c r="BB46" t="s">
        <v>205</v>
      </c>
      <c r="BC46">
        <f ca="1">BE43</f>
        <v>18</v>
      </c>
      <c r="BL46" t="s">
        <v>205</v>
      </c>
      <c r="BM46">
        <f ca="1">BO43</f>
        <v>12</v>
      </c>
      <c r="CA46" t="s">
        <v>205</v>
      </c>
      <c r="CB46">
        <f ca="1">CD43</f>
        <v>20</v>
      </c>
      <c r="DB46" t="s">
        <v>205</v>
      </c>
      <c r="DC46" t="e">
        <f>DE43</f>
        <v>#DIV/0!</v>
      </c>
    </row>
    <row r="47" spans="1:141" x14ac:dyDescent="0.2">
      <c r="X47" t="s">
        <v>254</v>
      </c>
      <c r="Y47" s="66">
        <f ca="1">Z43</f>
        <v>132.82298133853058</v>
      </c>
      <c r="AH47" t="s">
        <v>254</v>
      </c>
      <c r="AI47" s="66">
        <f ca="1">AJ43</f>
        <v>121.97069111669241</v>
      </c>
      <c r="AR47" t="s">
        <v>254</v>
      </c>
      <c r="AS47" s="66">
        <f ca="1">AT43</f>
        <v>88.192853910974605</v>
      </c>
      <c r="BB47" t="s">
        <v>254</v>
      </c>
      <c r="BC47" s="66">
        <f ca="1">BD43</f>
        <v>66.401774763938064</v>
      </c>
      <c r="BL47" t="s">
        <v>254</v>
      </c>
      <c r="BM47" s="66">
        <f ca="1">BN43</f>
        <v>44.305155394531262</v>
      </c>
      <c r="CA47" t="s">
        <v>254</v>
      </c>
      <c r="CB47" s="66">
        <f ca="1">CC43</f>
        <v>73.58943167965063</v>
      </c>
      <c r="DB47" t="s">
        <v>254</v>
      </c>
      <c r="DC47" s="66" t="e">
        <f>DD43</f>
        <v>#DIV/0!</v>
      </c>
      <c r="DQ47" s="250" t="s">
        <v>245</v>
      </c>
      <c r="DR47" s="232"/>
      <c r="DS47" s="281">
        <f ca="1">SUMPRODUCT(DR7:DR42,DS7:DS42)/DR44</f>
        <v>40.243876892855752</v>
      </c>
      <c r="DX47" s="250" t="s">
        <v>245</v>
      </c>
      <c r="DY47" s="232"/>
      <c r="DZ47" s="293">
        <f ca="1">SUMPRODUCT(DY7:DY42,DZ7:DZ42)/DY44</f>
        <v>39.846441173219254</v>
      </c>
      <c r="EC47" s="250" t="s">
        <v>245</v>
      </c>
      <c r="ED47" s="232"/>
      <c r="EE47" s="293">
        <f ca="1">SUMPRODUCT(ED7:ED42,EE7:EE42)/ED44</f>
        <v>39.820045971918319</v>
      </c>
      <c r="EH47" s="250" t="s">
        <v>245</v>
      </c>
      <c r="EI47" s="232"/>
      <c r="EJ47" s="293">
        <f ca="1">SUMPRODUCT(EI7:EI42,EJ7:EJ42)/EI44</f>
        <v>40.225864772830683</v>
      </c>
    </row>
    <row r="48" spans="1:141" x14ac:dyDescent="0.2">
      <c r="X48" t="s">
        <v>242</v>
      </c>
      <c r="AA48" t="s">
        <v>243</v>
      </c>
      <c r="AH48" t="s">
        <v>242</v>
      </c>
      <c r="AK48" t="s">
        <v>243</v>
      </c>
      <c r="AR48" t="s">
        <v>242</v>
      </c>
      <c r="AU48" t="s">
        <v>243</v>
      </c>
      <c r="BB48" t="s">
        <v>242</v>
      </c>
      <c r="BE48" t="s">
        <v>243</v>
      </c>
      <c r="BL48" t="s">
        <v>242</v>
      </c>
      <c r="BO48" t="s">
        <v>243</v>
      </c>
      <c r="CA48" t="s">
        <v>242</v>
      </c>
      <c r="CD48" t="s">
        <v>243</v>
      </c>
      <c r="DB48" t="s">
        <v>242</v>
      </c>
      <c r="DE48" t="s">
        <v>243</v>
      </c>
      <c r="DQ48" s="250" t="s">
        <v>521</v>
      </c>
      <c r="DR48" s="232"/>
      <c r="DS48" s="293">
        <f ca="1">SUMPRODUCT(DR7:DR42,DS7:DS42,DS7:DS42)/DR44</f>
        <v>1637.1809347150056</v>
      </c>
      <c r="DX48" s="250" t="s">
        <v>521</v>
      </c>
      <c r="DY48" s="232"/>
      <c r="DZ48" s="293">
        <f ca="1">SUMPRODUCT(DY7:DY42,DZ7:DZ42,DZ7:DZ42)/DY44</f>
        <v>1595.4057874909961</v>
      </c>
      <c r="EC48" s="250" t="s">
        <v>521</v>
      </c>
      <c r="ED48" s="232"/>
      <c r="EE48" s="293">
        <f ca="1">SUMPRODUCT(ED7:ED42,EE7:EE42,EE7:EE42)/ED44</f>
        <v>1593.9504067581511</v>
      </c>
      <c r="EH48" s="250" t="s">
        <v>521</v>
      </c>
      <c r="EI48" s="232"/>
      <c r="EJ48" s="293">
        <f ca="1">SUMPRODUCT(EI7:EI42,EJ7:EJ42,EJ7:EJ42)/EI44</f>
        <v>1625.2920002681228</v>
      </c>
    </row>
    <row r="49" spans="24:140" x14ac:dyDescent="0.2">
      <c r="X49" s="1" t="s">
        <v>255</v>
      </c>
      <c r="Y49" s="59">
        <f ca="1">+AD44</f>
        <v>68.204554264416089</v>
      </c>
      <c r="AA49" t="s">
        <v>244</v>
      </c>
      <c r="AH49" s="1" t="s">
        <v>255</v>
      </c>
      <c r="AI49" s="59">
        <f ca="1">+AN44</f>
        <v>66.422177181861613</v>
      </c>
      <c r="AK49" t="s">
        <v>244</v>
      </c>
      <c r="AR49" s="1" t="s">
        <v>255</v>
      </c>
      <c r="AS49" s="59">
        <f ca="1">+AX44</f>
        <v>82.857555549416773</v>
      </c>
      <c r="AU49" t="s">
        <v>244</v>
      </c>
      <c r="BB49" s="1" t="s">
        <v>255</v>
      </c>
      <c r="BC49" s="59">
        <f ca="1">+BH44</f>
        <v>94.103117202176108</v>
      </c>
      <c r="BE49" t="s">
        <v>244</v>
      </c>
      <c r="BL49" s="1" t="s">
        <v>255</v>
      </c>
      <c r="BM49" s="59">
        <f ca="1">+BR44</f>
        <v>105.28584848934968</v>
      </c>
      <c r="BO49" t="s">
        <v>244</v>
      </c>
      <c r="CA49" s="1" t="s">
        <v>255</v>
      </c>
      <c r="CB49" s="59">
        <f ca="1">+CG44</f>
        <v>79.228567783135162</v>
      </c>
      <c r="CD49" t="s">
        <v>244</v>
      </c>
      <c r="DB49" s="1" t="s">
        <v>255</v>
      </c>
      <c r="DC49" s="59" t="e">
        <f>+DH44</f>
        <v>#DIV/0!</v>
      </c>
      <c r="DE49" t="s">
        <v>244</v>
      </c>
      <c r="DQ49" s="250" t="s">
        <v>522</v>
      </c>
      <c r="DR49" s="232"/>
      <c r="DS49" s="293">
        <f ca="1">SUMPRODUCT(DR7:DR42,DT7:DT42)/DR44</f>
        <v>37.985917347539626</v>
      </c>
      <c r="DX49" s="250" t="s">
        <v>522</v>
      </c>
      <c r="DY49" s="232"/>
      <c r="DZ49" s="293">
        <f ca="1">SUMPRODUCT(DY7:DY42,EA7:EA42)/DY44</f>
        <v>39.74189147505848</v>
      </c>
      <c r="EC49" s="250" t="s">
        <v>522</v>
      </c>
      <c r="ED49" s="232"/>
      <c r="EE49" s="293">
        <f ca="1">SUMPRODUCT(ED7:ED42,EF7:EF42)/ED44</f>
        <v>40.106180986140906</v>
      </c>
      <c r="EH49" s="250" t="s">
        <v>522</v>
      </c>
      <c r="EI49" s="232"/>
      <c r="EJ49" s="293">
        <f ca="1">SUMPRODUCT(EI7:EI42,EK7:EK42)/EI44</f>
        <v>40.548882730147071</v>
      </c>
    </row>
    <row r="50" spans="24:140" x14ac:dyDescent="0.2">
      <c r="X50" s="28" t="s">
        <v>245</v>
      </c>
      <c r="Y50" s="59">
        <f ca="1">+AB44</f>
        <v>18.5</v>
      </c>
      <c r="AH50" s="28" t="s">
        <v>245</v>
      </c>
      <c r="AI50" s="59">
        <f ca="1">+AL44</f>
        <v>18</v>
      </c>
      <c r="AR50" s="28" t="s">
        <v>245</v>
      </c>
      <c r="AS50" s="59">
        <f ca="1">+AV44</f>
        <v>22.5</v>
      </c>
      <c r="BB50" s="28" t="s">
        <v>245</v>
      </c>
      <c r="BC50" s="59">
        <f ca="1">+BF44</f>
        <v>25.5</v>
      </c>
      <c r="BL50" s="28" t="s">
        <v>245</v>
      </c>
      <c r="BM50" s="59">
        <f ca="1">+BP44</f>
        <v>28.5</v>
      </c>
      <c r="CA50" s="28" t="s">
        <v>245</v>
      </c>
      <c r="CB50" s="59">
        <f ca="1">+CE44</f>
        <v>21.5</v>
      </c>
      <c r="DB50" s="28" t="s">
        <v>245</v>
      </c>
      <c r="DC50" s="59" t="e">
        <f>+DF44</f>
        <v>#DIV/0!</v>
      </c>
      <c r="DQ50" s="250" t="s">
        <v>523</v>
      </c>
      <c r="DR50" s="232"/>
      <c r="DS50" s="293">
        <f ca="1">SUMPRODUCT(DR7:DR42,DT7:DT42,DT7:DT42)/DR44</f>
        <v>1528.0140614933071</v>
      </c>
      <c r="DX50" s="250" t="s">
        <v>523</v>
      </c>
      <c r="DY50" s="232"/>
      <c r="DZ50" s="293">
        <f ca="1">SUMPRODUCT(DY7:DY42,EA7:EA42,EA7:EA42)/DY44</f>
        <v>1580.4476045695417</v>
      </c>
      <c r="EC50" s="250" t="s">
        <v>523</v>
      </c>
      <c r="ED50" s="232"/>
      <c r="EE50" s="293">
        <f ca="1">SUMPRODUCT(ED7:ED42,EF7:EF42,EF7:EF42)/ED44</f>
        <v>1608.5745751178092</v>
      </c>
      <c r="EH50" s="250" t="s">
        <v>523</v>
      </c>
      <c r="EI50" s="232"/>
      <c r="EJ50" s="293">
        <f ca="1">SUMPRODUCT(EI7:EI42,EK7:EK42,EK7:EK42)/EI44</f>
        <v>1644.7270241759807</v>
      </c>
    </row>
    <row r="51" spans="24:140" x14ac:dyDescent="0.2">
      <c r="X51" s="1" t="s">
        <v>256</v>
      </c>
      <c r="Y51" s="59">
        <f ca="1">Y47/Y46</f>
        <v>3.6895272594036275</v>
      </c>
      <c r="AH51" s="1" t="s">
        <v>256</v>
      </c>
      <c r="AI51" s="59">
        <f ca="1">AI47/AI46</f>
        <v>3.6960815489906791</v>
      </c>
      <c r="AR51" s="1" t="s">
        <v>256</v>
      </c>
      <c r="AS51" s="59">
        <f ca="1">AS47/AS46</f>
        <v>3.6747022462906087</v>
      </c>
      <c r="BB51" s="1" t="s">
        <v>256</v>
      </c>
      <c r="BC51" s="59">
        <f ca="1">BC47/BC46</f>
        <v>3.688987486885448</v>
      </c>
      <c r="BL51" s="1" t="s">
        <v>256</v>
      </c>
      <c r="BM51" s="59">
        <f ca="1">BM47/BM46</f>
        <v>3.6920962828776052</v>
      </c>
      <c r="CA51" s="1" t="s">
        <v>256</v>
      </c>
      <c r="CB51" s="59">
        <f ca="1">CB47/CB46</f>
        <v>3.6794715839825316</v>
      </c>
      <c r="DB51" s="1" t="s">
        <v>256</v>
      </c>
      <c r="DC51" s="59" t="e">
        <f>DC47/DC46</f>
        <v>#DIV/0!</v>
      </c>
      <c r="DQ51" s="250" t="s">
        <v>524</v>
      </c>
      <c r="DR51" s="232"/>
      <c r="DS51" s="293">
        <f ca="1">SUMPRODUCT(DR7:DR42,DS7:DS42,DT7:DT42)/DR44</f>
        <v>1538.0172218099656</v>
      </c>
      <c r="DX51" s="250" t="s">
        <v>524</v>
      </c>
      <c r="DY51" s="232"/>
      <c r="DZ51" s="293">
        <f ca="1">SUMPRODUCT(DY7:DY42,DZ7:DZ42,EA7:EA42)/DY44</f>
        <v>1583.9399014826129</v>
      </c>
      <c r="EC51" s="250" t="s">
        <v>524</v>
      </c>
      <c r="ED51" s="232"/>
      <c r="EE51" s="293">
        <f ca="1">SUMPRODUCT(ED7:ED42,EE7:EE42,EF7:EF42)/ED44</f>
        <v>1597.170417465227</v>
      </c>
      <c r="EH51" s="250" t="s">
        <v>524</v>
      </c>
      <c r="EI51" s="232"/>
      <c r="EJ51" s="293">
        <f ca="1">SUMPRODUCT(EI7:EI42,EJ7:EJ42,EK7:EK42)/EI44</f>
        <v>1631.2810048778483</v>
      </c>
    </row>
    <row r="52" spans="24:140" x14ac:dyDescent="0.2">
      <c r="X52" s="1" t="s">
        <v>257</v>
      </c>
      <c r="Y52" s="59">
        <f ca="1">+AC44</f>
        <v>450.16666666666669</v>
      </c>
      <c r="AH52" s="1" t="s">
        <v>257</v>
      </c>
      <c r="AI52" s="59">
        <f ca="1">+AM44</f>
        <v>414.66666666666669</v>
      </c>
      <c r="AR52" s="1" t="s">
        <v>257</v>
      </c>
      <c r="AS52" s="59">
        <f ca="1">+AW44</f>
        <v>554.16666666666663</v>
      </c>
      <c r="BB52" s="1" t="s">
        <v>257</v>
      </c>
      <c r="BC52" s="59">
        <f ca="1">+BG44</f>
        <v>677.16666666666663</v>
      </c>
      <c r="BL52" s="1" t="s">
        <v>257</v>
      </c>
      <c r="BM52" s="59">
        <f ca="1">+BQ44</f>
        <v>824.16666666666663</v>
      </c>
      <c r="CA52" s="1" t="s">
        <v>257</v>
      </c>
      <c r="CB52" s="59">
        <f ca="1">+CF44</f>
        <v>495.5</v>
      </c>
      <c r="DB52" s="1" t="s">
        <v>257</v>
      </c>
      <c r="DC52" s="59" t="e">
        <f>+DG44</f>
        <v>#DIV/0!</v>
      </c>
      <c r="DQ52" s="232" t="s">
        <v>525</v>
      </c>
      <c r="DR52" s="232"/>
      <c r="DS52" s="262">
        <f ca="1">(DS51-DS47*DS49)/SQRT((DS48-DS47^2)*(DS50-DS49^2))</f>
        <v>0.2406795643087192</v>
      </c>
      <c r="DX52" s="232" t="s">
        <v>525</v>
      </c>
      <c r="DY52" s="232"/>
      <c r="DZ52" s="262">
        <f ca="1">(DZ51-DZ47*DZ49)/SQRT((DZ48-DZ47^2)*(DZ50-DZ49^2))</f>
        <v>0.130605355841733</v>
      </c>
      <c r="EC52" s="232" t="s">
        <v>525</v>
      </c>
      <c r="ED52" s="232"/>
      <c r="EE52" s="262">
        <f ca="1">(EE51-EE47*EE49)/SQRT((EE48-EE47^2)*(EE50-EE49^2))</f>
        <v>0.1856670522786546</v>
      </c>
      <c r="EH52" s="232" t="s">
        <v>525</v>
      </c>
      <c r="EI52" s="232"/>
      <c r="EJ52" s="262">
        <f ca="1">(EJ51-EJ47*EJ49)/SQRT((EJ48-EJ47^2)*(EJ50-EJ49^2))</f>
        <v>8.6952921636726258E-2</v>
      </c>
    </row>
    <row r="53" spans="24:140" x14ac:dyDescent="0.2">
      <c r="X53" s="28" t="s">
        <v>246</v>
      </c>
      <c r="Y53" s="59">
        <f ca="1">Y50^2</f>
        <v>342.25</v>
      </c>
      <c r="AH53" s="28" t="s">
        <v>246</v>
      </c>
      <c r="AI53" s="59">
        <f ca="1">AI50^2</f>
        <v>324</v>
      </c>
      <c r="AR53" s="28" t="s">
        <v>246</v>
      </c>
      <c r="AS53" s="59">
        <f ca="1">AS50^2</f>
        <v>506.25</v>
      </c>
      <c r="BB53" s="28" t="s">
        <v>246</v>
      </c>
      <c r="BC53" s="59">
        <f ca="1">BC50^2</f>
        <v>650.25</v>
      </c>
      <c r="BL53" s="28" t="s">
        <v>246</v>
      </c>
      <c r="BM53" s="59">
        <f ca="1">BM50^2</f>
        <v>812.25</v>
      </c>
      <c r="CA53" s="28" t="s">
        <v>246</v>
      </c>
      <c r="CB53" s="59">
        <f ca="1">CB50^2</f>
        <v>462.25</v>
      </c>
      <c r="DB53" s="28" t="s">
        <v>246</v>
      </c>
      <c r="DC53" s="59" t="e">
        <f>DC50^2</f>
        <v>#DIV/0!</v>
      </c>
    </row>
    <row r="54" spans="24:140" x14ac:dyDescent="0.2">
      <c r="X54" s="28" t="s">
        <v>247</v>
      </c>
      <c r="Y54" s="66">
        <f ca="1">(Y49-Y51*Y50)/(Y52-Y53)</f>
        <v>-4.7907367923723557E-4</v>
      </c>
      <c r="AH54" s="28" t="s">
        <v>247</v>
      </c>
      <c r="AI54" s="66">
        <f ca="1">(AI49-AI51*AI50)/(AI52-AI53)</f>
        <v>-1.1833533084993188E-3</v>
      </c>
      <c r="AR54" s="28" t="s">
        <v>247</v>
      </c>
      <c r="AS54" s="66">
        <f ca="1">(AS49-AS51*AS50)/(AS52-AS53)</f>
        <v>3.6888001644119306E-3</v>
      </c>
      <c r="BB54" s="28" t="s">
        <v>247</v>
      </c>
      <c r="BC54" s="66">
        <f ca="1">(BC49-BC51*BC50)/(BC52-BC53)</f>
        <v>1.2607908333318472E-3</v>
      </c>
      <c r="BL54" s="28" t="s">
        <v>247</v>
      </c>
      <c r="BM54" s="66">
        <f ca="1">(BM49-BM51*BM50)/(BM52-BM53)</f>
        <v>5.1276442521334597E-3</v>
      </c>
      <c r="CA54" s="28" t="s">
        <v>247</v>
      </c>
      <c r="CB54" s="66">
        <f ca="1">(CB49-CB51*CB50)/(CB52-CB53)</f>
        <v>3.6068790228793823E-3</v>
      </c>
      <c r="DB54" s="28" t="s">
        <v>247</v>
      </c>
      <c r="DC54" s="66" t="e">
        <f>(DC49-DC51*DC50)/(DC52-DC53)</f>
        <v>#DIV/0!</v>
      </c>
      <c r="DQ54" s="250" t="s">
        <v>595</v>
      </c>
      <c r="DS54" s="281">
        <f ca="1">SQRT(DS48-DS47^2)</f>
        <v>4.1965828179218061</v>
      </c>
      <c r="DX54" s="250" t="s">
        <v>595</v>
      </c>
      <c r="DZ54" s="281">
        <f ca="1">SQRT(DZ48-DZ47^2)</f>
        <v>2.7689191610037183</v>
      </c>
      <c r="EC54" s="250" t="s">
        <v>595</v>
      </c>
      <c r="EE54" s="281">
        <f ca="1">SQRT(EE48-EE47^2)</f>
        <v>2.8834606902926181</v>
      </c>
      <c r="EH54" s="250" t="s">
        <v>595</v>
      </c>
      <c r="EJ54" s="281">
        <f ca="1">SQRT(EJ48-EJ47^2)</f>
        <v>2.6780223199335724</v>
      </c>
    </row>
    <row r="55" spans="24:140" x14ac:dyDescent="0.2">
      <c r="X55" s="28" t="s">
        <v>248</v>
      </c>
      <c r="Y55" s="66">
        <f ca="1">Y51-Y54*Y50</f>
        <v>3.6983901224695162</v>
      </c>
      <c r="AH55" s="28" t="s">
        <v>248</v>
      </c>
      <c r="AI55" s="66">
        <f ca="1">AI51-AI54*AI50</f>
        <v>3.717381908543667</v>
      </c>
      <c r="AR55" s="28" t="s">
        <v>248</v>
      </c>
      <c r="AS55" s="66">
        <f ca="1">AS51-AS54*AS50</f>
        <v>3.5917042425913404</v>
      </c>
      <c r="BB55" s="28" t="s">
        <v>248</v>
      </c>
      <c r="BC55" s="66">
        <f ca="1">BC51-BC54*BC50</f>
        <v>3.6568373206354861</v>
      </c>
      <c r="BL55" s="28" t="s">
        <v>248</v>
      </c>
      <c r="BM55" s="66">
        <f ca="1">BM51-BM54*BM50</f>
        <v>3.5459584216918016</v>
      </c>
      <c r="CA55" s="28" t="s">
        <v>248</v>
      </c>
      <c r="CB55" s="66">
        <f ca="1">CB51-CB54*CB50</f>
        <v>3.6019236849906249</v>
      </c>
      <c r="DB55" s="28" t="s">
        <v>248</v>
      </c>
      <c r="DC55" s="66" t="e">
        <f>DC51-DC54*DC50</f>
        <v>#DIV/0!</v>
      </c>
    </row>
    <row r="56" spans="24:140" x14ac:dyDescent="0.2">
      <c r="X56" t="s">
        <v>249</v>
      </c>
      <c r="Y56" s="126">
        <f ca="1">EXP(12*Y54+Y55)/EXP(Y55)-1</f>
        <v>-5.7323909373506732E-3</v>
      </c>
      <c r="AH56" t="s">
        <v>249</v>
      </c>
      <c r="AI56" s="126">
        <f ca="1">EXP(12*AI54+AI55)/EXP(AI55)-1</f>
        <v>-1.4099891847602519E-2</v>
      </c>
      <c r="AR56" t="s">
        <v>249</v>
      </c>
      <c r="AS56" s="126">
        <f ca="1">EXP(12*AS54+AS55)/EXP(AS55)-1</f>
        <v>4.525994112568732E-2</v>
      </c>
      <c r="BB56" t="s">
        <v>249</v>
      </c>
      <c r="BC56" s="126">
        <f ca="1">EXP(12*BC54+BC55)/EXP(BC55)-1</f>
        <v>1.5244520117340787E-2</v>
      </c>
      <c r="BL56" t="s">
        <v>249</v>
      </c>
      <c r="BM56" s="126">
        <f ca="1">EXP(12*BM54+BM55)/EXP(BM55)-1</f>
        <v>6.3464240804477656E-2</v>
      </c>
      <c r="CA56" t="s">
        <v>249</v>
      </c>
      <c r="CB56" s="126">
        <f ca="1">EXP(12*CB54+CB55)/EXP(CB55)-1</f>
        <v>4.4232899376089652E-2</v>
      </c>
      <c r="DB56" t="s">
        <v>249</v>
      </c>
      <c r="DC56" s="126" t="e">
        <f>EXP(12*DC54+DC55)/EXP(DC55)-1</f>
        <v>#DIV/0!</v>
      </c>
    </row>
    <row r="57" spans="24:140" x14ac:dyDescent="0.2">
      <c r="X57" t="s">
        <v>250</v>
      </c>
      <c r="Y57" t="str">
        <f ca="1">FIXED(Y56*100,1,TRUE)</f>
        <v>-0.6</v>
      </c>
      <c r="AH57" t="s">
        <v>250</v>
      </c>
      <c r="AI57" t="str">
        <f ca="1">FIXED(AI56*100,1,TRUE)</f>
        <v>-1.4</v>
      </c>
      <c r="AR57" t="s">
        <v>250</v>
      </c>
      <c r="AS57" t="str">
        <f ca="1">FIXED(AS56*100,1,TRUE)</f>
        <v>4.5</v>
      </c>
      <c r="BB57" t="s">
        <v>250</v>
      </c>
      <c r="BC57" t="str">
        <f ca="1">FIXED(BC56*100,1,TRUE)</f>
        <v>1.5</v>
      </c>
      <c r="BL57" t="s">
        <v>250</v>
      </c>
      <c r="BM57" t="str">
        <f ca="1">FIXED(BM56*100,1,TRUE)</f>
        <v>6.3</v>
      </c>
      <c r="CA57" t="s">
        <v>250</v>
      </c>
      <c r="CB57" t="str">
        <f ca="1">FIXED(CB56*100,1,TRUE)</f>
        <v>4.4</v>
      </c>
      <c r="DB57" t="s">
        <v>250</v>
      </c>
      <c r="DC57" t="e">
        <f>FIXED(DC56*100,1,TRUE)</f>
        <v>#DIV/0!</v>
      </c>
    </row>
    <row r="59" spans="24:140" x14ac:dyDescent="0.2">
      <c r="AD59" s="66"/>
    </row>
    <row r="60" spans="24:140" x14ac:dyDescent="0.2">
      <c r="AD60" s="66"/>
    </row>
    <row r="61" spans="24:140" x14ac:dyDescent="0.2">
      <c r="AD61" s="66"/>
    </row>
    <row r="63" spans="24:140" x14ac:dyDescent="0.2">
      <c r="X63" s="130" t="s">
        <v>321</v>
      </c>
      <c r="AH63" s="130" t="s">
        <v>258</v>
      </c>
      <c r="AR63" s="130" t="s">
        <v>264</v>
      </c>
      <c r="BB63" s="130" t="s">
        <v>265</v>
      </c>
      <c r="BL63" s="130" t="s">
        <v>265</v>
      </c>
      <c r="CA63" s="130" t="s">
        <v>1025</v>
      </c>
      <c r="DQ63" s="130" t="s">
        <v>588</v>
      </c>
      <c r="DR63" s="1"/>
    </row>
    <row r="64" spans="24:140" x14ac:dyDescent="0.2">
      <c r="X64" s="129" t="s">
        <v>153</v>
      </c>
      <c r="AH64" s="129" t="s">
        <v>153</v>
      </c>
      <c r="AR64" s="129" t="s">
        <v>153</v>
      </c>
      <c r="BB64" s="129" t="s">
        <v>153</v>
      </c>
      <c r="BL64" s="129" t="s">
        <v>153</v>
      </c>
      <c r="CA64" s="129" t="s">
        <v>153</v>
      </c>
      <c r="DQ64" s="3" t="s">
        <v>153</v>
      </c>
      <c r="DX64" s="3" t="s">
        <v>153</v>
      </c>
      <c r="EC64" s="3" t="s">
        <v>153</v>
      </c>
      <c r="EH64" s="3" t="s">
        <v>153</v>
      </c>
    </row>
    <row r="65" spans="22:141" x14ac:dyDescent="0.2">
      <c r="AC65" s="2"/>
      <c r="AD65" s="2"/>
      <c r="AE65" s="2" t="s">
        <v>253</v>
      </c>
      <c r="AF65" s="2" t="s">
        <v>251</v>
      </c>
      <c r="AM65" s="2"/>
      <c r="AN65" s="2"/>
      <c r="AO65" s="2" t="s">
        <v>253</v>
      </c>
      <c r="AP65" s="2" t="s">
        <v>251</v>
      </c>
      <c r="AW65" s="2"/>
      <c r="AX65" s="2"/>
      <c r="AY65" s="2" t="s">
        <v>253</v>
      </c>
      <c r="AZ65" s="2" t="s">
        <v>251</v>
      </c>
      <c r="BG65" s="2"/>
      <c r="BH65" s="2"/>
      <c r="BI65" s="2" t="s">
        <v>253</v>
      </c>
      <c r="BJ65" s="2" t="s">
        <v>251</v>
      </c>
      <c r="BQ65" s="2"/>
      <c r="BR65" s="2"/>
      <c r="BS65" s="2" t="s">
        <v>253</v>
      </c>
      <c r="BT65" s="2" t="s">
        <v>251</v>
      </c>
      <c r="CF65" s="2"/>
      <c r="CG65" s="2"/>
      <c r="CH65" s="2" t="s">
        <v>253</v>
      </c>
      <c r="CI65" s="2" t="s">
        <v>251</v>
      </c>
      <c r="DQ65" s="3" t="s">
        <v>50</v>
      </c>
      <c r="DU65" s="2" t="s">
        <v>592</v>
      </c>
      <c r="DX65" s="3" t="s">
        <v>589</v>
      </c>
      <c r="EC65" s="3" t="s">
        <v>590</v>
      </c>
      <c r="EH65" s="130" t="s">
        <v>1036</v>
      </c>
    </row>
    <row r="66" spans="22:141" x14ac:dyDescent="0.2">
      <c r="X66" s="2"/>
      <c r="Y66" s="18" t="s">
        <v>230</v>
      </c>
      <c r="Z66" s="2" t="s">
        <v>238</v>
      </c>
      <c r="AC66" s="2"/>
      <c r="AD66" s="2"/>
      <c r="AE66" s="2" t="s">
        <v>251</v>
      </c>
      <c r="AF66" s="2" t="s">
        <v>252</v>
      </c>
      <c r="AH66" s="2"/>
      <c r="AI66" s="18" t="s">
        <v>230</v>
      </c>
      <c r="AJ66" s="2" t="s">
        <v>238</v>
      </c>
      <c r="AM66" s="2"/>
      <c r="AN66" s="2"/>
      <c r="AO66" s="2" t="s">
        <v>251</v>
      </c>
      <c r="AP66" s="2" t="s">
        <v>252</v>
      </c>
      <c r="AR66" s="2"/>
      <c r="AS66" s="18" t="s">
        <v>230</v>
      </c>
      <c r="AT66" s="2" t="s">
        <v>238</v>
      </c>
      <c r="AW66" s="2"/>
      <c r="AX66" s="2"/>
      <c r="AY66" s="2" t="s">
        <v>251</v>
      </c>
      <c r="AZ66" s="2" t="s">
        <v>252</v>
      </c>
      <c r="BB66" s="2"/>
      <c r="BC66" s="18" t="s">
        <v>230</v>
      </c>
      <c r="BD66" s="2" t="s">
        <v>238</v>
      </c>
      <c r="BG66" s="2"/>
      <c r="BH66" s="2"/>
      <c r="BI66" s="2" t="s">
        <v>251</v>
      </c>
      <c r="BJ66" s="2" t="s">
        <v>252</v>
      </c>
      <c r="BL66" s="2"/>
      <c r="BM66" s="18" t="s">
        <v>230</v>
      </c>
      <c r="BN66" s="2" t="s">
        <v>238</v>
      </c>
      <c r="BQ66" s="2"/>
      <c r="BR66" s="2"/>
      <c r="BS66" s="2" t="s">
        <v>251</v>
      </c>
      <c r="BT66" s="2" t="s">
        <v>252</v>
      </c>
      <c r="BZ66" s="228" t="s">
        <v>1029</v>
      </c>
      <c r="CA66" s="2"/>
      <c r="CB66" s="18" t="s">
        <v>230</v>
      </c>
      <c r="CC66" s="2" t="s">
        <v>238</v>
      </c>
      <c r="CF66" s="2"/>
      <c r="CG66" s="2"/>
      <c r="CH66" s="2" t="s">
        <v>251</v>
      </c>
      <c r="CI66" s="2" t="s">
        <v>252</v>
      </c>
      <c r="DT66" t="s">
        <v>586</v>
      </c>
      <c r="DU66" s="2" t="s">
        <v>593</v>
      </c>
      <c r="EA66" t="s">
        <v>586</v>
      </c>
      <c r="EF66" t="s">
        <v>586</v>
      </c>
      <c r="EK66" t="s">
        <v>586</v>
      </c>
    </row>
    <row r="67" spans="22:141" x14ac:dyDescent="0.2">
      <c r="V67" s="8" t="s">
        <v>259</v>
      </c>
      <c r="X67" s="38" t="s">
        <v>41</v>
      </c>
      <c r="Y67" s="8" t="s">
        <v>101</v>
      </c>
      <c r="Z67" s="8" t="s">
        <v>222</v>
      </c>
      <c r="AA67" s="8" t="s">
        <v>205</v>
      </c>
      <c r="AB67" s="8" t="s">
        <v>239</v>
      </c>
      <c r="AC67" s="8" t="s">
        <v>240</v>
      </c>
      <c r="AD67" s="8" t="s">
        <v>241</v>
      </c>
      <c r="AE67" s="8" t="s">
        <v>252</v>
      </c>
      <c r="AF67" s="8" t="s">
        <v>101</v>
      </c>
      <c r="AH67" s="38" t="s">
        <v>41</v>
      </c>
      <c r="AI67" s="8" t="s">
        <v>101</v>
      </c>
      <c r="AJ67" s="8" t="s">
        <v>222</v>
      </c>
      <c r="AK67" s="8" t="s">
        <v>205</v>
      </c>
      <c r="AL67" s="8" t="s">
        <v>239</v>
      </c>
      <c r="AM67" s="8" t="s">
        <v>240</v>
      </c>
      <c r="AN67" s="8" t="s">
        <v>241</v>
      </c>
      <c r="AO67" s="8" t="s">
        <v>252</v>
      </c>
      <c r="AP67" s="8" t="s">
        <v>101</v>
      </c>
      <c r="AR67" s="38" t="s">
        <v>41</v>
      </c>
      <c r="AS67" s="8" t="s">
        <v>101</v>
      </c>
      <c r="AT67" s="8" t="s">
        <v>222</v>
      </c>
      <c r="AU67" s="8" t="s">
        <v>205</v>
      </c>
      <c r="AV67" s="8" t="s">
        <v>239</v>
      </c>
      <c r="AW67" s="8" t="s">
        <v>240</v>
      </c>
      <c r="AX67" s="8" t="s">
        <v>241</v>
      </c>
      <c r="AY67" s="8" t="s">
        <v>252</v>
      </c>
      <c r="AZ67" s="8" t="s">
        <v>101</v>
      </c>
      <c r="BB67" s="38" t="s">
        <v>41</v>
      </c>
      <c r="BC67" s="8" t="s">
        <v>101</v>
      </c>
      <c r="BD67" s="8" t="s">
        <v>222</v>
      </c>
      <c r="BE67" s="8" t="s">
        <v>205</v>
      </c>
      <c r="BF67" s="8" t="s">
        <v>239</v>
      </c>
      <c r="BG67" s="8" t="s">
        <v>240</v>
      </c>
      <c r="BH67" s="8" t="s">
        <v>241</v>
      </c>
      <c r="BI67" s="8" t="s">
        <v>252</v>
      </c>
      <c r="BJ67" s="8" t="s">
        <v>101</v>
      </c>
      <c r="BL67" s="38" t="s">
        <v>41</v>
      </c>
      <c r="BM67" s="8" t="s">
        <v>101</v>
      </c>
      <c r="BN67" s="8" t="s">
        <v>222</v>
      </c>
      <c r="BO67" s="8" t="s">
        <v>205</v>
      </c>
      <c r="BP67" s="8" t="s">
        <v>239</v>
      </c>
      <c r="BQ67" s="8" t="s">
        <v>240</v>
      </c>
      <c r="BR67" s="8" t="s">
        <v>241</v>
      </c>
      <c r="BS67" s="8" t="s">
        <v>252</v>
      </c>
      <c r="BT67" s="8" t="s">
        <v>101</v>
      </c>
      <c r="BZ67" s="8" t="s">
        <v>1030</v>
      </c>
      <c r="CA67" s="38" t="s">
        <v>41</v>
      </c>
      <c r="CB67" s="8" t="s">
        <v>101</v>
      </c>
      <c r="CC67" s="8" t="s">
        <v>222</v>
      </c>
      <c r="CD67" s="8" t="s">
        <v>205</v>
      </c>
      <c r="CE67" s="8" t="s">
        <v>239</v>
      </c>
      <c r="CF67" s="8" t="s">
        <v>240</v>
      </c>
      <c r="CG67" s="8" t="s">
        <v>241</v>
      </c>
      <c r="CH67" s="8" t="s">
        <v>252</v>
      </c>
      <c r="CI67" s="8" t="s">
        <v>101</v>
      </c>
      <c r="DQ67" s="38" t="s">
        <v>41</v>
      </c>
      <c r="DR67" s="38" t="s">
        <v>205</v>
      </c>
      <c r="DS67" s="29" t="s">
        <v>260</v>
      </c>
      <c r="DT67" s="103" t="s">
        <v>587</v>
      </c>
      <c r="DU67" s="29" t="s">
        <v>594</v>
      </c>
      <c r="DX67" s="38" t="s">
        <v>41</v>
      </c>
      <c r="DY67" s="38" t="s">
        <v>205</v>
      </c>
      <c r="DZ67" s="29" t="s">
        <v>260</v>
      </c>
      <c r="EA67" s="103" t="s">
        <v>587</v>
      </c>
      <c r="EC67" s="38" t="s">
        <v>41</v>
      </c>
      <c r="ED67" s="38" t="s">
        <v>205</v>
      </c>
      <c r="EE67" s="29" t="s">
        <v>260</v>
      </c>
      <c r="EF67" s="103" t="s">
        <v>587</v>
      </c>
      <c r="EH67" s="38" t="s">
        <v>41</v>
      </c>
      <c r="EI67" s="38" t="s">
        <v>205</v>
      </c>
      <c r="EJ67" s="29" t="s">
        <v>260</v>
      </c>
      <c r="EK67" s="103" t="s">
        <v>587</v>
      </c>
    </row>
    <row r="69" spans="22:141" x14ac:dyDescent="0.2">
      <c r="V69" s="2">
        <v>1</v>
      </c>
      <c r="X69" s="121">
        <f>+X7</f>
        <v>44287</v>
      </c>
      <c r="Y69" s="73">
        <f>+M7</f>
        <v>35.869891317541402</v>
      </c>
      <c r="Z69" s="15">
        <f>IF(Y69=0,0,LN(Y69))</f>
        <v>3.5798982616411177</v>
      </c>
      <c r="AA69" s="98">
        <f>IF(Z69&gt;0,1,0)</f>
        <v>1</v>
      </c>
      <c r="AB69" s="128">
        <f>IF(AA69&gt;0,1,0)</f>
        <v>1</v>
      </c>
      <c r="AC69" s="128">
        <f>AB69^2</f>
        <v>1</v>
      </c>
      <c r="AD69" s="15">
        <f>AB69*Z69</f>
        <v>3.5798982616411177</v>
      </c>
      <c r="AE69" s="127">
        <f ca="1">Y$116*$V69+Y$117</f>
        <v>3.6979110487902789</v>
      </c>
      <c r="AF69" s="127">
        <f ca="1">EXP(AE69)</f>
        <v>40.362900103574347</v>
      </c>
      <c r="AH69" s="121">
        <f>+X69</f>
        <v>44287</v>
      </c>
      <c r="AI69" s="73">
        <f t="shared" ref="AI69:AI102" si="81">+Q7</f>
        <v>0</v>
      </c>
      <c r="AJ69" s="15">
        <f>IF(AI69=0,0,LN(AI69))</f>
        <v>0</v>
      </c>
      <c r="AK69" s="98">
        <f>IF(AJ69&gt;0,1,0)</f>
        <v>0</v>
      </c>
      <c r="AL69" s="128">
        <f>IF(AK69&gt;0,1,0)</f>
        <v>0</v>
      </c>
      <c r="AM69" s="128">
        <f>AL69^2</f>
        <v>0</v>
      </c>
      <c r="AN69" s="15">
        <f>AL69*AJ69</f>
        <v>0</v>
      </c>
      <c r="AO69" s="127">
        <f ca="1">AI$116*$V69+AI$117</f>
        <v>3.7161985552351675</v>
      </c>
      <c r="AP69" s="127">
        <f ca="1">EXP(AO69)</f>
        <v>41.107827571718616</v>
      </c>
      <c r="AR69" s="121">
        <f>+X69</f>
        <v>44287</v>
      </c>
      <c r="AS69" s="131">
        <v>0</v>
      </c>
      <c r="AT69" s="15">
        <f>IF(AS69=0,0,LN(AS69))</f>
        <v>0</v>
      </c>
      <c r="AU69" s="98">
        <f>IF(AT69&gt;0,1,0)</f>
        <v>0</v>
      </c>
      <c r="AV69" s="128">
        <f>IF(AU69&gt;0,1,0)</f>
        <v>0</v>
      </c>
      <c r="AW69" s="128">
        <f>AV69^2</f>
        <v>0</v>
      </c>
      <c r="AX69" s="15">
        <f>AV69*AT69</f>
        <v>0</v>
      </c>
      <c r="AY69" s="127">
        <f ca="1">AS$116*$V69+AS$117</f>
        <v>3.5953930427557523</v>
      </c>
      <c r="AZ69" s="127">
        <f ca="1">EXP(AY69)</f>
        <v>36.430015728119642</v>
      </c>
      <c r="BB69" s="121">
        <f>+X69</f>
        <v>44287</v>
      </c>
      <c r="BC69" s="131">
        <v>0</v>
      </c>
      <c r="BD69" s="15">
        <f>IF(BC69=0,0,LN(BC69))</f>
        <v>0</v>
      </c>
      <c r="BE69" s="98">
        <f>IF(BD69&gt;0,1,0)</f>
        <v>0</v>
      </c>
      <c r="BF69" s="128">
        <f>IF(BE69&gt;0,1,0)</f>
        <v>0</v>
      </c>
      <c r="BG69" s="128">
        <f>BF69^2</f>
        <v>0</v>
      </c>
      <c r="BH69" s="15">
        <f>BF69*BD69</f>
        <v>0</v>
      </c>
      <c r="BI69" s="127">
        <f ca="1">BC$116*$V69+BC$117</f>
        <v>3.658098111468818</v>
      </c>
      <c r="BJ69" s="127">
        <f ca="1">EXP(BI69)</f>
        <v>38.787503168718544</v>
      </c>
      <c r="BL69" s="121">
        <f>+AH69</f>
        <v>44287</v>
      </c>
      <c r="BM69" s="131">
        <v>0</v>
      </c>
      <c r="BN69" s="15">
        <f>IF(BM69=0,0,LN(BM69))</f>
        <v>0</v>
      </c>
      <c r="BO69" s="98">
        <f>IF(BN69&gt;0,1,0)</f>
        <v>0</v>
      </c>
      <c r="BP69" s="128">
        <f>IF(BO69&gt;0,1,0)</f>
        <v>0</v>
      </c>
      <c r="BQ69" s="128">
        <f>BP69^2</f>
        <v>0</v>
      </c>
      <c r="BR69" s="15">
        <f>BP69*BN69</f>
        <v>0</v>
      </c>
      <c r="BS69" s="127">
        <f ca="1">BM$116*$V69+BM$117</f>
        <v>3.5510860659439349</v>
      </c>
      <c r="BT69" s="127">
        <f ca="1">EXP(BS69)</f>
        <v>34.851147585392624</v>
      </c>
      <c r="BZ69" s="583">
        <f>IF(OR(CA69&lt;BX$12,CA69&gt;BX$13),0,1)</f>
        <v>0</v>
      </c>
      <c r="CA69" s="121">
        <f>+CA7</f>
        <v>44287</v>
      </c>
      <c r="CB69" s="127">
        <f>+BZ69*Q7</f>
        <v>0</v>
      </c>
      <c r="CC69" s="15">
        <f>IF(CB69=0,0,LN(CB69))</f>
        <v>0</v>
      </c>
      <c r="CD69" s="98">
        <f>IF(CC69&gt;0,1,0)</f>
        <v>0</v>
      </c>
      <c r="CE69" s="128">
        <f>IF(CD69&gt;0,1,0)</f>
        <v>0</v>
      </c>
      <c r="CF69" s="128">
        <f>CE69^2</f>
        <v>0</v>
      </c>
      <c r="CG69" s="15">
        <f>CE69*CC69</f>
        <v>0</v>
      </c>
      <c r="CH69" s="127">
        <f ca="1">CB$116*$V69+CB$117</f>
        <v>3.6055305640135042</v>
      </c>
      <c r="CI69" s="127">
        <f ca="1">EXP(CH69)</f>
        <v>36.80120407295901</v>
      </c>
      <c r="DQ69" s="121">
        <f>+$X69</f>
        <v>44287</v>
      </c>
      <c r="DR69" s="98">
        <f>IF($Y69&gt;0,1,0)</f>
        <v>1</v>
      </c>
      <c r="DS69" s="73">
        <f>+Y69</f>
        <v>35.869891317541402</v>
      </c>
      <c r="DT69" s="294"/>
      <c r="DU69" s="127"/>
      <c r="DX69" s="121">
        <f>+$X69</f>
        <v>44287</v>
      </c>
      <c r="DY69" s="2"/>
      <c r="DZ69" s="120"/>
      <c r="EA69" s="292"/>
      <c r="EC69" s="121">
        <f>+$X69</f>
        <v>44287</v>
      </c>
      <c r="ED69" s="2"/>
      <c r="EE69" s="120"/>
      <c r="EF69" s="292"/>
      <c r="EH69" s="121">
        <f>+$X69</f>
        <v>44287</v>
      </c>
      <c r="EI69" s="2"/>
      <c r="EJ69" s="120"/>
      <c r="EK69" s="292"/>
    </row>
    <row r="70" spans="22:141" x14ac:dyDescent="0.2">
      <c r="V70" s="2">
        <v>2</v>
      </c>
      <c r="X70" s="121">
        <f t="shared" ref="X70:X104" si="82">+X8</f>
        <v>44317</v>
      </c>
      <c r="Y70" s="73">
        <f t="shared" ref="Y70:Y104" si="83">+M8</f>
        <v>36.591966235234068</v>
      </c>
      <c r="Z70" s="15">
        <f t="shared" ref="Z70:Z104" si="84">IF(Y70=0,0,LN(Y70))</f>
        <v>3.5998287145437202</v>
      </c>
      <c r="AA70" s="98">
        <f t="shared" ref="AA70:AA104" si="85">IF(Z70&gt;0,1,0)</f>
        <v>1</v>
      </c>
      <c r="AB70" s="128">
        <f>IF(AA70&gt;0,2,0)</f>
        <v>2</v>
      </c>
      <c r="AC70" s="128">
        <f t="shared" ref="AC70:AC104" si="86">AB70^2</f>
        <v>4</v>
      </c>
      <c r="AD70" s="15">
        <f t="shared" ref="AD70:AD104" si="87">AB70*Z70</f>
        <v>7.1996574290874404</v>
      </c>
      <c r="AE70" s="127">
        <f t="shared" ref="AE70:AE104" ca="1" si="88">Y$116*$V70+Y$117</f>
        <v>3.6974319751110416</v>
      </c>
      <c r="AF70" s="127">
        <f ca="1">EXP(AE70)</f>
        <v>40.34356793165415</v>
      </c>
      <c r="AH70" s="121">
        <f t="shared" ref="AH70:AH104" si="89">+X70</f>
        <v>44317</v>
      </c>
      <c r="AI70" s="73">
        <f t="shared" si="81"/>
        <v>37.084129648463552</v>
      </c>
      <c r="AJ70" s="15">
        <f t="shared" ref="AJ70:AJ104" si="90">IF(AI70=0,0,LN(AI70))</f>
        <v>3.6131891058141168</v>
      </c>
      <c r="AK70" s="98">
        <f t="shared" ref="AK70:AK104" si="91">IF(AJ70&gt;0,1,0)</f>
        <v>1</v>
      </c>
      <c r="AL70" s="128">
        <f>IF(AK70&gt;0,2,0)</f>
        <v>2</v>
      </c>
      <c r="AM70" s="128">
        <f t="shared" ref="AM70:AM104" si="92">AL70^2</f>
        <v>4</v>
      </c>
      <c r="AN70" s="15">
        <f t="shared" ref="AN70:AN104" si="93">AL70*AJ70</f>
        <v>7.2263782116282336</v>
      </c>
      <c r="AO70" s="127">
        <f t="shared" ref="AO70:AO104" ca="1" si="94">AI$116*$V70+AI$117</f>
        <v>3.7150152019266685</v>
      </c>
      <c r="AP70" s="127">
        <f ca="1">EXP(AO70)</f>
        <v>41.059211258767021</v>
      </c>
      <c r="AR70" s="121">
        <f t="shared" ref="AR70:AR104" si="95">+X70</f>
        <v>44317</v>
      </c>
      <c r="AS70" s="131">
        <v>0</v>
      </c>
      <c r="AT70" s="15">
        <f t="shared" ref="AT70:AT104" si="96">IF(AS70=0,0,LN(AS70))</f>
        <v>0</v>
      </c>
      <c r="AU70" s="98">
        <f t="shared" ref="AU70:AU104" si="97">IF(AT70&gt;0,1,0)</f>
        <v>0</v>
      </c>
      <c r="AV70" s="128">
        <f>IF(AU70&gt;0,2,0)</f>
        <v>0</v>
      </c>
      <c r="AW70" s="128">
        <f t="shared" ref="AW70:AW104" si="98">AV70^2</f>
        <v>0</v>
      </c>
      <c r="AX70" s="15">
        <f t="shared" ref="AX70:AX104" si="99">AV70*AT70</f>
        <v>0</v>
      </c>
      <c r="AY70" s="127">
        <f t="shared" ref="AY70:AY104" ca="1" si="100">AS$116*$V70+AS$117</f>
        <v>3.5990818429201643</v>
      </c>
      <c r="AZ70" s="127">
        <f ca="1">EXP(AY70)</f>
        <v>36.56464693727699</v>
      </c>
      <c r="BB70" s="121">
        <f t="shared" ref="BB70:BB104" si="101">+X70</f>
        <v>44317</v>
      </c>
      <c r="BC70" s="131">
        <v>0</v>
      </c>
      <c r="BD70" s="15">
        <f t="shared" ref="BD70:BD104" si="102">IF(BC70=0,0,LN(BC70))</f>
        <v>0</v>
      </c>
      <c r="BE70" s="98">
        <f t="shared" ref="BE70:BE104" si="103">IF(BD70&gt;0,1,0)</f>
        <v>0</v>
      </c>
      <c r="BF70" s="128">
        <f>IF(BE70&gt;0,2,0)</f>
        <v>0</v>
      </c>
      <c r="BG70" s="128">
        <f t="shared" ref="BG70:BG104" si="104">BF70^2</f>
        <v>0</v>
      </c>
      <c r="BH70" s="15">
        <f t="shared" ref="BH70:BH104" si="105">BF70*BD70</f>
        <v>0</v>
      </c>
      <c r="BI70" s="127">
        <f t="shared" ref="BI70:BI104" ca="1" si="106">BC$116*$V70+BC$117</f>
        <v>3.6593589023021496</v>
      </c>
      <c r="BJ70" s="127">
        <f ca="1">EXP(BI70)</f>
        <v>38.836436938303486</v>
      </c>
      <c r="BL70" s="121">
        <f t="shared" ref="BL70:BL104" si="107">+AH70</f>
        <v>44317</v>
      </c>
      <c r="BM70" s="131">
        <v>0</v>
      </c>
      <c r="BN70" s="15">
        <f t="shared" ref="BN70:BN104" si="108">IF(BM70=0,0,LN(BM70))</f>
        <v>0</v>
      </c>
      <c r="BO70" s="98">
        <f t="shared" ref="BO70:BO104" si="109">IF(BN70&gt;0,1,0)</f>
        <v>0</v>
      </c>
      <c r="BP70" s="128">
        <f>IF(BO70&gt;0,2,0)</f>
        <v>0</v>
      </c>
      <c r="BQ70" s="128">
        <f t="shared" ref="BQ70:BQ104" si="110">BP70^2</f>
        <v>0</v>
      </c>
      <c r="BR70" s="15">
        <f t="shared" ref="BR70:BR104" si="111">BP70*BN70</f>
        <v>0</v>
      </c>
      <c r="BS70" s="127">
        <f t="shared" ref="BS70:BS104" ca="1" si="112">BM$116*$V70+BM$117</f>
        <v>3.5562137101960687</v>
      </c>
      <c r="BT70" s="127">
        <f ca="1">EXP(BS70)</f>
        <v>35.030310822102123</v>
      </c>
      <c r="BZ70" s="583">
        <f t="shared" ref="BZ70:BZ104" si="113">IF(OR(CA70&lt;BX$12,CA70&gt;BX$13),0,1)</f>
        <v>0</v>
      </c>
      <c r="CA70" s="121">
        <f t="shared" ref="CA70:CA104" si="114">+CA8</f>
        <v>44317</v>
      </c>
      <c r="CB70" s="127">
        <f t="shared" ref="CB70:CB104" si="115">+BZ70*Q8</f>
        <v>0</v>
      </c>
      <c r="CC70" s="15">
        <f t="shared" ref="CC70:CC104" si="116">IF(CB70=0,0,LN(CB70))</f>
        <v>0</v>
      </c>
      <c r="CD70" s="98">
        <f t="shared" ref="CD70:CD104" si="117">IF(CC70&gt;0,1,0)</f>
        <v>0</v>
      </c>
      <c r="CE70" s="128">
        <f>IF(CD70&gt;0,2,0)</f>
        <v>0</v>
      </c>
      <c r="CF70" s="128">
        <f t="shared" ref="CF70:CF104" si="118">CE70^2</f>
        <v>0</v>
      </c>
      <c r="CG70" s="15">
        <f t="shared" ref="CG70:CG104" si="119">CE70*CC70</f>
        <v>0</v>
      </c>
      <c r="CH70" s="127">
        <f t="shared" ref="CH70:CH104" ca="1" si="120">CB$116*$V70+CB$117</f>
        <v>3.6091374430363836</v>
      </c>
      <c r="CI70" s="127">
        <f ca="1">EXP(CH70)</f>
        <v>36.934181236051828</v>
      </c>
      <c r="DQ70" s="121">
        <f t="shared" ref="DQ70:DQ104" si="121">+$X70</f>
        <v>44317</v>
      </c>
      <c r="DR70" s="98">
        <f t="shared" ref="DR70:DR104" si="122">IF($Y70&gt;0,1,0)</f>
        <v>1</v>
      </c>
      <c r="DS70" s="73">
        <f t="shared" ref="DS70:DS104" si="123">+Y70</f>
        <v>36.591966235234068</v>
      </c>
      <c r="DT70" s="295"/>
      <c r="DU70" s="295"/>
      <c r="DX70" s="121">
        <f t="shared" ref="DX70:DX104" si="124">+$X70</f>
        <v>44317</v>
      </c>
      <c r="DY70" s="2"/>
      <c r="DZ70" s="120"/>
      <c r="EA70" s="66"/>
      <c r="EC70" s="121">
        <f t="shared" ref="EC70:EC104" si="125">+$X70</f>
        <v>44317</v>
      </c>
      <c r="ED70" s="2"/>
      <c r="EE70" s="120"/>
      <c r="EF70" s="66"/>
      <c r="EH70" s="121">
        <f t="shared" ref="EH70:EH104" si="126">+$X70</f>
        <v>44317</v>
      </c>
      <c r="EI70" s="2"/>
      <c r="EJ70" s="120"/>
      <c r="EK70" s="66"/>
    </row>
    <row r="71" spans="22:141" x14ac:dyDescent="0.2">
      <c r="V71" s="2">
        <v>3</v>
      </c>
      <c r="X71" s="121">
        <f t="shared" si="82"/>
        <v>44348</v>
      </c>
      <c r="Y71" s="73">
        <f t="shared" si="83"/>
        <v>38.790531392615186</v>
      </c>
      <c r="Z71" s="15">
        <f t="shared" si="84"/>
        <v>3.6581761805747268</v>
      </c>
      <c r="AA71" s="98">
        <f t="shared" si="85"/>
        <v>1</v>
      </c>
      <c r="AB71" s="128">
        <f>IF(AA71&gt;0,3,0)</f>
        <v>3</v>
      </c>
      <c r="AC71" s="128">
        <f t="shared" si="86"/>
        <v>9</v>
      </c>
      <c r="AD71" s="15">
        <f t="shared" si="87"/>
        <v>10.97452854172418</v>
      </c>
      <c r="AE71" s="127">
        <f t="shared" ca="1" si="88"/>
        <v>3.6969529014318043</v>
      </c>
      <c r="AF71" s="127">
        <f ca="1">EXP(AE71)</f>
        <v>40.324245019050558</v>
      </c>
      <c r="AH71" s="121">
        <f t="shared" si="89"/>
        <v>44348</v>
      </c>
      <c r="AI71" s="73">
        <f t="shared" si="81"/>
        <v>38.577628749314165</v>
      </c>
      <c r="AJ71" s="15">
        <f t="shared" si="90"/>
        <v>3.6526725423775011</v>
      </c>
      <c r="AK71" s="98">
        <f t="shared" si="91"/>
        <v>1</v>
      </c>
      <c r="AL71" s="128">
        <f>IF(AK71&gt;0,3,0)</f>
        <v>3</v>
      </c>
      <c r="AM71" s="128">
        <f t="shared" si="92"/>
        <v>9</v>
      </c>
      <c r="AN71" s="15">
        <f t="shared" si="93"/>
        <v>10.958017627132502</v>
      </c>
      <c r="AO71" s="127">
        <f t="shared" ca="1" si="94"/>
        <v>3.713831848618169</v>
      </c>
      <c r="AP71" s="127">
        <f ca="1">EXP(AO71)</f>
        <v>41.010652442064291</v>
      </c>
      <c r="AR71" s="121">
        <f t="shared" si="95"/>
        <v>44348</v>
      </c>
      <c r="AS71" s="131">
        <v>0</v>
      </c>
      <c r="AT71" s="15">
        <f t="shared" si="96"/>
        <v>0</v>
      </c>
      <c r="AU71" s="98">
        <f t="shared" si="97"/>
        <v>0</v>
      </c>
      <c r="AV71" s="128">
        <f>IF(AU71&gt;0,3,0)</f>
        <v>0</v>
      </c>
      <c r="AW71" s="128">
        <f t="shared" si="98"/>
        <v>0</v>
      </c>
      <c r="AX71" s="15">
        <f t="shared" si="99"/>
        <v>0</v>
      </c>
      <c r="AY71" s="127">
        <f t="shared" ca="1" si="100"/>
        <v>3.6027706430845763</v>
      </c>
      <c r="AZ71" s="127">
        <f ca="1">EXP(AY71)</f>
        <v>36.699775691168185</v>
      </c>
      <c r="BB71" s="121">
        <f t="shared" si="101"/>
        <v>44348</v>
      </c>
      <c r="BC71" s="131">
        <v>0</v>
      </c>
      <c r="BD71" s="15">
        <f t="shared" si="102"/>
        <v>0</v>
      </c>
      <c r="BE71" s="98">
        <f t="shared" si="103"/>
        <v>0</v>
      </c>
      <c r="BF71" s="128">
        <f>IF(BE71&gt;0,3,0)</f>
        <v>0</v>
      </c>
      <c r="BG71" s="128">
        <f t="shared" si="104"/>
        <v>0</v>
      </c>
      <c r="BH71" s="15">
        <f t="shared" si="105"/>
        <v>0</v>
      </c>
      <c r="BI71" s="127">
        <f t="shared" ca="1" si="106"/>
        <v>3.6606196931354815</v>
      </c>
      <c r="BJ71" s="127">
        <f ca="1">EXP(BI71)</f>
        <v>38.885432442045321</v>
      </c>
      <c r="BL71" s="121">
        <f t="shared" si="107"/>
        <v>44348</v>
      </c>
      <c r="BM71" s="131">
        <v>0</v>
      </c>
      <c r="BN71" s="15">
        <f t="shared" si="108"/>
        <v>0</v>
      </c>
      <c r="BO71" s="98">
        <f t="shared" si="109"/>
        <v>0</v>
      </c>
      <c r="BP71" s="128">
        <f>IF(BO71&gt;0,3,0)</f>
        <v>0</v>
      </c>
      <c r="BQ71" s="128">
        <f t="shared" si="110"/>
        <v>0</v>
      </c>
      <c r="BR71" s="15">
        <f t="shared" si="111"/>
        <v>0</v>
      </c>
      <c r="BS71" s="127">
        <f t="shared" ca="1" si="112"/>
        <v>3.561341354448202</v>
      </c>
      <c r="BT71" s="127">
        <f ca="1">EXP(BS71)</f>
        <v>35.210395103529272</v>
      </c>
      <c r="BZ71" s="583">
        <f t="shared" si="113"/>
        <v>0</v>
      </c>
      <c r="CA71" s="121">
        <f t="shared" si="114"/>
        <v>44348</v>
      </c>
      <c r="CB71" s="127">
        <f t="shared" si="115"/>
        <v>0</v>
      </c>
      <c r="CC71" s="15">
        <f t="shared" si="116"/>
        <v>0</v>
      </c>
      <c r="CD71" s="98">
        <f t="shared" si="117"/>
        <v>0</v>
      </c>
      <c r="CE71" s="128">
        <f>IF(CD71&gt;0,3,0)</f>
        <v>0</v>
      </c>
      <c r="CF71" s="128">
        <f t="shared" si="118"/>
        <v>0</v>
      </c>
      <c r="CG71" s="15">
        <f t="shared" si="119"/>
        <v>0</v>
      </c>
      <c r="CH71" s="127">
        <f t="shared" ca="1" si="120"/>
        <v>3.612744322059263</v>
      </c>
      <c r="CI71" s="127">
        <f ca="1">EXP(CH71)</f>
        <v>37.067638897713906</v>
      </c>
      <c r="DQ71" s="121">
        <f t="shared" si="121"/>
        <v>44348</v>
      </c>
      <c r="DR71" s="98">
        <f t="shared" si="122"/>
        <v>1</v>
      </c>
      <c r="DS71" s="73">
        <f t="shared" si="123"/>
        <v>38.790531392615186</v>
      </c>
      <c r="DT71" s="295">
        <f t="shared" ref="DT71:DT103" ca="1" si="127">+AP71</f>
        <v>41.010652442064291</v>
      </c>
      <c r="DU71" s="295">
        <f t="shared" ref="DU71:DU104" ca="1" si="128">+DS71-DT71</f>
        <v>-2.220121049449105</v>
      </c>
      <c r="DX71" s="121">
        <f t="shared" si="124"/>
        <v>44348</v>
      </c>
      <c r="DY71" s="2"/>
      <c r="DZ71" s="120"/>
      <c r="EA71" s="66"/>
      <c r="EC71" s="121">
        <f t="shared" si="125"/>
        <v>44348</v>
      </c>
      <c r="ED71" s="2"/>
      <c r="EE71" s="120"/>
      <c r="EF71" s="66"/>
      <c r="EH71" s="121">
        <f t="shared" si="126"/>
        <v>44348</v>
      </c>
      <c r="EI71" s="2"/>
      <c r="EJ71" s="120"/>
      <c r="EK71" s="66"/>
    </row>
    <row r="72" spans="22:141" x14ac:dyDescent="0.2">
      <c r="V72" s="2">
        <v>4</v>
      </c>
      <c r="X72" s="121">
        <f t="shared" si="82"/>
        <v>44378</v>
      </c>
      <c r="Y72" s="73">
        <f t="shared" si="83"/>
        <v>40.350388620093234</v>
      </c>
      <c r="Z72" s="15">
        <f t="shared" si="84"/>
        <v>3.6976010258986545</v>
      </c>
      <c r="AA72" s="98">
        <f t="shared" si="85"/>
        <v>1</v>
      </c>
      <c r="AB72" s="128">
        <f>IF(AA72&gt;0,4,0)</f>
        <v>4</v>
      </c>
      <c r="AC72" s="128">
        <f t="shared" si="86"/>
        <v>16</v>
      </c>
      <c r="AD72" s="15">
        <f t="shared" si="87"/>
        <v>14.790404103594618</v>
      </c>
      <c r="AE72" s="127">
        <f t="shared" ca="1" si="88"/>
        <v>3.6964738277525671</v>
      </c>
      <c r="AF72" s="127">
        <f ca="1">EXP(AE72)</f>
        <v>40.304931361328741</v>
      </c>
      <c r="AH72" s="121">
        <f t="shared" si="89"/>
        <v>44378</v>
      </c>
      <c r="AI72" s="73">
        <f t="shared" si="81"/>
        <v>42.313181658837323</v>
      </c>
      <c r="AJ72" s="15">
        <f t="shared" si="90"/>
        <v>3.7450986606481886</v>
      </c>
      <c r="AK72" s="98">
        <f t="shared" si="91"/>
        <v>1</v>
      </c>
      <c r="AL72" s="128">
        <f>IF(AK72&gt;0,4,0)</f>
        <v>4</v>
      </c>
      <c r="AM72" s="128">
        <f t="shared" si="92"/>
        <v>16</v>
      </c>
      <c r="AN72" s="15">
        <f t="shared" si="93"/>
        <v>14.980394642592755</v>
      </c>
      <c r="AO72" s="127">
        <f t="shared" ca="1" si="94"/>
        <v>3.7126484953096699</v>
      </c>
      <c r="AP72" s="127">
        <f ca="1">EXP(AO72)</f>
        <v>40.962151053612324</v>
      </c>
      <c r="AR72" s="121">
        <f t="shared" si="95"/>
        <v>44378</v>
      </c>
      <c r="AS72" s="131">
        <v>0</v>
      </c>
      <c r="AT72" s="15">
        <f t="shared" si="96"/>
        <v>0</v>
      </c>
      <c r="AU72" s="98">
        <f t="shared" si="97"/>
        <v>0</v>
      </c>
      <c r="AV72" s="128">
        <f>IF(AU72&gt;0,4,0)</f>
        <v>0</v>
      </c>
      <c r="AW72" s="128">
        <f t="shared" si="98"/>
        <v>0</v>
      </c>
      <c r="AX72" s="15">
        <f t="shared" si="99"/>
        <v>0</v>
      </c>
      <c r="AY72" s="127">
        <f t="shared" ca="1" si="100"/>
        <v>3.6064594432489883</v>
      </c>
      <c r="AZ72" s="127">
        <f ca="1">EXP(AY72)</f>
        <v>36.835403828525578</v>
      </c>
      <c r="BB72" s="121">
        <f t="shared" si="101"/>
        <v>44378</v>
      </c>
      <c r="BC72" s="131">
        <v>0</v>
      </c>
      <c r="BD72" s="15">
        <f t="shared" si="102"/>
        <v>0</v>
      </c>
      <c r="BE72" s="98">
        <f t="shared" si="103"/>
        <v>0</v>
      </c>
      <c r="BF72" s="128">
        <f>IF(BE72&gt;0,4,0)</f>
        <v>0</v>
      </c>
      <c r="BG72" s="128">
        <f t="shared" si="104"/>
        <v>0</v>
      </c>
      <c r="BH72" s="15">
        <f t="shared" si="105"/>
        <v>0</v>
      </c>
      <c r="BI72" s="127">
        <f t="shared" ca="1" si="106"/>
        <v>3.6618804839688135</v>
      </c>
      <c r="BJ72" s="127">
        <f ca="1">EXP(BI72)</f>
        <v>38.934489757826995</v>
      </c>
      <c r="BL72" s="121">
        <f t="shared" si="107"/>
        <v>44378</v>
      </c>
      <c r="BM72" s="131">
        <v>0</v>
      </c>
      <c r="BN72" s="15">
        <f t="shared" si="108"/>
        <v>0</v>
      </c>
      <c r="BO72" s="98">
        <f t="shared" si="109"/>
        <v>0</v>
      </c>
      <c r="BP72" s="128">
        <f>IF(BO72&gt;0,4,0)</f>
        <v>0</v>
      </c>
      <c r="BQ72" s="128">
        <f t="shared" si="110"/>
        <v>0</v>
      </c>
      <c r="BR72" s="15">
        <f t="shared" si="111"/>
        <v>0</v>
      </c>
      <c r="BS72" s="127">
        <f t="shared" ca="1" si="112"/>
        <v>3.5664689987003353</v>
      </c>
      <c r="BT72" s="127">
        <f ca="1">EXP(BS72)</f>
        <v>35.391405164592854</v>
      </c>
      <c r="BZ72" s="583">
        <f t="shared" si="113"/>
        <v>0</v>
      </c>
      <c r="CA72" s="121">
        <f t="shared" si="114"/>
        <v>44378</v>
      </c>
      <c r="CB72" s="127">
        <f t="shared" si="115"/>
        <v>0</v>
      </c>
      <c r="CC72" s="15">
        <f t="shared" si="116"/>
        <v>0</v>
      </c>
      <c r="CD72" s="98">
        <f t="shared" si="117"/>
        <v>0</v>
      </c>
      <c r="CE72" s="128">
        <f>IF(CD72&gt;0,4,0)</f>
        <v>0</v>
      </c>
      <c r="CF72" s="128">
        <f t="shared" si="118"/>
        <v>0</v>
      </c>
      <c r="CG72" s="15">
        <f t="shared" si="119"/>
        <v>0</v>
      </c>
      <c r="CH72" s="127">
        <f t="shared" ca="1" si="120"/>
        <v>3.6163512010821424</v>
      </c>
      <c r="CI72" s="127">
        <f ca="1">EXP(CH72)</f>
        <v>37.201578794174765</v>
      </c>
      <c r="DQ72" s="121">
        <f t="shared" si="121"/>
        <v>44378</v>
      </c>
      <c r="DR72" s="98">
        <f t="shared" si="122"/>
        <v>1</v>
      </c>
      <c r="DS72" s="73">
        <f t="shared" si="123"/>
        <v>40.350388620093234</v>
      </c>
      <c r="DT72" s="295">
        <f t="shared" ca="1" si="127"/>
        <v>40.962151053612324</v>
      </c>
      <c r="DU72" s="295">
        <f t="shared" ca="1" si="128"/>
        <v>-0.61176243351908965</v>
      </c>
      <c r="DX72" s="121">
        <f t="shared" si="124"/>
        <v>44378</v>
      </c>
      <c r="DY72" s="2"/>
      <c r="DZ72" s="120"/>
      <c r="EA72" s="66"/>
      <c r="EC72" s="121">
        <f t="shared" si="125"/>
        <v>44378</v>
      </c>
      <c r="ED72" s="2"/>
      <c r="EE72" s="120"/>
      <c r="EF72" s="66"/>
      <c r="EH72" s="121">
        <f t="shared" si="126"/>
        <v>44378</v>
      </c>
      <c r="EI72" s="2"/>
      <c r="EJ72" s="120"/>
      <c r="EK72" s="66"/>
    </row>
    <row r="73" spans="22:141" x14ac:dyDescent="0.2">
      <c r="V73" s="2">
        <v>5</v>
      </c>
      <c r="X73" s="121">
        <f t="shared" si="82"/>
        <v>44409</v>
      </c>
      <c r="Y73" s="73">
        <f t="shared" si="83"/>
        <v>47.798624963803547</v>
      </c>
      <c r="Z73" s="15">
        <f t="shared" si="84"/>
        <v>3.8669968726360238</v>
      </c>
      <c r="AA73" s="98">
        <f t="shared" si="85"/>
        <v>1</v>
      </c>
      <c r="AB73" s="128">
        <f>IF(AA73&gt;0,5,0)</f>
        <v>5</v>
      </c>
      <c r="AC73" s="128">
        <f t="shared" si="86"/>
        <v>25</v>
      </c>
      <c r="AD73" s="15">
        <f t="shared" si="87"/>
        <v>19.334984363180119</v>
      </c>
      <c r="AE73" s="127">
        <f t="shared" ca="1" si="88"/>
        <v>3.6959947540733298</v>
      </c>
      <c r="AF73" s="127">
        <f t="shared" ref="AF73:AF104" ca="1" si="129">EXP(AE73)</f>
        <v>40.285626954055992</v>
      </c>
      <c r="AH73" s="121">
        <f t="shared" si="89"/>
        <v>44409</v>
      </c>
      <c r="AI73" s="73">
        <f t="shared" si="81"/>
        <v>44.795601437525484</v>
      </c>
      <c r="AJ73" s="15">
        <f t="shared" si="90"/>
        <v>3.80210995240266</v>
      </c>
      <c r="AK73" s="98">
        <f t="shared" si="91"/>
        <v>1</v>
      </c>
      <c r="AL73" s="128">
        <f>IF(AK73&gt;0,5,0)</f>
        <v>5</v>
      </c>
      <c r="AM73" s="128">
        <f t="shared" si="92"/>
        <v>25</v>
      </c>
      <c r="AN73" s="15">
        <f t="shared" si="93"/>
        <v>19.010549762013301</v>
      </c>
      <c r="AO73" s="127">
        <f t="shared" ca="1" si="94"/>
        <v>3.7114651420011704</v>
      </c>
      <c r="AP73" s="127">
        <f t="shared" ref="AP73:AP104" ca="1" si="130">EXP(AO73)</f>
        <v>40.913707025493366</v>
      </c>
      <c r="AR73" s="121">
        <f t="shared" si="95"/>
        <v>44409</v>
      </c>
      <c r="AS73" s="131">
        <v>0</v>
      </c>
      <c r="AT73" s="15">
        <f t="shared" si="96"/>
        <v>0</v>
      </c>
      <c r="AU73" s="98">
        <f t="shared" si="97"/>
        <v>0</v>
      </c>
      <c r="AV73" s="128">
        <f>IF(AU73&gt;0,5,0)</f>
        <v>0</v>
      </c>
      <c r="AW73" s="128">
        <f t="shared" si="98"/>
        <v>0</v>
      </c>
      <c r="AX73" s="15">
        <f t="shared" si="99"/>
        <v>0</v>
      </c>
      <c r="AY73" s="127">
        <f t="shared" ca="1" si="100"/>
        <v>3.6101482434133998</v>
      </c>
      <c r="AZ73" s="127">
        <f t="shared" ref="AZ73:AZ104" ca="1" si="131">EXP(AY73)</f>
        <v>36.971533194876777</v>
      </c>
      <c r="BB73" s="121">
        <f t="shared" si="101"/>
        <v>44409</v>
      </c>
      <c r="BC73" s="131">
        <v>0</v>
      </c>
      <c r="BD73" s="15">
        <f t="shared" si="102"/>
        <v>0</v>
      </c>
      <c r="BE73" s="98">
        <f t="shared" si="103"/>
        <v>0</v>
      </c>
      <c r="BF73" s="128">
        <f>IF(BE73&gt;0,5,0)</f>
        <v>0</v>
      </c>
      <c r="BG73" s="128">
        <f t="shared" si="104"/>
        <v>0</v>
      </c>
      <c r="BH73" s="15">
        <f t="shared" si="105"/>
        <v>0</v>
      </c>
      <c r="BI73" s="127">
        <f t="shared" ca="1" si="106"/>
        <v>3.6631412748021455</v>
      </c>
      <c r="BJ73" s="127">
        <f t="shared" ref="BJ73:BJ104" ca="1" si="132">EXP(BI73)</f>
        <v>38.983608963629699</v>
      </c>
      <c r="BL73" s="121">
        <f t="shared" si="107"/>
        <v>44409</v>
      </c>
      <c r="BM73" s="131">
        <v>0</v>
      </c>
      <c r="BN73" s="15">
        <f t="shared" si="108"/>
        <v>0</v>
      </c>
      <c r="BO73" s="98">
        <f t="shared" si="109"/>
        <v>0</v>
      </c>
      <c r="BP73" s="128">
        <f>IF(BO73&gt;0,5,0)</f>
        <v>0</v>
      </c>
      <c r="BQ73" s="128">
        <f t="shared" si="110"/>
        <v>0</v>
      </c>
      <c r="BR73" s="15">
        <f t="shared" si="111"/>
        <v>0</v>
      </c>
      <c r="BS73" s="127">
        <f t="shared" ca="1" si="112"/>
        <v>3.571596642952469</v>
      </c>
      <c r="BT73" s="127">
        <f t="shared" ref="BT73:BT104" ca="1" si="133">EXP(BS73)</f>
        <v>35.57334576455299</v>
      </c>
      <c r="BZ73" s="583">
        <f t="shared" si="113"/>
        <v>0</v>
      </c>
      <c r="CA73" s="121">
        <f t="shared" si="114"/>
        <v>44409</v>
      </c>
      <c r="CB73" s="127">
        <f t="shared" si="115"/>
        <v>0</v>
      </c>
      <c r="CC73" s="15">
        <f t="shared" si="116"/>
        <v>0</v>
      </c>
      <c r="CD73" s="98">
        <f t="shared" si="117"/>
        <v>0</v>
      </c>
      <c r="CE73" s="128">
        <f>IF(CD73&gt;0,5,0)</f>
        <v>0</v>
      </c>
      <c r="CF73" s="128">
        <f t="shared" si="118"/>
        <v>0</v>
      </c>
      <c r="CG73" s="15">
        <f t="shared" si="119"/>
        <v>0</v>
      </c>
      <c r="CH73" s="127">
        <f t="shared" ca="1" si="120"/>
        <v>3.6199580801050217</v>
      </c>
      <c r="CI73" s="127">
        <f t="shared" ref="CI73:CI104" ca="1" si="134">EXP(CH73)</f>
        <v>37.336002667937585</v>
      </c>
      <c r="DQ73" s="121">
        <f t="shared" si="121"/>
        <v>44409</v>
      </c>
      <c r="DR73" s="98">
        <f t="shared" si="122"/>
        <v>1</v>
      </c>
      <c r="DS73" s="73">
        <f t="shared" si="123"/>
        <v>47.798624963803547</v>
      </c>
      <c r="DT73" s="295">
        <f t="shared" ca="1" si="127"/>
        <v>40.913707025493366</v>
      </c>
      <c r="DU73" s="295">
        <f t="shared" ca="1" si="128"/>
        <v>6.8849179383101813</v>
      </c>
      <c r="DX73" s="121">
        <f t="shared" si="124"/>
        <v>44409</v>
      </c>
      <c r="DY73" s="2"/>
      <c r="DZ73" s="120"/>
      <c r="EA73" s="66"/>
      <c r="EC73" s="121">
        <f t="shared" si="125"/>
        <v>44409</v>
      </c>
      <c r="ED73" s="2"/>
      <c r="EE73" s="120"/>
      <c r="EF73" s="66"/>
      <c r="EH73" s="121">
        <f t="shared" si="126"/>
        <v>44409</v>
      </c>
      <c r="EI73" s="2"/>
      <c r="EJ73" s="120"/>
      <c r="EK73" s="66"/>
    </row>
    <row r="74" spans="22:141" x14ac:dyDescent="0.2">
      <c r="V74" s="2">
        <v>6</v>
      </c>
      <c r="X74" s="121">
        <f t="shared" si="82"/>
        <v>44440</v>
      </c>
      <c r="Y74" s="73">
        <f t="shared" si="83"/>
        <v>46.237790728679677</v>
      </c>
      <c r="Z74" s="15">
        <f t="shared" si="84"/>
        <v>3.8337974448636962</v>
      </c>
      <c r="AA74" s="98">
        <f t="shared" si="85"/>
        <v>1</v>
      </c>
      <c r="AB74" s="128">
        <f>IF(AA74&gt;0,6,0)</f>
        <v>6</v>
      </c>
      <c r="AC74" s="128">
        <f t="shared" si="86"/>
        <v>36</v>
      </c>
      <c r="AD74" s="15">
        <f t="shared" si="87"/>
        <v>23.002784669182176</v>
      </c>
      <c r="AE74" s="127">
        <f t="shared" ca="1" si="88"/>
        <v>3.6955156803940929</v>
      </c>
      <c r="AF74" s="127">
        <f t="shared" ca="1" si="129"/>
        <v>40.266331792801736</v>
      </c>
      <c r="AH74" s="121">
        <f t="shared" si="89"/>
        <v>44440</v>
      </c>
      <c r="AI74" s="73">
        <f t="shared" si="81"/>
        <v>47.219513754038104</v>
      </c>
      <c r="AJ74" s="15">
        <f t="shared" si="90"/>
        <v>3.8548072341464508</v>
      </c>
      <c r="AK74" s="98">
        <f t="shared" si="91"/>
        <v>1</v>
      </c>
      <c r="AL74" s="128">
        <f>IF(AK74&gt;0,6,0)</f>
        <v>6</v>
      </c>
      <c r="AM74" s="128">
        <f t="shared" si="92"/>
        <v>36</v>
      </c>
      <c r="AN74" s="15">
        <f t="shared" si="93"/>
        <v>23.128843404878705</v>
      </c>
      <c r="AO74" s="127">
        <f t="shared" ca="1" si="94"/>
        <v>3.7102817886926709</v>
      </c>
      <c r="AP74" s="127">
        <f t="shared" ca="1" si="130"/>
        <v>40.865320289870041</v>
      </c>
      <c r="AR74" s="121">
        <f t="shared" si="95"/>
        <v>44440</v>
      </c>
      <c r="AS74" s="131">
        <v>0</v>
      </c>
      <c r="AT74" s="15">
        <f t="shared" si="96"/>
        <v>0</v>
      </c>
      <c r="AU74" s="98">
        <f t="shared" si="97"/>
        <v>0</v>
      </c>
      <c r="AV74" s="128">
        <f>IF(AU74&gt;0,6,0)</f>
        <v>0</v>
      </c>
      <c r="AW74" s="128">
        <f t="shared" si="98"/>
        <v>0</v>
      </c>
      <c r="AX74" s="15">
        <f t="shared" si="99"/>
        <v>0</v>
      </c>
      <c r="AY74" s="127">
        <f t="shared" ca="1" si="100"/>
        <v>3.6138370435778118</v>
      </c>
      <c r="AZ74" s="127">
        <f t="shared" ca="1" si="131"/>
        <v>37.10816564256978</v>
      </c>
      <c r="BB74" s="121">
        <f t="shared" si="101"/>
        <v>44440</v>
      </c>
      <c r="BC74" s="131">
        <v>0</v>
      </c>
      <c r="BD74" s="15">
        <f t="shared" si="102"/>
        <v>0</v>
      </c>
      <c r="BE74" s="98">
        <f t="shared" si="103"/>
        <v>0</v>
      </c>
      <c r="BF74" s="128">
        <f>IF(BE74&gt;0,6,0)</f>
        <v>0</v>
      </c>
      <c r="BG74" s="128">
        <f t="shared" si="104"/>
        <v>0</v>
      </c>
      <c r="BH74" s="15">
        <f t="shared" si="105"/>
        <v>0</v>
      </c>
      <c r="BI74" s="127">
        <f t="shared" ca="1" si="106"/>
        <v>3.664402065635477</v>
      </c>
      <c r="BJ74" s="127">
        <f t="shared" ca="1" si="132"/>
        <v>39.032790137532999</v>
      </c>
      <c r="BL74" s="121">
        <f t="shared" si="107"/>
        <v>44440</v>
      </c>
      <c r="BM74" s="131">
        <v>0</v>
      </c>
      <c r="BN74" s="15">
        <f t="shared" si="108"/>
        <v>0</v>
      </c>
      <c r="BO74" s="98">
        <f t="shared" si="109"/>
        <v>0</v>
      </c>
      <c r="BP74" s="128">
        <f>IF(BO74&gt;0,6,0)</f>
        <v>0</v>
      </c>
      <c r="BQ74" s="128">
        <f t="shared" si="110"/>
        <v>0</v>
      </c>
      <c r="BR74" s="15">
        <f t="shared" si="111"/>
        <v>0</v>
      </c>
      <c r="BS74" s="127">
        <f t="shared" ca="1" si="112"/>
        <v>3.5767242872046023</v>
      </c>
      <c r="BT74" s="127">
        <f t="shared" ca="1" si="133"/>
        <v>35.756221687136211</v>
      </c>
      <c r="BZ74" s="583">
        <f t="shared" si="113"/>
        <v>0</v>
      </c>
      <c r="CA74" s="121">
        <f t="shared" si="114"/>
        <v>44440</v>
      </c>
      <c r="CB74" s="127">
        <f t="shared" si="115"/>
        <v>0</v>
      </c>
      <c r="CC74" s="15">
        <f t="shared" si="116"/>
        <v>0</v>
      </c>
      <c r="CD74" s="98">
        <f t="shared" si="117"/>
        <v>0</v>
      </c>
      <c r="CE74" s="128">
        <f>IF(CD74&gt;0,6,0)</f>
        <v>0</v>
      </c>
      <c r="CF74" s="128">
        <f t="shared" si="118"/>
        <v>0</v>
      </c>
      <c r="CG74" s="15">
        <f t="shared" si="119"/>
        <v>0</v>
      </c>
      <c r="CH74" s="127">
        <f t="shared" ca="1" si="120"/>
        <v>3.6235649591279011</v>
      </c>
      <c r="CI74" s="127">
        <f t="shared" ca="1" si="134"/>
        <v>37.470912267801907</v>
      </c>
      <c r="DQ74" s="121">
        <f t="shared" si="121"/>
        <v>44440</v>
      </c>
      <c r="DR74" s="98">
        <f t="shared" si="122"/>
        <v>1</v>
      </c>
      <c r="DS74" s="73">
        <f t="shared" si="123"/>
        <v>46.237790728679677</v>
      </c>
      <c r="DT74" s="295">
        <f t="shared" ca="1" si="127"/>
        <v>40.865320289870041</v>
      </c>
      <c r="DU74" s="295">
        <f t="shared" ca="1" si="128"/>
        <v>5.3724704388096356</v>
      </c>
      <c r="DX74" s="121">
        <f t="shared" si="124"/>
        <v>44440</v>
      </c>
      <c r="DY74" s="2"/>
      <c r="DZ74" s="120"/>
      <c r="EA74" s="66"/>
      <c r="EC74" s="121">
        <f t="shared" si="125"/>
        <v>44440</v>
      </c>
      <c r="ED74" s="2"/>
      <c r="EE74" s="120"/>
      <c r="EF74" s="66"/>
      <c r="EH74" s="121">
        <f t="shared" si="126"/>
        <v>44440</v>
      </c>
      <c r="EI74" s="2"/>
      <c r="EJ74" s="120"/>
      <c r="EK74" s="66"/>
    </row>
    <row r="75" spans="22:141" x14ac:dyDescent="0.2">
      <c r="V75" s="2">
        <v>7</v>
      </c>
      <c r="X75" s="121">
        <f t="shared" si="82"/>
        <v>44470</v>
      </c>
      <c r="Y75" s="73">
        <f t="shared" si="83"/>
        <v>47.622125569631088</v>
      </c>
      <c r="Z75" s="15">
        <f t="shared" si="84"/>
        <v>3.8632974761320886</v>
      </c>
      <c r="AA75" s="98">
        <f t="shared" si="85"/>
        <v>1</v>
      </c>
      <c r="AB75" s="128">
        <f>IF(AA75&gt;0,7,0)</f>
        <v>7</v>
      </c>
      <c r="AC75" s="128">
        <f t="shared" si="86"/>
        <v>49</v>
      </c>
      <c r="AD75" s="15">
        <f t="shared" si="87"/>
        <v>27.043082332924619</v>
      </c>
      <c r="AE75" s="127">
        <f t="shared" ca="1" si="88"/>
        <v>3.6950366067148557</v>
      </c>
      <c r="AF75" s="127">
        <f t="shared" ca="1" si="129"/>
        <v>40.247045873137473</v>
      </c>
      <c r="AH75" s="121">
        <f t="shared" si="89"/>
        <v>44470</v>
      </c>
      <c r="AI75" s="73">
        <f t="shared" si="81"/>
        <v>47.029073647339999</v>
      </c>
      <c r="AJ75" s="15">
        <f t="shared" si="90"/>
        <v>3.8507659987044938</v>
      </c>
      <c r="AK75" s="98">
        <f t="shared" si="91"/>
        <v>1</v>
      </c>
      <c r="AL75" s="128">
        <f>IF(AK75&gt;0,7,0)</f>
        <v>7</v>
      </c>
      <c r="AM75" s="128">
        <f t="shared" si="92"/>
        <v>49</v>
      </c>
      <c r="AN75" s="15">
        <f t="shared" si="93"/>
        <v>26.955361990931458</v>
      </c>
      <c r="AO75" s="127">
        <f t="shared" ca="1" si="94"/>
        <v>3.7090984353841718</v>
      </c>
      <c r="AP75" s="127">
        <f t="shared" ca="1" si="130"/>
        <v>40.816990778985208</v>
      </c>
      <c r="AR75" s="121">
        <f t="shared" si="95"/>
        <v>44470</v>
      </c>
      <c r="AS75" s="131">
        <v>0</v>
      </c>
      <c r="AT75" s="15">
        <f t="shared" si="96"/>
        <v>0</v>
      </c>
      <c r="AU75" s="98">
        <f t="shared" si="97"/>
        <v>0</v>
      </c>
      <c r="AV75" s="128">
        <f>IF(AU75&gt;0,7,0)</f>
        <v>0</v>
      </c>
      <c r="AW75" s="128">
        <f t="shared" si="98"/>
        <v>0</v>
      </c>
      <c r="AX75" s="15">
        <f t="shared" si="99"/>
        <v>0</v>
      </c>
      <c r="AY75" s="127">
        <f t="shared" ca="1" si="100"/>
        <v>3.6175258437422237</v>
      </c>
      <c r="AZ75" s="127">
        <f t="shared" ca="1" si="131"/>
        <v>37.245303030798084</v>
      </c>
      <c r="BB75" s="121">
        <f t="shared" si="101"/>
        <v>44470</v>
      </c>
      <c r="BC75" s="131">
        <v>0</v>
      </c>
      <c r="BD75" s="15">
        <f t="shared" si="102"/>
        <v>0</v>
      </c>
      <c r="BE75" s="98">
        <f t="shared" si="103"/>
        <v>0</v>
      </c>
      <c r="BF75" s="128">
        <f>IF(BE75&gt;0,7,0)</f>
        <v>0</v>
      </c>
      <c r="BG75" s="128">
        <f t="shared" si="104"/>
        <v>0</v>
      </c>
      <c r="BH75" s="15">
        <f t="shared" si="105"/>
        <v>0</v>
      </c>
      <c r="BI75" s="127">
        <f t="shared" ca="1" si="106"/>
        <v>3.665662856468809</v>
      </c>
      <c r="BJ75" s="127">
        <f t="shared" ca="1" si="132"/>
        <v>39.082033357715012</v>
      </c>
      <c r="BL75" s="121">
        <f t="shared" si="107"/>
        <v>44470</v>
      </c>
      <c r="BM75" s="131">
        <v>0</v>
      </c>
      <c r="BN75" s="15">
        <f t="shared" si="108"/>
        <v>0</v>
      </c>
      <c r="BO75" s="98">
        <f t="shared" si="109"/>
        <v>0</v>
      </c>
      <c r="BP75" s="128">
        <f>IF(BO75&gt;0,7,0)</f>
        <v>0</v>
      </c>
      <c r="BQ75" s="128">
        <f t="shared" si="110"/>
        <v>0</v>
      </c>
      <c r="BR75" s="15">
        <f t="shared" si="111"/>
        <v>0</v>
      </c>
      <c r="BS75" s="127">
        <f t="shared" ca="1" si="112"/>
        <v>3.5818519314567361</v>
      </c>
      <c r="BT75" s="127">
        <f t="shared" ca="1" si="133"/>
        <v>35.940037740661367</v>
      </c>
      <c r="BZ75" s="583">
        <f t="shared" si="113"/>
        <v>0</v>
      </c>
      <c r="CA75" s="121">
        <f t="shared" si="114"/>
        <v>44470</v>
      </c>
      <c r="CB75" s="127">
        <f t="shared" si="115"/>
        <v>0</v>
      </c>
      <c r="CC75" s="15">
        <f t="shared" si="116"/>
        <v>0</v>
      </c>
      <c r="CD75" s="98">
        <f t="shared" si="117"/>
        <v>0</v>
      </c>
      <c r="CE75" s="128">
        <f>IF(CD75&gt;0,7,0)</f>
        <v>0</v>
      </c>
      <c r="CF75" s="128">
        <f t="shared" si="118"/>
        <v>0</v>
      </c>
      <c r="CG75" s="15">
        <f t="shared" si="119"/>
        <v>0</v>
      </c>
      <c r="CH75" s="127">
        <f t="shared" ca="1" si="120"/>
        <v>3.6271718381507805</v>
      </c>
      <c r="CI75" s="127">
        <f t="shared" ca="1" si="134"/>
        <v>37.60630934888637</v>
      </c>
      <c r="DQ75" s="121">
        <f t="shared" si="121"/>
        <v>44470</v>
      </c>
      <c r="DR75" s="98">
        <f t="shared" si="122"/>
        <v>1</v>
      </c>
      <c r="DS75" s="73">
        <f t="shared" si="123"/>
        <v>47.622125569631088</v>
      </c>
      <c r="DT75" s="295">
        <f t="shared" ca="1" si="127"/>
        <v>40.816990778985208</v>
      </c>
      <c r="DU75" s="295">
        <f t="shared" ca="1" si="128"/>
        <v>6.8051347906458801</v>
      </c>
      <c r="DX75" s="121">
        <f t="shared" si="124"/>
        <v>44470</v>
      </c>
      <c r="DY75" s="2"/>
      <c r="DZ75" s="120"/>
      <c r="EA75" s="66"/>
      <c r="EC75" s="121">
        <f t="shared" si="125"/>
        <v>44470</v>
      </c>
      <c r="ED75" s="2"/>
      <c r="EE75" s="120"/>
      <c r="EF75" s="66"/>
      <c r="EH75" s="121">
        <f t="shared" si="126"/>
        <v>44470</v>
      </c>
      <c r="EI75" s="2"/>
      <c r="EJ75" s="120"/>
      <c r="EK75" s="66"/>
    </row>
    <row r="76" spans="22:141" x14ac:dyDescent="0.2">
      <c r="V76" s="2">
        <v>8</v>
      </c>
      <c r="X76" s="121">
        <f t="shared" si="82"/>
        <v>44501</v>
      </c>
      <c r="Y76" s="73">
        <f t="shared" si="83"/>
        <v>47.227304643709218</v>
      </c>
      <c r="Z76" s="15">
        <f t="shared" si="84"/>
        <v>3.8549722135458833</v>
      </c>
      <c r="AA76" s="98">
        <f t="shared" si="85"/>
        <v>1</v>
      </c>
      <c r="AB76" s="128">
        <f>IF(AA76&gt;0,8,0)</f>
        <v>8</v>
      </c>
      <c r="AC76" s="128">
        <f t="shared" si="86"/>
        <v>64</v>
      </c>
      <c r="AD76" s="15">
        <f t="shared" si="87"/>
        <v>30.839777708367066</v>
      </c>
      <c r="AE76" s="127">
        <f t="shared" ca="1" si="88"/>
        <v>3.6945575330356184</v>
      </c>
      <c r="AF76" s="127">
        <f t="shared" ca="1" si="129"/>
        <v>40.227769190636891</v>
      </c>
      <c r="AH76" s="121">
        <f t="shared" si="89"/>
        <v>44501</v>
      </c>
      <c r="AI76" s="73">
        <f t="shared" si="81"/>
        <v>47.93917932115729</v>
      </c>
      <c r="AJ76" s="15">
        <f t="shared" si="90"/>
        <v>3.8699331099852259</v>
      </c>
      <c r="AK76" s="98">
        <f t="shared" si="91"/>
        <v>1</v>
      </c>
      <c r="AL76" s="128">
        <f>IF(AK76&gt;0,8,0)</f>
        <v>8</v>
      </c>
      <c r="AM76" s="128">
        <f t="shared" si="92"/>
        <v>64</v>
      </c>
      <c r="AN76" s="15">
        <f t="shared" si="93"/>
        <v>30.959464879881807</v>
      </c>
      <c r="AO76" s="127">
        <f t="shared" ca="1" si="94"/>
        <v>3.7079150820756723</v>
      </c>
      <c r="AP76" s="127">
        <f t="shared" ca="1" si="130"/>
        <v>40.768718425161786</v>
      </c>
      <c r="AR76" s="121">
        <f t="shared" si="95"/>
        <v>44501</v>
      </c>
      <c r="AS76" s="131">
        <v>0</v>
      </c>
      <c r="AT76" s="15">
        <f t="shared" si="96"/>
        <v>0</v>
      </c>
      <c r="AU76" s="98">
        <f t="shared" si="97"/>
        <v>0</v>
      </c>
      <c r="AV76" s="128">
        <f>IF(AU76&gt;0,8,0)</f>
        <v>0</v>
      </c>
      <c r="AW76" s="128">
        <f t="shared" si="98"/>
        <v>0</v>
      </c>
      <c r="AX76" s="15">
        <f t="shared" si="99"/>
        <v>0</v>
      </c>
      <c r="AY76" s="127">
        <f t="shared" ca="1" si="100"/>
        <v>3.6212146439066357</v>
      </c>
      <c r="AZ76" s="127">
        <f t="shared" ca="1" si="131"/>
        <v>37.382947225626083</v>
      </c>
      <c r="BB76" s="121">
        <f t="shared" si="101"/>
        <v>44501</v>
      </c>
      <c r="BC76" s="131">
        <v>0</v>
      </c>
      <c r="BD76" s="15">
        <f t="shared" si="102"/>
        <v>0</v>
      </c>
      <c r="BE76" s="98">
        <f t="shared" si="103"/>
        <v>0</v>
      </c>
      <c r="BF76" s="128">
        <f>IF(BE76&gt;0,8,0)</f>
        <v>0</v>
      </c>
      <c r="BG76" s="128">
        <f t="shared" si="104"/>
        <v>0</v>
      </c>
      <c r="BH76" s="15">
        <f t="shared" si="105"/>
        <v>0</v>
      </c>
      <c r="BI76" s="127">
        <f t="shared" ca="1" si="106"/>
        <v>3.6669236473021409</v>
      </c>
      <c r="BJ76" s="127">
        <f t="shared" ca="1" si="132"/>
        <v>39.131338702452446</v>
      </c>
      <c r="BL76" s="121">
        <f t="shared" si="107"/>
        <v>44501</v>
      </c>
      <c r="BM76" s="131">
        <v>0</v>
      </c>
      <c r="BN76" s="15">
        <f t="shared" si="108"/>
        <v>0</v>
      </c>
      <c r="BO76" s="98">
        <f t="shared" si="109"/>
        <v>0</v>
      </c>
      <c r="BP76" s="128">
        <f>IF(BO76&gt;0,8,0)</f>
        <v>0</v>
      </c>
      <c r="BQ76" s="128">
        <f t="shared" si="110"/>
        <v>0</v>
      </c>
      <c r="BR76" s="15">
        <f t="shared" si="111"/>
        <v>0</v>
      </c>
      <c r="BS76" s="127">
        <f t="shared" ca="1" si="112"/>
        <v>3.5869795757088694</v>
      </c>
      <c r="BT76" s="127">
        <f t="shared" ca="1" si="133"/>
        <v>36.124798758165902</v>
      </c>
      <c r="BZ76" s="583">
        <f t="shared" si="113"/>
        <v>0</v>
      </c>
      <c r="CA76" s="121">
        <f t="shared" si="114"/>
        <v>44501</v>
      </c>
      <c r="CB76" s="127">
        <f t="shared" si="115"/>
        <v>0</v>
      </c>
      <c r="CC76" s="15">
        <f t="shared" si="116"/>
        <v>0</v>
      </c>
      <c r="CD76" s="98">
        <f t="shared" si="117"/>
        <v>0</v>
      </c>
      <c r="CE76" s="128">
        <f>IF(CD76&gt;0,8,0)</f>
        <v>0</v>
      </c>
      <c r="CF76" s="128">
        <f t="shared" si="118"/>
        <v>0</v>
      </c>
      <c r="CG76" s="15">
        <f t="shared" si="119"/>
        <v>0</v>
      </c>
      <c r="CH76" s="127">
        <f t="shared" ca="1" si="120"/>
        <v>3.6307787171736599</v>
      </c>
      <c r="CI76" s="127">
        <f t="shared" ca="1" si="134"/>
        <v>37.742195672651533</v>
      </c>
      <c r="DQ76" s="121">
        <f t="shared" si="121"/>
        <v>44501</v>
      </c>
      <c r="DR76" s="98">
        <f t="shared" si="122"/>
        <v>1</v>
      </c>
      <c r="DS76" s="73">
        <f t="shared" si="123"/>
        <v>47.227304643709218</v>
      </c>
      <c r="DT76" s="295">
        <f t="shared" ca="1" si="127"/>
        <v>40.768718425161786</v>
      </c>
      <c r="DU76" s="295">
        <f t="shared" ca="1" si="128"/>
        <v>6.4585862185474312</v>
      </c>
      <c r="DX76" s="121">
        <f t="shared" si="124"/>
        <v>44501</v>
      </c>
      <c r="DY76" s="2"/>
      <c r="DZ76" s="120"/>
      <c r="EA76" s="66"/>
      <c r="EC76" s="121">
        <f t="shared" si="125"/>
        <v>44501</v>
      </c>
      <c r="ED76" s="2"/>
      <c r="EE76" s="120"/>
      <c r="EF76" s="66"/>
      <c r="EH76" s="121">
        <f t="shared" si="126"/>
        <v>44501</v>
      </c>
      <c r="EI76" s="2"/>
      <c r="EJ76" s="120"/>
      <c r="EK76" s="66"/>
    </row>
    <row r="77" spans="22:141" x14ac:dyDescent="0.2">
      <c r="V77" s="2">
        <v>9</v>
      </c>
      <c r="X77" s="121">
        <f t="shared" si="82"/>
        <v>44531</v>
      </c>
      <c r="Y77" s="73">
        <f t="shared" si="83"/>
        <v>48.96810775013158</v>
      </c>
      <c r="Z77" s="15">
        <f t="shared" si="84"/>
        <v>3.8911692239656333</v>
      </c>
      <c r="AA77" s="98">
        <f t="shared" si="85"/>
        <v>1</v>
      </c>
      <c r="AB77" s="128">
        <f>IF(AA77&gt;0,9,0)</f>
        <v>9</v>
      </c>
      <c r="AC77" s="128">
        <f t="shared" si="86"/>
        <v>81</v>
      </c>
      <c r="AD77" s="15">
        <f t="shared" si="87"/>
        <v>35.020523015690699</v>
      </c>
      <c r="AE77" s="127">
        <f t="shared" ca="1" si="88"/>
        <v>3.6940784593563811</v>
      </c>
      <c r="AF77" s="127">
        <f t="shared" ca="1" si="129"/>
        <v>40.208501740875754</v>
      </c>
      <c r="AH77" s="121">
        <f t="shared" si="89"/>
        <v>44531</v>
      </c>
      <c r="AI77" s="73">
        <f t="shared" si="81"/>
        <v>42.995812189979681</v>
      </c>
      <c r="AJ77" s="15">
        <f t="shared" si="90"/>
        <v>3.7611027200200526</v>
      </c>
      <c r="AK77" s="98">
        <f t="shared" si="91"/>
        <v>1</v>
      </c>
      <c r="AL77" s="128">
        <f>IF(AK77&gt;0,9,0)</f>
        <v>9</v>
      </c>
      <c r="AM77" s="128">
        <f t="shared" si="92"/>
        <v>81</v>
      </c>
      <c r="AN77" s="15">
        <f t="shared" si="93"/>
        <v>33.849924480180476</v>
      </c>
      <c r="AO77" s="127">
        <f t="shared" ca="1" si="94"/>
        <v>3.7067317287671733</v>
      </c>
      <c r="AP77" s="127">
        <f t="shared" ca="1" si="130"/>
        <v>40.720503160802821</v>
      </c>
      <c r="AR77" s="121">
        <f t="shared" si="95"/>
        <v>44531</v>
      </c>
      <c r="AS77" s="131">
        <v>0</v>
      </c>
      <c r="AT77" s="15">
        <f t="shared" si="96"/>
        <v>0</v>
      </c>
      <c r="AU77" s="98">
        <f t="shared" si="97"/>
        <v>0</v>
      </c>
      <c r="AV77" s="128">
        <f>IF(AU77&gt;0,9,0)</f>
        <v>0</v>
      </c>
      <c r="AW77" s="128">
        <f t="shared" si="98"/>
        <v>0</v>
      </c>
      <c r="AX77" s="15">
        <f t="shared" si="99"/>
        <v>0</v>
      </c>
      <c r="AY77" s="127">
        <f t="shared" ca="1" si="100"/>
        <v>3.6249034440710477</v>
      </c>
      <c r="AZ77" s="127">
        <f t="shared" ca="1" si="131"/>
        <v>37.521100100014401</v>
      </c>
      <c r="BB77" s="121">
        <f t="shared" si="101"/>
        <v>44531</v>
      </c>
      <c r="BC77" s="131">
        <v>0</v>
      </c>
      <c r="BD77" s="15">
        <f t="shared" si="102"/>
        <v>0</v>
      </c>
      <c r="BE77" s="98">
        <f t="shared" si="103"/>
        <v>0</v>
      </c>
      <c r="BF77" s="128">
        <f>IF(BE77&gt;0,9,0)</f>
        <v>0</v>
      </c>
      <c r="BG77" s="128">
        <f t="shared" si="104"/>
        <v>0</v>
      </c>
      <c r="BH77" s="15">
        <f t="shared" si="105"/>
        <v>0</v>
      </c>
      <c r="BI77" s="127">
        <f t="shared" ca="1" si="106"/>
        <v>3.6681844381354729</v>
      </c>
      <c r="BJ77" s="127">
        <f t="shared" ca="1" si="132"/>
        <v>39.180706250120764</v>
      </c>
      <c r="BL77" s="121">
        <f t="shared" si="107"/>
        <v>44531</v>
      </c>
      <c r="BM77" s="131">
        <v>0</v>
      </c>
      <c r="BN77" s="15">
        <f t="shared" si="108"/>
        <v>0</v>
      </c>
      <c r="BO77" s="98">
        <f t="shared" si="109"/>
        <v>0</v>
      </c>
      <c r="BP77" s="128">
        <f>IF(BO77&gt;0,9,0)</f>
        <v>0</v>
      </c>
      <c r="BQ77" s="128">
        <f t="shared" si="110"/>
        <v>0</v>
      </c>
      <c r="BR77" s="15">
        <f t="shared" si="111"/>
        <v>0</v>
      </c>
      <c r="BS77" s="127">
        <f t="shared" ca="1" si="112"/>
        <v>3.5921072199610027</v>
      </c>
      <c r="BT77" s="127">
        <f t="shared" ca="1" si="133"/>
        <v>36.310509597533049</v>
      </c>
      <c r="BZ77" s="583">
        <f t="shared" si="113"/>
        <v>0</v>
      </c>
      <c r="CA77" s="121">
        <f t="shared" si="114"/>
        <v>44531</v>
      </c>
      <c r="CB77" s="127">
        <f t="shared" si="115"/>
        <v>0</v>
      </c>
      <c r="CC77" s="15">
        <f t="shared" si="116"/>
        <v>0</v>
      </c>
      <c r="CD77" s="98">
        <f t="shared" si="117"/>
        <v>0</v>
      </c>
      <c r="CE77" s="128">
        <f>IF(CD77&gt;0,9,0)</f>
        <v>0</v>
      </c>
      <c r="CF77" s="128">
        <f t="shared" si="118"/>
        <v>0</v>
      </c>
      <c r="CG77" s="15">
        <f t="shared" si="119"/>
        <v>0</v>
      </c>
      <c r="CH77" s="127">
        <f t="shared" ca="1" si="120"/>
        <v>3.6343855961965392</v>
      </c>
      <c r="CI77" s="127">
        <f t="shared" ca="1" si="134"/>
        <v>37.878573006922807</v>
      </c>
      <c r="DQ77" s="121">
        <f t="shared" si="121"/>
        <v>44531</v>
      </c>
      <c r="DR77" s="98">
        <f t="shared" si="122"/>
        <v>1</v>
      </c>
      <c r="DS77" s="73">
        <f t="shared" si="123"/>
        <v>48.96810775013158</v>
      </c>
      <c r="DT77" s="295">
        <f t="shared" ca="1" si="127"/>
        <v>40.720503160802821</v>
      </c>
      <c r="DU77" s="295">
        <f t="shared" ca="1" si="128"/>
        <v>8.2476045893287591</v>
      </c>
      <c r="DX77" s="121">
        <f t="shared" si="124"/>
        <v>44531</v>
      </c>
      <c r="DY77" s="2"/>
      <c r="DZ77" s="120"/>
      <c r="EA77" s="66"/>
      <c r="EC77" s="121">
        <f t="shared" si="125"/>
        <v>44531</v>
      </c>
      <c r="ED77" s="2"/>
      <c r="EE77" s="120"/>
      <c r="EF77" s="66"/>
      <c r="EH77" s="121">
        <f t="shared" si="126"/>
        <v>44531</v>
      </c>
      <c r="EI77" s="2"/>
      <c r="EJ77" s="120"/>
      <c r="EK77" s="66"/>
    </row>
    <row r="78" spans="22:141" x14ac:dyDescent="0.2">
      <c r="V78" s="2">
        <v>10</v>
      </c>
      <c r="X78" s="121">
        <f t="shared" si="82"/>
        <v>44562</v>
      </c>
      <c r="Y78" s="73">
        <f t="shared" si="83"/>
        <v>32.792024176098245</v>
      </c>
      <c r="Z78" s="15">
        <f t="shared" si="84"/>
        <v>3.4901853204577491</v>
      </c>
      <c r="AA78" s="98">
        <f t="shared" si="85"/>
        <v>1</v>
      </c>
      <c r="AB78" s="128">
        <f>IF(AA78&gt;0,10,0)</f>
        <v>10</v>
      </c>
      <c r="AC78" s="128">
        <f t="shared" si="86"/>
        <v>100</v>
      </c>
      <c r="AD78" s="15">
        <f t="shared" si="87"/>
        <v>34.901853204577492</v>
      </c>
      <c r="AE78" s="127">
        <f t="shared" ca="1" si="88"/>
        <v>3.6935993856771439</v>
      </c>
      <c r="AF78" s="127">
        <f t="shared" ca="1" si="129"/>
        <v>40.189243519431969</v>
      </c>
      <c r="AH78" s="121">
        <f t="shared" si="89"/>
        <v>44562</v>
      </c>
      <c r="AI78" s="73">
        <f t="shared" si="81"/>
        <v>37.643409092562997</v>
      </c>
      <c r="AJ78" s="15">
        <f t="shared" si="90"/>
        <v>3.6281578816191411</v>
      </c>
      <c r="AK78" s="98">
        <f t="shared" si="91"/>
        <v>1</v>
      </c>
      <c r="AL78" s="128">
        <f>IF(AK78&gt;0,10,0)</f>
        <v>10</v>
      </c>
      <c r="AM78" s="128">
        <f t="shared" si="92"/>
        <v>100</v>
      </c>
      <c r="AN78" s="15">
        <f t="shared" si="93"/>
        <v>36.281578816191413</v>
      </c>
      <c r="AO78" s="127">
        <f t="shared" ca="1" si="94"/>
        <v>3.7055483754586738</v>
      </c>
      <c r="AP78" s="127">
        <f t="shared" ca="1" si="130"/>
        <v>40.672344918391232</v>
      </c>
      <c r="AR78" s="121">
        <f t="shared" si="95"/>
        <v>44562</v>
      </c>
      <c r="AS78" s="131">
        <v>0</v>
      </c>
      <c r="AT78" s="15">
        <f t="shared" si="96"/>
        <v>0</v>
      </c>
      <c r="AU78" s="98">
        <f t="shared" si="97"/>
        <v>0</v>
      </c>
      <c r="AV78" s="128">
        <f>IF(AU78&gt;0,10,0)</f>
        <v>0</v>
      </c>
      <c r="AW78" s="128">
        <f t="shared" si="98"/>
        <v>0</v>
      </c>
      <c r="AX78" s="15">
        <f t="shared" si="99"/>
        <v>0</v>
      </c>
      <c r="AY78" s="127">
        <f t="shared" ca="1" si="100"/>
        <v>3.6285922442354597</v>
      </c>
      <c r="AZ78" s="127">
        <f t="shared" ca="1" si="131"/>
        <v>37.659763533845421</v>
      </c>
      <c r="BB78" s="121">
        <f t="shared" si="101"/>
        <v>44562</v>
      </c>
      <c r="BC78" s="131">
        <v>0</v>
      </c>
      <c r="BD78" s="15">
        <f t="shared" si="102"/>
        <v>0</v>
      </c>
      <c r="BE78" s="98">
        <f t="shared" si="103"/>
        <v>0</v>
      </c>
      <c r="BF78" s="128">
        <f>IF(BE78&gt;0,10,0)</f>
        <v>0</v>
      </c>
      <c r="BG78" s="128">
        <f t="shared" si="104"/>
        <v>0</v>
      </c>
      <c r="BH78" s="15">
        <f t="shared" si="105"/>
        <v>0</v>
      </c>
      <c r="BI78" s="127">
        <f t="shared" ca="1" si="106"/>
        <v>3.6694452289688044</v>
      </c>
      <c r="BJ78" s="127">
        <f t="shared" ca="1" si="132"/>
        <v>39.230136079194288</v>
      </c>
      <c r="BL78" s="121">
        <f t="shared" si="107"/>
        <v>44562</v>
      </c>
      <c r="BM78" s="131">
        <v>0</v>
      </c>
      <c r="BN78" s="15">
        <f t="shared" si="108"/>
        <v>0</v>
      </c>
      <c r="BO78" s="98">
        <f t="shared" si="109"/>
        <v>0</v>
      </c>
      <c r="BP78" s="128">
        <f>IF(BO78&gt;0,10,0)</f>
        <v>0</v>
      </c>
      <c r="BQ78" s="128">
        <f t="shared" si="110"/>
        <v>0</v>
      </c>
      <c r="BR78" s="15">
        <f t="shared" si="111"/>
        <v>0</v>
      </c>
      <c r="BS78" s="127">
        <f t="shared" ca="1" si="112"/>
        <v>3.5972348642131364</v>
      </c>
      <c r="BT78" s="127">
        <f t="shared" ca="1" si="133"/>
        <v>36.497175141619515</v>
      </c>
      <c r="BZ78" s="583">
        <f t="shared" si="113"/>
        <v>0</v>
      </c>
      <c r="CA78" s="121">
        <f t="shared" si="114"/>
        <v>44562</v>
      </c>
      <c r="CB78" s="127">
        <f t="shared" si="115"/>
        <v>0</v>
      </c>
      <c r="CC78" s="15">
        <f t="shared" si="116"/>
        <v>0</v>
      </c>
      <c r="CD78" s="98">
        <f t="shared" si="117"/>
        <v>0</v>
      </c>
      <c r="CE78" s="128">
        <f>IF(CD78&gt;0,10,0)</f>
        <v>0</v>
      </c>
      <c r="CF78" s="128">
        <f t="shared" si="118"/>
        <v>0</v>
      </c>
      <c r="CG78" s="15">
        <f t="shared" si="119"/>
        <v>0</v>
      </c>
      <c r="CH78" s="127">
        <f t="shared" ca="1" si="120"/>
        <v>3.6379924752194186</v>
      </c>
      <c r="CI78" s="127">
        <f t="shared" ca="1" si="134"/>
        <v>38.015443125913443</v>
      </c>
      <c r="DQ78" s="121">
        <f t="shared" si="121"/>
        <v>44562</v>
      </c>
      <c r="DR78" s="98">
        <f t="shared" si="122"/>
        <v>1</v>
      </c>
      <c r="DS78" s="73">
        <f t="shared" si="123"/>
        <v>32.792024176098245</v>
      </c>
      <c r="DT78" s="295">
        <f t="shared" ca="1" si="127"/>
        <v>40.672344918391232</v>
      </c>
      <c r="DU78" s="295">
        <f t="shared" ca="1" si="128"/>
        <v>-7.8803207422929873</v>
      </c>
      <c r="DX78" s="121">
        <f t="shared" si="124"/>
        <v>44562</v>
      </c>
      <c r="DY78" s="2"/>
      <c r="DZ78" s="120"/>
      <c r="EA78" s="66"/>
      <c r="EC78" s="121">
        <f t="shared" si="125"/>
        <v>44562</v>
      </c>
      <c r="ED78" s="2"/>
      <c r="EE78" s="120"/>
      <c r="EF78" s="66"/>
      <c r="EH78" s="121">
        <f t="shared" si="126"/>
        <v>44562</v>
      </c>
      <c r="EI78" s="2"/>
      <c r="EJ78" s="120"/>
      <c r="EK78" s="66"/>
    </row>
    <row r="79" spans="22:141" x14ac:dyDescent="0.2">
      <c r="V79" s="2">
        <v>11</v>
      </c>
      <c r="X79" s="121">
        <f t="shared" si="82"/>
        <v>44593</v>
      </c>
      <c r="Y79" s="73">
        <f t="shared" si="83"/>
        <v>31.17009535145916</v>
      </c>
      <c r="Z79" s="15">
        <f t="shared" si="84"/>
        <v>3.4394591528524994</v>
      </c>
      <c r="AA79" s="98">
        <f t="shared" si="85"/>
        <v>1</v>
      </c>
      <c r="AB79" s="128">
        <f>IF(AA79&gt;0,11,0)</f>
        <v>11</v>
      </c>
      <c r="AC79" s="128">
        <f t="shared" si="86"/>
        <v>121</v>
      </c>
      <c r="AD79" s="15">
        <f t="shared" si="87"/>
        <v>37.834050681377491</v>
      </c>
      <c r="AE79" s="127">
        <f t="shared" ca="1" si="88"/>
        <v>3.6931203119979066</v>
      </c>
      <c r="AF79" s="127">
        <f t="shared" ca="1" si="129"/>
        <v>40.169994521885542</v>
      </c>
      <c r="AH79" s="121">
        <f t="shared" si="89"/>
        <v>44593</v>
      </c>
      <c r="AI79" s="73">
        <f t="shared" si="81"/>
        <v>34.336082921368636</v>
      </c>
      <c r="AJ79" s="15">
        <f t="shared" si="90"/>
        <v>3.5361967814432935</v>
      </c>
      <c r="AK79" s="98">
        <f t="shared" si="91"/>
        <v>1</v>
      </c>
      <c r="AL79" s="128">
        <f>IF(AK79&gt;0,11,0)</f>
        <v>11</v>
      </c>
      <c r="AM79" s="128">
        <f t="shared" si="92"/>
        <v>121</v>
      </c>
      <c r="AN79" s="15">
        <f t="shared" si="93"/>
        <v>38.898164595876231</v>
      </c>
      <c r="AO79" s="127">
        <f t="shared" ca="1" si="94"/>
        <v>3.7043650221501747</v>
      </c>
      <c r="AP79" s="127">
        <f t="shared" ca="1" si="130"/>
        <v>40.62424363048985</v>
      </c>
      <c r="AR79" s="121">
        <f t="shared" si="95"/>
        <v>44593</v>
      </c>
      <c r="AS79" s="73">
        <f>+$AI79</f>
        <v>34.336082921368636</v>
      </c>
      <c r="AT79" s="15">
        <f t="shared" si="96"/>
        <v>3.5361967814432935</v>
      </c>
      <c r="AU79" s="98">
        <f t="shared" si="97"/>
        <v>1</v>
      </c>
      <c r="AV79" s="128">
        <f>IF(AU79&gt;0,11,0)</f>
        <v>11</v>
      </c>
      <c r="AW79" s="128">
        <f t="shared" si="98"/>
        <v>121</v>
      </c>
      <c r="AX79" s="15">
        <f t="shared" si="99"/>
        <v>38.898164595876231</v>
      </c>
      <c r="AY79" s="127">
        <f t="shared" ca="1" si="100"/>
        <v>3.6322810443998717</v>
      </c>
      <c r="AZ79" s="127">
        <f t="shared" ca="1" si="131"/>
        <v>37.798939413948808</v>
      </c>
      <c r="BB79" s="121">
        <f t="shared" si="101"/>
        <v>44593</v>
      </c>
      <c r="BC79" s="131">
        <v>0</v>
      </c>
      <c r="BD79" s="15">
        <f t="shared" si="102"/>
        <v>0</v>
      </c>
      <c r="BE79" s="98">
        <f t="shared" si="103"/>
        <v>0</v>
      </c>
      <c r="BF79" s="128">
        <f>IF(BE79&gt;0,11,0)</f>
        <v>0</v>
      </c>
      <c r="BG79" s="128">
        <f t="shared" si="104"/>
        <v>0</v>
      </c>
      <c r="BH79" s="15">
        <f t="shared" si="105"/>
        <v>0</v>
      </c>
      <c r="BI79" s="127">
        <f t="shared" ca="1" si="106"/>
        <v>3.6707060198021364</v>
      </c>
      <c r="BJ79" s="127">
        <f t="shared" ca="1" si="132"/>
        <v>39.279628268246405</v>
      </c>
      <c r="BL79" s="121">
        <f t="shared" si="107"/>
        <v>44593</v>
      </c>
      <c r="BM79" s="131">
        <v>0</v>
      </c>
      <c r="BN79" s="15">
        <f t="shared" si="108"/>
        <v>0</v>
      </c>
      <c r="BO79" s="98">
        <f t="shared" si="109"/>
        <v>0</v>
      </c>
      <c r="BP79" s="128">
        <f>IF(BO79&gt;0,11,0)</f>
        <v>0</v>
      </c>
      <c r="BQ79" s="128">
        <f t="shared" si="110"/>
        <v>0</v>
      </c>
      <c r="BR79" s="15">
        <f t="shared" si="111"/>
        <v>0</v>
      </c>
      <c r="BS79" s="127">
        <f t="shared" ca="1" si="112"/>
        <v>3.6023625084652697</v>
      </c>
      <c r="BT79" s="127">
        <f t="shared" ca="1" si="133"/>
        <v>36.684800298383827</v>
      </c>
      <c r="BZ79" s="583">
        <f t="shared" si="113"/>
        <v>0</v>
      </c>
      <c r="CA79" s="121">
        <f t="shared" si="114"/>
        <v>44593</v>
      </c>
      <c r="CB79" s="127">
        <f t="shared" si="115"/>
        <v>0</v>
      </c>
      <c r="CC79" s="15">
        <f t="shared" si="116"/>
        <v>0</v>
      </c>
      <c r="CD79" s="98">
        <f t="shared" si="117"/>
        <v>0</v>
      </c>
      <c r="CE79" s="128">
        <f>IF(CD79&gt;0,11,0)</f>
        <v>0</v>
      </c>
      <c r="CF79" s="128">
        <f t="shared" si="118"/>
        <v>0</v>
      </c>
      <c r="CG79" s="15">
        <f t="shared" si="119"/>
        <v>0</v>
      </c>
      <c r="CH79" s="127">
        <f t="shared" ca="1" si="120"/>
        <v>3.641599354242298</v>
      </c>
      <c r="CI79" s="127">
        <f t="shared" ca="1" si="134"/>
        <v>38.152807810247644</v>
      </c>
      <c r="DQ79" s="121">
        <f t="shared" si="121"/>
        <v>44593</v>
      </c>
      <c r="DR79" s="98">
        <f t="shared" si="122"/>
        <v>1</v>
      </c>
      <c r="DS79" s="73">
        <f t="shared" si="123"/>
        <v>31.17009535145916</v>
      </c>
      <c r="DT79" s="295">
        <f t="shared" ca="1" si="127"/>
        <v>40.62424363048985</v>
      </c>
      <c r="DU79" s="295">
        <f t="shared" ca="1" si="128"/>
        <v>-9.4541482790306901</v>
      </c>
      <c r="DX79" s="121">
        <f t="shared" si="124"/>
        <v>44593</v>
      </c>
      <c r="DY79" s="2"/>
      <c r="DZ79" s="120"/>
      <c r="EA79" s="66"/>
      <c r="EC79" s="121">
        <f t="shared" si="125"/>
        <v>44593</v>
      </c>
      <c r="ED79" s="2"/>
      <c r="EE79" s="120"/>
      <c r="EF79" s="66"/>
      <c r="EH79" s="121">
        <f t="shared" si="126"/>
        <v>44593</v>
      </c>
      <c r="EI79" s="2"/>
      <c r="EJ79" s="120"/>
      <c r="EK79" s="66"/>
    </row>
    <row r="80" spans="22:141" x14ac:dyDescent="0.2">
      <c r="V80" s="2">
        <v>12</v>
      </c>
      <c r="X80" s="121">
        <f t="shared" si="82"/>
        <v>44621</v>
      </c>
      <c r="Y80" s="73">
        <f t="shared" si="83"/>
        <v>39.046129236548509</v>
      </c>
      <c r="Z80" s="15">
        <f t="shared" si="84"/>
        <v>3.6647437481088572</v>
      </c>
      <c r="AA80" s="98">
        <f t="shared" si="85"/>
        <v>1</v>
      </c>
      <c r="AB80" s="128">
        <f>IF(AA80&gt;0,12,0)</f>
        <v>12</v>
      </c>
      <c r="AC80" s="128">
        <f t="shared" si="86"/>
        <v>144</v>
      </c>
      <c r="AD80" s="15">
        <f t="shared" si="87"/>
        <v>43.976924977306282</v>
      </c>
      <c r="AE80" s="127">
        <f t="shared" ca="1" si="88"/>
        <v>3.6926412383186693</v>
      </c>
      <c r="AF80" s="127">
        <f t="shared" ca="1" si="129"/>
        <v>40.150754743818617</v>
      </c>
      <c r="AH80" s="121">
        <f t="shared" si="89"/>
        <v>44621</v>
      </c>
      <c r="AI80" s="73">
        <f t="shared" si="81"/>
        <v>35.891674164698969</v>
      </c>
      <c r="AJ80" s="15">
        <f t="shared" si="90"/>
        <v>3.5805053511793741</v>
      </c>
      <c r="AK80" s="98">
        <f t="shared" si="91"/>
        <v>1</v>
      </c>
      <c r="AL80" s="128">
        <f>IF(AK80&gt;0,12,0)</f>
        <v>12</v>
      </c>
      <c r="AM80" s="128">
        <f t="shared" si="92"/>
        <v>144</v>
      </c>
      <c r="AN80" s="15">
        <f t="shared" si="93"/>
        <v>42.966064214152489</v>
      </c>
      <c r="AO80" s="127">
        <f t="shared" ca="1" si="94"/>
        <v>3.7031816688416752</v>
      </c>
      <c r="AP80" s="127">
        <f t="shared" ca="1" si="130"/>
        <v>40.576199229741192</v>
      </c>
      <c r="AR80" s="121">
        <f t="shared" si="95"/>
        <v>44621</v>
      </c>
      <c r="AS80" s="73">
        <f t="shared" ref="AS80:AS102" si="135">+$AI80</f>
        <v>35.891674164698969</v>
      </c>
      <c r="AT80" s="15">
        <f t="shared" si="96"/>
        <v>3.5805053511793741</v>
      </c>
      <c r="AU80" s="98">
        <f t="shared" si="97"/>
        <v>1</v>
      </c>
      <c r="AV80" s="128">
        <f>IF(AU80&gt;0,12,0)</f>
        <v>12</v>
      </c>
      <c r="AW80" s="128">
        <f t="shared" si="98"/>
        <v>144</v>
      </c>
      <c r="AX80" s="15">
        <f t="shared" si="99"/>
        <v>42.966064214152489</v>
      </c>
      <c r="AY80" s="127">
        <f t="shared" ca="1" si="100"/>
        <v>3.6359698445642836</v>
      </c>
      <c r="AZ80" s="127">
        <f t="shared" ca="1" si="131"/>
        <v>37.93862963412726</v>
      </c>
      <c r="BB80" s="121">
        <f t="shared" si="101"/>
        <v>44621</v>
      </c>
      <c r="BC80" s="131">
        <v>0</v>
      </c>
      <c r="BD80" s="15">
        <f t="shared" si="102"/>
        <v>0</v>
      </c>
      <c r="BE80" s="98">
        <f t="shared" si="103"/>
        <v>0</v>
      </c>
      <c r="BF80" s="128">
        <f>IF(BE80&gt;0,12,0)</f>
        <v>0</v>
      </c>
      <c r="BG80" s="128">
        <f t="shared" si="104"/>
        <v>0</v>
      </c>
      <c r="BH80" s="15">
        <f t="shared" si="105"/>
        <v>0</v>
      </c>
      <c r="BI80" s="127">
        <f t="shared" ca="1" si="106"/>
        <v>3.6719668106354684</v>
      </c>
      <c r="BJ80" s="127">
        <f t="shared" ca="1" si="132"/>
        <v>39.329182895949565</v>
      </c>
      <c r="BL80" s="121">
        <f t="shared" si="107"/>
        <v>44621</v>
      </c>
      <c r="BM80" s="131">
        <v>0</v>
      </c>
      <c r="BN80" s="15">
        <f t="shared" si="108"/>
        <v>0</v>
      </c>
      <c r="BO80" s="98">
        <f t="shared" si="109"/>
        <v>0</v>
      </c>
      <c r="BP80" s="128">
        <f>IF(BO80&gt;0,12,0)</f>
        <v>0</v>
      </c>
      <c r="BQ80" s="128">
        <f t="shared" si="110"/>
        <v>0</v>
      </c>
      <c r="BR80" s="15">
        <f t="shared" si="111"/>
        <v>0</v>
      </c>
      <c r="BS80" s="127">
        <f t="shared" ca="1" si="112"/>
        <v>3.607490152717403</v>
      </c>
      <c r="BT80" s="127">
        <f t="shared" ca="1" si="133"/>
        <v>36.87339000101543</v>
      </c>
      <c r="BZ80" s="583">
        <f t="shared" si="113"/>
        <v>1</v>
      </c>
      <c r="CA80" s="121">
        <f t="shared" si="114"/>
        <v>44621</v>
      </c>
      <c r="CB80" s="127">
        <f t="shared" si="115"/>
        <v>35.891674164698969</v>
      </c>
      <c r="CC80" s="15">
        <f t="shared" si="116"/>
        <v>3.5805053511793741</v>
      </c>
      <c r="CD80" s="98">
        <f t="shared" si="117"/>
        <v>1</v>
      </c>
      <c r="CE80" s="128">
        <f>IF(CD80&gt;0,12,0)</f>
        <v>12</v>
      </c>
      <c r="CF80" s="128">
        <f t="shared" si="118"/>
        <v>144</v>
      </c>
      <c r="CG80" s="15">
        <f t="shared" si="119"/>
        <v>42.966064214152489</v>
      </c>
      <c r="CH80" s="127">
        <f t="shared" ca="1" si="120"/>
        <v>3.6452062332651773</v>
      </c>
      <c r="CI80" s="127">
        <f t="shared" ca="1" si="134"/>
        <v>38.290668846983671</v>
      </c>
      <c r="DQ80" s="121">
        <f t="shared" si="121"/>
        <v>44621</v>
      </c>
      <c r="DR80" s="98">
        <f t="shared" si="122"/>
        <v>1</v>
      </c>
      <c r="DS80" s="73">
        <f t="shared" si="123"/>
        <v>39.046129236548509</v>
      </c>
      <c r="DT80" s="295">
        <f t="shared" ca="1" si="127"/>
        <v>40.576199229741192</v>
      </c>
      <c r="DU80" s="295">
        <f t="shared" ca="1" si="128"/>
        <v>-1.5300699931926829</v>
      </c>
      <c r="DX80" s="121">
        <f t="shared" si="124"/>
        <v>44621</v>
      </c>
      <c r="DY80" s="2"/>
      <c r="DZ80" s="120"/>
      <c r="EA80" s="66"/>
      <c r="EC80" s="121">
        <f t="shared" si="125"/>
        <v>44621</v>
      </c>
      <c r="ED80" s="2"/>
      <c r="EE80" s="120"/>
      <c r="EF80" s="66"/>
      <c r="EH80" s="121">
        <f t="shared" si="126"/>
        <v>44621</v>
      </c>
      <c r="EI80" s="2"/>
      <c r="EJ80" s="120"/>
      <c r="EK80" s="66"/>
    </row>
    <row r="81" spans="22:141" x14ac:dyDescent="0.2">
      <c r="V81" s="2">
        <v>13</v>
      </c>
      <c r="X81" s="121">
        <f t="shared" si="82"/>
        <v>44652</v>
      </c>
      <c r="Y81" s="73">
        <f t="shared" si="83"/>
        <v>37.458797906089245</v>
      </c>
      <c r="Z81" s="15">
        <f t="shared" si="84"/>
        <v>3.6232416064340205</v>
      </c>
      <c r="AA81" s="98">
        <f t="shared" si="85"/>
        <v>1</v>
      </c>
      <c r="AB81" s="128">
        <f>IF(AA81&gt;0,13,0)</f>
        <v>13</v>
      </c>
      <c r="AC81" s="128">
        <f t="shared" si="86"/>
        <v>169</v>
      </c>
      <c r="AD81" s="15">
        <f t="shared" si="87"/>
        <v>47.102140883642264</v>
      </c>
      <c r="AE81" s="127">
        <f t="shared" ca="1" si="88"/>
        <v>3.692162164639432</v>
      </c>
      <c r="AF81" s="127">
        <f t="shared" ca="1" si="129"/>
        <v>40.131524180815433</v>
      </c>
      <c r="AH81" s="121">
        <f t="shared" si="89"/>
        <v>44652</v>
      </c>
      <c r="AI81" s="73">
        <f t="shared" si="81"/>
        <v>38.575308126785323</v>
      </c>
      <c r="AJ81" s="15">
        <f t="shared" si="90"/>
        <v>3.6526123859499298</v>
      </c>
      <c r="AK81" s="98">
        <f t="shared" si="91"/>
        <v>1</v>
      </c>
      <c r="AL81" s="128">
        <f>IF(AK81&gt;0,13,0)</f>
        <v>13</v>
      </c>
      <c r="AM81" s="128">
        <f t="shared" si="92"/>
        <v>169</v>
      </c>
      <c r="AN81" s="15">
        <f t="shared" si="93"/>
        <v>47.483961017349088</v>
      </c>
      <c r="AO81" s="127">
        <f t="shared" ca="1" si="94"/>
        <v>3.7019983155331757</v>
      </c>
      <c r="AP81" s="127">
        <f t="shared" ca="1" si="130"/>
        <v>40.52821164886749</v>
      </c>
      <c r="AR81" s="121">
        <f t="shared" si="95"/>
        <v>44652</v>
      </c>
      <c r="AS81" s="73">
        <f>+$AI81</f>
        <v>38.575308126785323</v>
      </c>
      <c r="AT81" s="15">
        <f t="shared" si="96"/>
        <v>3.6526123859499298</v>
      </c>
      <c r="AU81" s="98">
        <f t="shared" si="97"/>
        <v>1</v>
      </c>
      <c r="AV81" s="128">
        <f>IF(AU81&gt;0,13,0)</f>
        <v>13</v>
      </c>
      <c r="AW81" s="128">
        <f t="shared" si="98"/>
        <v>169</v>
      </c>
      <c r="AX81" s="15">
        <f t="shared" si="99"/>
        <v>47.483961017349088</v>
      </c>
      <c r="AY81" s="127">
        <f t="shared" ca="1" si="100"/>
        <v>3.6396586447286956</v>
      </c>
      <c r="AZ81" s="127">
        <f t="shared" ca="1" si="131"/>
        <v>38.078836095182204</v>
      </c>
      <c r="BB81" s="121">
        <f t="shared" si="101"/>
        <v>44652</v>
      </c>
      <c r="BC81" s="131">
        <v>0</v>
      </c>
      <c r="BD81" s="15">
        <f t="shared" si="102"/>
        <v>0</v>
      </c>
      <c r="BE81" s="98">
        <f t="shared" si="103"/>
        <v>0</v>
      </c>
      <c r="BF81" s="128">
        <f>IF(BE81&gt;0,13,0)</f>
        <v>0</v>
      </c>
      <c r="BG81" s="128">
        <f t="shared" si="104"/>
        <v>0</v>
      </c>
      <c r="BH81" s="15">
        <f t="shared" si="105"/>
        <v>0</v>
      </c>
      <c r="BI81" s="127">
        <f t="shared" ca="1" si="106"/>
        <v>3.6732276014687999</v>
      </c>
      <c r="BJ81" s="127">
        <f t="shared" ca="1" si="132"/>
        <v>39.378800041075479</v>
      </c>
      <c r="BL81" s="121">
        <f t="shared" si="107"/>
        <v>44652</v>
      </c>
      <c r="BM81" s="131">
        <v>0</v>
      </c>
      <c r="BN81" s="15">
        <f t="shared" si="108"/>
        <v>0</v>
      </c>
      <c r="BO81" s="98">
        <f t="shared" si="109"/>
        <v>0</v>
      </c>
      <c r="BP81" s="128">
        <f>IF(BO81&gt;0,13,0)</f>
        <v>0</v>
      </c>
      <c r="BQ81" s="128">
        <f t="shared" si="110"/>
        <v>0</v>
      </c>
      <c r="BR81" s="15">
        <f t="shared" si="111"/>
        <v>0</v>
      </c>
      <c r="BS81" s="127">
        <f t="shared" ca="1" si="112"/>
        <v>3.6126177969695368</v>
      </c>
      <c r="BT81" s="127">
        <f t="shared" ca="1" si="133"/>
        <v>37.062949208064396</v>
      </c>
      <c r="BZ81" s="583">
        <f t="shared" si="113"/>
        <v>1</v>
      </c>
      <c r="CA81" s="121">
        <f t="shared" si="114"/>
        <v>44652</v>
      </c>
      <c r="CB81" s="127">
        <f t="shared" si="115"/>
        <v>38.575308126785323</v>
      </c>
      <c r="CC81" s="15">
        <f t="shared" si="116"/>
        <v>3.6526123859499298</v>
      </c>
      <c r="CD81" s="98">
        <f t="shared" si="117"/>
        <v>1</v>
      </c>
      <c r="CE81" s="128">
        <f>IF(CD81&gt;0,13,0)</f>
        <v>13</v>
      </c>
      <c r="CF81" s="128">
        <f t="shared" si="118"/>
        <v>169</v>
      </c>
      <c r="CG81" s="15">
        <f t="shared" si="119"/>
        <v>47.483961017349088</v>
      </c>
      <c r="CH81" s="127">
        <f t="shared" ca="1" si="120"/>
        <v>3.6488131122880567</v>
      </c>
      <c r="CI81" s="127">
        <f t="shared" ca="1" si="134"/>
        <v>38.429028029637145</v>
      </c>
      <c r="DQ81" s="121">
        <f t="shared" si="121"/>
        <v>44652</v>
      </c>
      <c r="DR81" s="98">
        <f t="shared" si="122"/>
        <v>1</v>
      </c>
      <c r="DS81" s="73">
        <f t="shared" si="123"/>
        <v>37.458797906089245</v>
      </c>
      <c r="DT81" s="295">
        <f t="shared" ca="1" si="127"/>
        <v>40.52821164886749</v>
      </c>
      <c r="DU81" s="295">
        <f t="shared" ca="1" si="128"/>
        <v>-3.0694137427782451</v>
      </c>
      <c r="DX81" s="121">
        <f t="shared" si="124"/>
        <v>44652</v>
      </c>
      <c r="DY81" s="98">
        <f t="shared" ref="DY81:DY104" si="136">IF($Y81&gt;0,1,0)</f>
        <v>1</v>
      </c>
      <c r="DZ81" s="73">
        <f>+DS81</f>
        <v>37.458797906089245</v>
      </c>
      <c r="EA81" s="127">
        <f ca="1">+AZ81</f>
        <v>38.078836095182204</v>
      </c>
      <c r="EC81" s="121">
        <f t="shared" si="125"/>
        <v>44652</v>
      </c>
      <c r="ED81" s="98"/>
      <c r="EE81" s="73"/>
      <c r="EF81" s="127"/>
      <c r="EH81" s="121">
        <f t="shared" si="126"/>
        <v>44652</v>
      </c>
      <c r="EI81" s="98"/>
      <c r="EJ81" s="73"/>
      <c r="EK81" s="127"/>
    </row>
    <row r="82" spans="22:141" x14ac:dyDescent="0.2">
      <c r="V82" s="2">
        <v>14</v>
      </c>
      <c r="X82" s="121">
        <f t="shared" si="82"/>
        <v>44682</v>
      </c>
      <c r="Y82" s="73">
        <f t="shared" si="83"/>
        <v>39.220997237718201</v>
      </c>
      <c r="Z82" s="15">
        <f t="shared" si="84"/>
        <v>3.6692122472098156</v>
      </c>
      <c r="AA82" s="98">
        <f t="shared" si="85"/>
        <v>1</v>
      </c>
      <c r="AB82" s="128">
        <f>IF(AA82&gt;0,14,0)</f>
        <v>14</v>
      </c>
      <c r="AC82" s="128">
        <f t="shared" si="86"/>
        <v>196</v>
      </c>
      <c r="AD82" s="15">
        <f t="shared" si="87"/>
        <v>51.368971460937416</v>
      </c>
      <c r="AE82" s="127">
        <f t="shared" ca="1" si="88"/>
        <v>3.6916830909601948</v>
      </c>
      <c r="AF82" s="127">
        <f t="shared" ca="1" si="129"/>
        <v>40.112302828462354</v>
      </c>
      <c r="AH82" s="121">
        <f t="shared" si="89"/>
        <v>44682</v>
      </c>
      <c r="AI82" s="73">
        <f t="shared" si="81"/>
        <v>38.68900887949323</v>
      </c>
      <c r="AJ82" s="15">
        <f t="shared" si="90"/>
        <v>3.6555555514159175</v>
      </c>
      <c r="AK82" s="98">
        <f t="shared" si="91"/>
        <v>1</v>
      </c>
      <c r="AL82" s="128">
        <f>IF(AK82&gt;0,14,0)</f>
        <v>14</v>
      </c>
      <c r="AM82" s="128">
        <f t="shared" si="92"/>
        <v>196</v>
      </c>
      <c r="AN82" s="15">
        <f t="shared" si="93"/>
        <v>51.177777719822842</v>
      </c>
      <c r="AO82" s="127">
        <f t="shared" ca="1" si="94"/>
        <v>3.7008149622246767</v>
      </c>
      <c r="AP82" s="127">
        <f t="shared" ca="1" si="130"/>
        <v>40.480280820670544</v>
      </c>
      <c r="AR82" s="121">
        <f t="shared" si="95"/>
        <v>44682</v>
      </c>
      <c r="AS82" s="73">
        <f t="shared" si="135"/>
        <v>38.68900887949323</v>
      </c>
      <c r="AT82" s="15">
        <f t="shared" si="96"/>
        <v>3.6555555514159175</v>
      </c>
      <c r="AU82" s="98">
        <f t="shared" si="97"/>
        <v>1</v>
      </c>
      <c r="AV82" s="128">
        <f>IF(AU82&gt;0,14,0)</f>
        <v>14</v>
      </c>
      <c r="AW82" s="128">
        <f t="shared" si="98"/>
        <v>196</v>
      </c>
      <c r="AX82" s="15">
        <f t="shared" si="99"/>
        <v>51.177777719822842</v>
      </c>
      <c r="AY82" s="127">
        <f t="shared" ca="1" si="100"/>
        <v>3.6433474448931076</v>
      </c>
      <c r="AZ82" s="127">
        <f t="shared" ca="1" si="131"/>
        <v>38.219560704939695</v>
      </c>
      <c r="BB82" s="121">
        <f t="shared" si="101"/>
        <v>44682</v>
      </c>
      <c r="BC82" s="131">
        <v>0</v>
      </c>
      <c r="BD82" s="15">
        <f t="shared" si="102"/>
        <v>0</v>
      </c>
      <c r="BE82" s="98">
        <f t="shared" si="103"/>
        <v>0</v>
      </c>
      <c r="BF82" s="128">
        <f>IF(BE82&gt;0,14,0)</f>
        <v>0</v>
      </c>
      <c r="BG82" s="128">
        <f t="shared" si="104"/>
        <v>0</v>
      </c>
      <c r="BH82" s="15">
        <f t="shared" si="105"/>
        <v>0</v>
      </c>
      <c r="BI82" s="127">
        <f t="shared" ca="1" si="106"/>
        <v>3.6744883923021319</v>
      </c>
      <c r="BJ82" s="127">
        <f t="shared" ca="1" si="132"/>
        <v>39.428479782495288</v>
      </c>
      <c r="BL82" s="121">
        <f t="shared" si="107"/>
        <v>44682</v>
      </c>
      <c r="BM82" s="131">
        <v>0</v>
      </c>
      <c r="BN82" s="15">
        <f t="shared" si="108"/>
        <v>0</v>
      </c>
      <c r="BO82" s="98">
        <f t="shared" si="109"/>
        <v>0</v>
      </c>
      <c r="BP82" s="128">
        <f>IF(BO82&gt;0,14,0)</f>
        <v>0</v>
      </c>
      <c r="BQ82" s="128">
        <f t="shared" si="110"/>
        <v>0</v>
      </c>
      <c r="BR82" s="15">
        <f t="shared" si="111"/>
        <v>0</v>
      </c>
      <c r="BS82" s="127">
        <f t="shared" ca="1" si="112"/>
        <v>3.6177454412216701</v>
      </c>
      <c r="BT82" s="127">
        <f t="shared" ca="1" si="133"/>
        <v>37.253482903571715</v>
      </c>
      <c r="BZ82" s="583">
        <f t="shared" si="113"/>
        <v>1</v>
      </c>
      <c r="CA82" s="121">
        <f t="shared" si="114"/>
        <v>44682</v>
      </c>
      <c r="CB82" s="127">
        <f t="shared" si="115"/>
        <v>38.68900887949323</v>
      </c>
      <c r="CC82" s="15">
        <f t="shared" si="116"/>
        <v>3.6555555514159175</v>
      </c>
      <c r="CD82" s="98">
        <f t="shared" si="117"/>
        <v>1</v>
      </c>
      <c r="CE82" s="128">
        <f>IF(CD82&gt;0,14,0)</f>
        <v>14</v>
      </c>
      <c r="CF82" s="128">
        <f t="shared" si="118"/>
        <v>196</v>
      </c>
      <c r="CG82" s="15">
        <f t="shared" si="119"/>
        <v>51.177777719822842</v>
      </c>
      <c r="CH82" s="127">
        <f t="shared" ca="1" si="120"/>
        <v>3.6524199913109361</v>
      </c>
      <c r="CI82" s="127">
        <f t="shared" ca="1" si="134"/>
        <v>38.567887158204371</v>
      </c>
      <c r="DQ82" s="121">
        <f t="shared" si="121"/>
        <v>44682</v>
      </c>
      <c r="DR82" s="98">
        <f t="shared" si="122"/>
        <v>1</v>
      </c>
      <c r="DS82" s="73">
        <f t="shared" si="123"/>
        <v>39.220997237718201</v>
      </c>
      <c r="DT82" s="295">
        <f t="shared" ca="1" si="127"/>
        <v>40.480280820670544</v>
      </c>
      <c r="DU82" s="295">
        <f t="shared" ca="1" si="128"/>
        <v>-1.2592835829523423</v>
      </c>
      <c r="DX82" s="121">
        <f t="shared" si="124"/>
        <v>44682</v>
      </c>
      <c r="DY82" s="98">
        <f t="shared" si="136"/>
        <v>1</v>
      </c>
      <c r="DZ82" s="281">
        <f t="shared" ref="DZ82:DZ104" si="137">+DS82</f>
        <v>39.220997237718201</v>
      </c>
      <c r="EA82" s="127">
        <f t="shared" ref="EA82:EA103" ca="1" si="138">+AZ82</f>
        <v>38.219560704939695</v>
      </c>
      <c r="EC82" s="121">
        <f t="shared" si="125"/>
        <v>44682</v>
      </c>
      <c r="ED82" s="13"/>
      <c r="EE82" s="281"/>
      <c r="EF82" s="127"/>
      <c r="EH82" s="121">
        <f t="shared" si="126"/>
        <v>44682</v>
      </c>
      <c r="EI82" s="13"/>
      <c r="EJ82" s="281"/>
      <c r="EK82" s="127"/>
    </row>
    <row r="83" spans="22:141" x14ac:dyDescent="0.2">
      <c r="V83" s="2">
        <v>15</v>
      </c>
      <c r="X83" s="121">
        <f t="shared" si="82"/>
        <v>44713</v>
      </c>
      <c r="Y83" s="73">
        <f t="shared" si="83"/>
        <v>39.387231494672243</v>
      </c>
      <c r="Z83" s="15">
        <f t="shared" si="84"/>
        <v>3.6734416900413627</v>
      </c>
      <c r="AA83" s="98">
        <f t="shared" si="85"/>
        <v>1</v>
      </c>
      <c r="AB83" s="128">
        <f>IF(AA83&gt;0,15,0)</f>
        <v>15</v>
      </c>
      <c r="AC83" s="128">
        <f t="shared" si="86"/>
        <v>225</v>
      </c>
      <c r="AD83" s="15">
        <f t="shared" si="87"/>
        <v>55.101625350620438</v>
      </c>
      <c r="AE83" s="127">
        <f t="shared" ca="1" si="88"/>
        <v>3.6912040172809575</v>
      </c>
      <c r="AF83" s="127">
        <f t="shared" ca="1" si="129"/>
        <v>40.093090682347857</v>
      </c>
      <c r="AH83" s="121">
        <f t="shared" si="89"/>
        <v>44713</v>
      </c>
      <c r="AI83" s="73">
        <f t="shared" si="81"/>
        <v>38.864810745549583</v>
      </c>
      <c r="AJ83" s="15">
        <f t="shared" si="90"/>
        <v>3.6600892331360306</v>
      </c>
      <c r="AK83" s="98">
        <f t="shared" si="91"/>
        <v>1</v>
      </c>
      <c r="AL83" s="128">
        <f>IF(AK83&gt;0,15,0)</f>
        <v>15</v>
      </c>
      <c r="AM83" s="128">
        <f t="shared" si="92"/>
        <v>225</v>
      </c>
      <c r="AN83" s="15">
        <f t="shared" si="93"/>
        <v>54.901338497040456</v>
      </c>
      <c r="AO83" s="127">
        <f t="shared" ca="1" si="94"/>
        <v>3.6996316089161772</v>
      </c>
      <c r="AP83" s="127">
        <f t="shared" ca="1" si="130"/>
        <v>40.432406678031569</v>
      </c>
      <c r="AR83" s="121">
        <f t="shared" si="95"/>
        <v>44713</v>
      </c>
      <c r="AS83" s="73">
        <f t="shared" si="135"/>
        <v>38.864810745549583</v>
      </c>
      <c r="AT83" s="15">
        <f t="shared" si="96"/>
        <v>3.6600892331360306</v>
      </c>
      <c r="AU83" s="98">
        <f t="shared" si="97"/>
        <v>1</v>
      </c>
      <c r="AV83" s="128">
        <f>IF(AU83&gt;0,15,0)</f>
        <v>15</v>
      </c>
      <c r="AW83" s="128">
        <f t="shared" si="98"/>
        <v>225</v>
      </c>
      <c r="AX83" s="15">
        <f t="shared" si="99"/>
        <v>54.901338497040456</v>
      </c>
      <c r="AY83" s="127">
        <f t="shared" ca="1" si="100"/>
        <v>3.6470362450575191</v>
      </c>
      <c r="AZ83" s="127">
        <f t="shared" ca="1" si="131"/>
        <v>38.360805378276368</v>
      </c>
      <c r="BB83" s="121">
        <f t="shared" si="101"/>
        <v>44713</v>
      </c>
      <c r="BC83" s="131">
        <v>0</v>
      </c>
      <c r="BD83" s="15">
        <f t="shared" si="102"/>
        <v>0</v>
      </c>
      <c r="BE83" s="98">
        <f t="shared" si="103"/>
        <v>0</v>
      </c>
      <c r="BF83" s="128">
        <f>IF(BE83&gt;0,15,0)</f>
        <v>0</v>
      </c>
      <c r="BG83" s="128">
        <f t="shared" si="104"/>
        <v>0</v>
      </c>
      <c r="BH83" s="15">
        <f t="shared" si="105"/>
        <v>0</v>
      </c>
      <c r="BI83" s="127">
        <f t="shared" ca="1" si="106"/>
        <v>3.6757491831354638</v>
      </c>
      <c r="BJ83" s="127">
        <f t="shared" ca="1" si="132"/>
        <v>39.478222199179584</v>
      </c>
      <c r="BL83" s="121">
        <f t="shared" si="107"/>
        <v>44713</v>
      </c>
      <c r="BM83" s="131">
        <v>0</v>
      </c>
      <c r="BN83" s="15">
        <f t="shared" si="108"/>
        <v>0</v>
      </c>
      <c r="BO83" s="98">
        <f t="shared" si="109"/>
        <v>0</v>
      </c>
      <c r="BP83" s="128">
        <f>IF(BO83&gt;0,15,0)</f>
        <v>0</v>
      </c>
      <c r="BQ83" s="128">
        <f t="shared" si="110"/>
        <v>0</v>
      </c>
      <c r="BR83" s="15">
        <f t="shared" si="111"/>
        <v>0</v>
      </c>
      <c r="BS83" s="127">
        <f t="shared" ca="1" si="112"/>
        <v>3.6228730854738034</v>
      </c>
      <c r="BT83" s="127">
        <f t="shared" ca="1" si="133"/>
        <v>37.444996097200452</v>
      </c>
      <c r="BZ83" s="583">
        <f t="shared" si="113"/>
        <v>1</v>
      </c>
      <c r="CA83" s="121">
        <f t="shared" si="114"/>
        <v>44713</v>
      </c>
      <c r="CB83" s="127">
        <f t="shared" si="115"/>
        <v>38.864810745549583</v>
      </c>
      <c r="CC83" s="15">
        <f t="shared" si="116"/>
        <v>3.6600892331360306</v>
      </c>
      <c r="CD83" s="98">
        <f t="shared" si="117"/>
        <v>1</v>
      </c>
      <c r="CE83" s="128">
        <f>IF(CD83&gt;0,15,0)</f>
        <v>15</v>
      </c>
      <c r="CF83" s="128">
        <f t="shared" si="118"/>
        <v>225</v>
      </c>
      <c r="CG83" s="15">
        <f t="shared" si="119"/>
        <v>54.901338497040456</v>
      </c>
      <c r="CH83" s="127">
        <f t="shared" ca="1" si="120"/>
        <v>3.6560268703338155</v>
      </c>
      <c r="CI83" s="127">
        <f t="shared" ca="1" si="134"/>
        <v>38.707248039185714</v>
      </c>
      <c r="DQ83" s="121">
        <f t="shared" si="121"/>
        <v>44713</v>
      </c>
      <c r="DR83" s="98">
        <f t="shared" si="122"/>
        <v>1</v>
      </c>
      <c r="DS83" s="73">
        <f t="shared" si="123"/>
        <v>39.387231494672243</v>
      </c>
      <c r="DT83" s="295">
        <f t="shared" ca="1" si="127"/>
        <v>40.432406678031569</v>
      </c>
      <c r="DU83" s="295">
        <f t="shared" ca="1" si="128"/>
        <v>-1.0451751833593264</v>
      </c>
      <c r="DX83" s="121">
        <f t="shared" si="124"/>
        <v>44713</v>
      </c>
      <c r="DY83" s="98">
        <f t="shared" si="136"/>
        <v>1</v>
      </c>
      <c r="DZ83" s="281">
        <f t="shared" si="137"/>
        <v>39.387231494672243</v>
      </c>
      <c r="EA83" s="127">
        <f t="shared" ca="1" si="138"/>
        <v>38.360805378276368</v>
      </c>
      <c r="EC83" s="121">
        <f t="shared" si="125"/>
        <v>44713</v>
      </c>
      <c r="ED83" s="13"/>
      <c r="EE83" s="281"/>
      <c r="EF83" s="127"/>
      <c r="EH83" s="121">
        <f t="shared" si="126"/>
        <v>44713</v>
      </c>
      <c r="EI83" s="13"/>
      <c r="EJ83" s="281"/>
      <c r="EK83" s="127"/>
    </row>
    <row r="84" spans="22:141" x14ac:dyDescent="0.2">
      <c r="V84" s="2">
        <v>16</v>
      </c>
      <c r="X84" s="121">
        <f t="shared" si="82"/>
        <v>44743</v>
      </c>
      <c r="Y84" s="73">
        <f t="shared" si="83"/>
        <v>37.986203504258292</v>
      </c>
      <c r="Z84" s="15">
        <f t="shared" si="84"/>
        <v>3.6372230281246725</v>
      </c>
      <c r="AA84" s="98">
        <f t="shared" si="85"/>
        <v>1</v>
      </c>
      <c r="AB84" s="128">
        <f>IF(AA84&gt;0,16,0)</f>
        <v>16</v>
      </c>
      <c r="AC84" s="128">
        <f t="shared" si="86"/>
        <v>256</v>
      </c>
      <c r="AD84" s="15">
        <f t="shared" si="87"/>
        <v>58.195568449994759</v>
      </c>
      <c r="AE84" s="127">
        <f t="shared" ca="1" si="88"/>
        <v>3.6907249436017202</v>
      </c>
      <c r="AF84" s="127">
        <f t="shared" ca="1" si="129"/>
        <v>40.073887738062524</v>
      </c>
      <c r="AH84" s="121">
        <f t="shared" si="89"/>
        <v>44743</v>
      </c>
      <c r="AI84" s="73">
        <f t="shared" si="81"/>
        <v>40.695594523008687</v>
      </c>
      <c r="AJ84" s="15">
        <f t="shared" si="90"/>
        <v>3.7061198439119685</v>
      </c>
      <c r="AK84" s="98">
        <f t="shared" si="91"/>
        <v>1</v>
      </c>
      <c r="AL84" s="128">
        <f>IF(AK84&gt;0,16,0)</f>
        <v>16</v>
      </c>
      <c r="AM84" s="128">
        <f t="shared" si="92"/>
        <v>256</v>
      </c>
      <c r="AN84" s="15">
        <f t="shared" si="93"/>
        <v>59.297917502591496</v>
      </c>
      <c r="AO84" s="127">
        <f t="shared" ca="1" si="94"/>
        <v>3.6984482556076781</v>
      </c>
      <c r="AP84" s="127">
        <f t="shared" ca="1" si="130"/>
        <v>40.384589153911236</v>
      </c>
      <c r="AR84" s="121">
        <f t="shared" si="95"/>
        <v>44743</v>
      </c>
      <c r="AS84" s="73">
        <f t="shared" si="135"/>
        <v>40.695594523008687</v>
      </c>
      <c r="AT84" s="15">
        <f t="shared" si="96"/>
        <v>3.7061198439119685</v>
      </c>
      <c r="AU84" s="98">
        <f t="shared" si="97"/>
        <v>1</v>
      </c>
      <c r="AV84" s="128">
        <f>IF(AU84&gt;0,16,0)</f>
        <v>16</v>
      </c>
      <c r="AW84" s="128">
        <f t="shared" si="98"/>
        <v>256</v>
      </c>
      <c r="AX84" s="15">
        <f t="shared" si="99"/>
        <v>59.297917502591496</v>
      </c>
      <c r="AY84" s="127">
        <f t="shared" ca="1" si="100"/>
        <v>3.6507250452219311</v>
      </c>
      <c r="AZ84" s="127">
        <f t="shared" ca="1" si="131"/>
        <v>38.502572037145548</v>
      </c>
      <c r="BB84" s="121">
        <f t="shared" si="101"/>
        <v>44743</v>
      </c>
      <c r="BC84" s="131">
        <v>0</v>
      </c>
      <c r="BD84" s="15">
        <f t="shared" si="102"/>
        <v>0</v>
      </c>
      <c r="BE84" s="98">
        <f t="shared" si="103"/>
        <v>0</v>
      </c>
      <c r="BF84" s="128">
        <f>IF(BE84&gt;0,16,0)</f>
        <v>0</v>
      </c>
      <c r="BG84" s="128">
        <f t="shared" si="104"/>
        <v>0</v>
      </c>
      <c r="BH84" s="15">
        <f t="shared" si="105"/>
        <v>0</v>
      </c>
      <c r="BI84" s="127">
        <f t="shared" ca="1" si="106"/>
        <v>3.6770099739687958</v>
      </c>
      <c r="BJ84" s="127">
        <f t="shared" ca="1" si="132"/>
        <v>39.528027370198586</v>
      </c>
      <c r="BL84" s="121">
        <f t="shared" si="107"/>
        <v>44743</v>
      </c>
      <c r="BM84" s="131">
        <v>0</v>
      </c>
      <c r="BN84" s="15">
        <f t="shared" si="108"/>
        <v>0</v>
      </c>
      <c r="BO84" s="98">
        <f t="shared" si="109"/>
        <v>0</v>
      </c>
      <c r="BP84" s="128">
        <f>IF(BO84&gt;0,16,0)</f>
        <v>0</v>
      </c>
      <c r="BQ84" s="128">
        <f t="shared" si="110"/>
        <v>0</v>
      </c>
      <c r="BR84" s="15">
        <f t="shared" si="111"/>
        <v>0</v>
      </c>
      <c r="BS84" s="127">
        <f t="shared" ca="1" si="112"/>
        <v>3.6280007297259371</v>
      </c>
      <c r="BT84" s="127">
        <f t="shared" ca="1" si="133"/>
        <v>37.637493824367425</v>
      </c>
      <c r="BZ84" s="583">
        <f t="shared" si="113"/>
        <v>1</v>
      </c>
      <c r="CA84" s="121">
        <f t="shared" si="114"/>
        <v>44743</v>
      </c>
      <c r="CB84" s="127">
        <f t="shared" si="115"/>
        <v>40.695594523008687</v>
      </c>
      <c r="CC84" s="15">
        <f t="shared" si="116"/>
        <v>3.7061198439119685</v>
      </c>
      <c r="CD84" s="98">
        <f t="shared" si="117"/>
        <v>1</v>
      </c>
      <c r="CE84" s="128">
        <f>IF(CD84&gt;0,16,0)</f>
        <v>16</v>
      </c>
      <c r="CF84" s="128">
        <f t="shared" si="118"/>
        <v>256</v>
      </c>
      <c r="CG84" s="15">
        <f t="shared" si="119"/>
        <v>59.297917502591496</v>
      </c>
      <c r="CH84" s="127">
        <f t="shared" ca="1" si="120"/>
        <v>3.6596337493566948</v>
      </c>
      <c r="CI84" s="127">
        <f t="shared" ca="1" si="134"/>
        <v>38.847112485609173</v>
      </c>
      <c r="DQ84" s="121">
        <f t="shared" si="121"/>
        <v>44743</v>
      </c>
      <c r="DR84" s="98">
        <f t="shared" si="122"/>
        <v>1</v>
      </c>
      <c r="DS84" s="73">
        <f t="shared" si="123"/>
        <v>37.986203504258292</v>
      </c>
      <c r="DT84" s="295">
        <f t="shared" ca="1" si="127"/>
        <v>40.384589153911236</v>
      </c>
      <c r="DU84" s="295">
        <f t="shared" ca="1" si="128"/>
        <v>-2.3983856496529441</v>
      </c>
      <c r="DX84" s="121">
        <f t="shared" si="124"/>
        <v>44743</v>
      </c>
      <c r="DY84" s="98">
        <f t="shared" si="136"/>
        <v>1</v>
      </c>
      <c r="DZ84" s="281">
        <f t="shared" si="137"/>
        <v>37.986203504258292</v>
      </c>
      <c r="EA84" s="127">
        <f t="shared" ca="1" si="138"/>
        <v>38.502572037145548</v>
      </c>
      <c r="EC84" s="121">
        <f t="shared" si="125"/>
        <v>44743</v>
      </c>
      <c r="ED84" s="13"/>
      <c r="EE84" s="281"/>
      <c r="EF84" s="127"/>
      <c r="EH84" s="121">
        <f t="shared" si="126"/>
        <v>44743</v>
      </c>
      <c r="EI84" s="13"/>
      <c r="EJ84" s="281"/>
      <c r="EK84" s="127"/>
    </row>
    <row r="85" spans="22:141" x14ac:dyDescent="0.2">
      <c r="V85" s="2">
        <v>17</v>
      </c>
      <c r="X85" s="121">
        <f t="shared" si="82"/>
        <v>44774</v>
      </c>
      <c r="Y85" s="73">
        <f t="shared" si="83"/>
        <v>44.71334857009554</v>
      </c>
      <c r="Z85" s="15">
        <f t="shared" si="84"/>
        <v>3.8002720827689416</v>
      </c>
      <c r="AA85" s="98">
        <f t="shared" si="85"/>
        <v>1</v>
      </c>
      <c r="AB85" s="128">
        <f>IF(AA85&gt;0,17,0)</f>
        <v>17</v>
      </c>
      <c r="AC85" s="128">
        <f t="shared" si="86"/>
        <v>289</v>
      </c>
      <c r="AD85" s="15">
        <f t="shared" si="87"/>
        <v>64.604625407072007</v>
      </c>
      <c r="AE85" s="127">
        <f t="shared" ca="1" si="88"/>
        <v>3.6902458699224829</v>
      </c>
      <c r="AF85" s="127">
        <f t="shared" ca="1" si="129"/>
        <v>40.054693991199073</v>
      </c>
      <c r="AH85" s="121">
        <f t="shared" si="89"/>
        <v>44774</v>
      </c>
      <c r="AI85" s="73">
        <f t="shared" si="81"/>
        <v>41.162244674750916</v>
      </c>
      <c r="AJ85" s="15">
        <f t="shared" si="90"/>
        <v>3.7175214448226539</v>
      </c>
      <c r="AK85" s="98">
        <f t="shared" si="91"/>
        <v>1</v>
      </c>
      <c r="AL85" s="128">
        <f>IF(AK85&gt;0,17,0)</f>
        <v>17</v>
      </c>
      <c r="AM85" s="128">
        <f t="shared" si="92"/>
        <v>289</v>
      </c>
      <c r="AN85" s="15">
        <f t="shared" si="93"/>
        <v>63.197864561985114</v>
      </c>
      <c r="AO85" s="127">
        <f t="shared" ca="1" si="94"/>
        <v>3.6972649022991786</v>
      </c>
      <c r="AP85" s="127">
        <f t="shared" ca="1" si="130"/>
        <v>40.336828181349418</v>
      </c>
      <c r="AR85" s="121">
        <f t="shared" si="95"/>
        <v>44774</v>
      </c>
      <c r="AS85" s="73">
        <f t="shared" si="135"/>
        <v>41.162244674750916</v>
      </c>
      <c r="AT85" s="15">
        <f t="shared" si="96"/>
        <v>3.7175214448226539</v>
      </c>
      <c r="AU85" s="98">
        <f t="shared" si="97"/>
        <v>1</v>
      </c>
      <c r="AV85" s="128">
        <f>IF(AU85&gt;0,17,0)</f>
        <v>17</v>
      </c>
      <c r="AW85" s="128">
        <f t="shared" si="98"/>
        <v>289</v>
      </c>
      <c r="AX85" s="15">
        <f t="shared" si="99"/>
        <v>63.197864561985114</v>
      </c>
      <c r="AY85" s="127">
        <f t="shared" ca="1" si="100"/>
        <v>3.6544138453863431</v>
      </c>
      <c r="AZ85" s="127">
        <f t="shared" ca="1" si="131"/>
        <v>38.644862610603298</v>
      </c>
      <c r="BB85" s="121">
        <f t="shared" si="101"/>
        <v>44774</v>
      </c>
      <c r="BC85" s="73">
        <f t="shared" ref="BC85:BC102" si="139">+$AI85</f>
        <v>41.162244674750916</v>
      </c>
      <c r="BD85" s="15">
        <f t="shared" si="102"/>
        <v>3.7175214448226539</v>
      </c>
      <c r="BE85" s="98">
        <f t="shared" si="103"/>
        <v>1</v>
      </c>
      <c r="BF85" s="128">
        <f>IF(BE85&gt;0,17,0)</f>
        <v>17</v>
      </c>
      <c r="BG85" s="128">
        <f t="shared" si="104"/>
        <v>289</v>
      </c>
      <c r="BH85" s="15">
        <f t="shared" si="105"/>
        <v>63.197864561985114</v>
      </c>
      <c r="BI85" s="127">
        <f t="shared" ca="1" si="106"/>
        <v>3.6782707648021273</v>
      </c>
      <c r="BJ85" s="127">
        <f t="shared" ca="1" si="132"/>
        <v>39.577895374722281</v>
      </c>
      <c r="BL85" s="121">
        <f t="shared" si="107"/>
        <v>44774</v>
      </c>
      <c r="BM85" s="131">
        <v>0</v>
      </c>
      <c r="BN85" s="15">
        <f t="shared" si="108"/>
        <v>0</v>
      </c>
      <c r="BO85" s="98">
        <f t="shared" si="109"/>
        <v>0</v>
      </c>
      <c r="BP85" s="128">
        <f>IF(BO85&gt;0,17,0)</f>
        <v>0</v>
      </c>
      <c r="BQ85" s="128">
        <f t="shared" si="110"/>
        <v>0</v>
      </c>
      <c r="BR85" s="15">
        <f t="shared" si="111"/>
        <v>0</v>
      </c>
      <c r="BS85" s="127">
        <f t="shared" ca="1" si="112"/>
        <v>3.6331283739780704</v>
      </c>
      <c r="BT85" s="127">
        <f t="shared" ca="1" si="133"/>
        <v>37.830981146375528</v>
      </c>
      <c r="BZ85" s="583">
        <f t="shared" si="113"/>
        <v>1</v>
      </c>
      <c r="CA85" s="121">
        <f t="shared" si="114"/>
        <v>44774</v>
      </c>
      <c r="CB85" s="127">
        <f t="shared" si="115"/>
        <v>41.162244674750916</v>
      </c>
      <c r="CC85" s="15">
        <f t="shared" si="116"/>
        <v>3.7175214448226539</v>
      </c>
      <c r="CD85" s="98">
        <f t="shared" si="117"/>
        <v>1</v>
      </c>
      <c r="CE85" s="128">
        <f>IF(CD85&gt;0,17,0)</f>
        <v>17</v>
      </c>
      <c r="CF85" s="128">
        <f t="shared" si="118"/>
        <v>289</v>
      </c>
      <c r="CG85" s="15">
        <f t="shared" si="119"/>
        <v>63.197864561985114</v>
      </c>
      <c r="CH85" s="127">
        <f t="shared" ca="1" si="120"/>
        <v>3.6632406283795742</v>
      </c>
      <c r="CI85" s="127">
        <f t="shared" ca="1" si="134"/>
        <v>38.987482317053889</v>
      </c>
      <c r="DQ85" s="121">
        <f t="shared" si="121"/>
        <v>44774</v>
      </c>
      <c r="DR85" s="98">
        <f t="shared" si="122"/>
        <v>1</v>
      </c>
      <c r="DS85" s="73">
        <f t="shared" si="123"/>
        <v>44.71334857009554</v>
      </c>
      <c r="DT85" s="295">
        <f t="shared" ca="1" si="127"/>
        <v>40.336828181349418</v>
      </c>
      <c r="DU85" s="295">
        <f t="shared" ca="1" si="128"/>
        <v>4.3765203887461226</v>
      </c>
      <c r="DX85" s="121">
        <f t="shared" si="124"/>
        <v>44774</v>
      </c>
      <c r="DY85" s="98">
        <f t="shared" si="136"/>
        <v>1</v>
      </c>
      <c r="DZ85" s="281">
        <f t="shared" si="137"/>
        <v>44.71334857009554</v>
      </c>
      <c r="EA85" s="127">
        <f t="shared" ca="1" si="138"/>
        <v>38.644862610603298</v>
      </c>
      <c r="EC85" s="121">
        <f t="shared" si="125"/>
        <v>44774</v>
      </c>
      <c r="ED85" s="13"/>
      <c r="EE85" s="281"/>
      <c r="EF85" s="127"/>
      <c r="EH85" s="121">
        <f t="shared" si="126"/>
        <v>44774</v>
      </c>
      <c r="EI85" s="13"/>
      <c r="EJ85" s="281"/>
      <c r="EK85" s="127"/>
    </row>
    <row r="86" spans="22:141" x14ac:dyDescent="0.2">
      <c r="V86" s="2">
        <v>18</v>
      </c>
      <c r="X86" s="121">
        <f t="shared" si="82"/>
        <v>44805</v>
      </c>
      <c r="Y86" s="73">
        <f t="shared" si="83"/>
        <v>40.787181949898923</v>
      </c>
      <c r="Z86" s="15">
        <f t="shared" si="84"/>
        <v>3.7083678641544102</v>
      </c>
      <c r="AA86" s="98">
        <f t="shared" si="85"/>
        <v>1</v>
      </c>
      <c r="AB86" s="128">
        <f>IF(AA86&gt;0,18,0)</f>
        <v>18</v>
      </c>
      <c r="AC86" s="128">
        <f t="shared" si="86"/>
        <v>324</v>
      </c>
      <c r="AD86" s="15">
        <f t="shared" si="87"/>
        <v>66.750621554779386</v>
      </c>
      <c r="AE86" s="127">
        <f t="shared" ca="1" si="88"/>
        <v>3.6897667962432461</v>
      </c>
      <c r="AF86" s="127">
        <f t="shared" ca="1" si="129"/>
        <v>40.035509437352324</v>
      </c>
      <c r="AH86" s="121">
        <f t="shared" si="89"/>
        <v>44805</v>
      </c>
      <c r="AI86" s="73">
        <f t="shared" si="81"/>
        <v>42.32757718889949</v>
      </c>
      <c r="AJ86" s="15">
        <f t="shared" si="90"/>
        <v>3.7454388166297026</v>
      </c>
      <c r="AK86" s="98">
        <f t="shared" si="91"/>
        <v>1</v>
      </c>
      <c r="AL86" s="128">
        <f>IF(AK86&gt;0,18,0)</f>
        <v>18</v>
      </c>
      <c r="AM86" s="128">
        <f t="shared" si="92"/>
        <v>324</v>
      </c>
      <c r="AN86" s="15">
        <f t="shared" si="93"/>
        <v>67.417898699334643</v>
      </c>
      <c r="AO86" s="127">
        <f t="shared" ca="1" si="94"/>
        <v>3.6960815489906791</v>
      </c>
      <c r="AP86" s="127">
        <f t="shared" ca="1" si="130"/>
        <v>40.289123693465243</v>
      </c>
      <c r="AR86" s="121">
        <f t="shared" si="95"/>
        <v>44805</v>
      </c>
      <c r="AS86" s="73">
        <f t="shared" si="135"/>
        <v>42.32757718889949</v>
      </c>
      <c r="AT86" s="15">
        <f t="shared" si="96"/>
        <v>3.7454388166297026</v>
      </c>
      <c r="AU86" s="98">
        <f t="shared" si="97"/>
        <v>1</v>
      </c>
      <c r="AV86" s="128">
        <f>IF(AU86&gt;0,18,0)</f>
        <v>18</v>
      </c>
      <c r="AW86" s="128">
        <f t="shared" si="98"/>
        <v>324</v>
      </c>
      <c r="AX86" s="15">
        <f t="shared" si="99"/>
        <v>67.417898699334643</v>
      </c>
      <c r="AY86" s="127">
        <f t="shared" ca="1" si="100"/>
        <v>3.658102645550755</v>
      </c>
      <c r="AZ86" s="127">
        <f t="shared" ca="1" si="131"/>
        <v>38.787679034834738</v>
      </c>
      <c r="BB86" s="121">
        <f t="shared" si="101"/>
        <v>44805</v>
      </c>
      <c r="BC86" s="73">
        <f t="shared" si="139"/>
        <v>42.32757718889949</v>
      </c>
      <c r="BD86" s="15">
        <f t="shared" si="102"/>
        <v>3.7454388166297026</v>
      </c>
      <c r="BE86" s="98">
        <f t="shared" si="103"/>
        <v>1</v>
      </c>
      <c r="BF86" s="128">
        <f>IF(BE86&gt;0,18,0)</f>
        <v>18</v>
      </c>
      <c r="BG86" s="128">
        <f t="shared" si="104"/>
        <v>324</v>
      </c>
      <c r="BH86" s="15">
        <f t="shared" si="105"/>
        <v>67.417898699334643</v>
      </c>
      <c r="BI86" s="127">
        <f t="shared" ca="1" si="106"/>
        <v>3.6795315556354593</v>
      </c>
      <c r="BJ86" s="127">
        <f t="shared" ca="1" si="132"/>
        <v>39.627826292020565</v>
      </c>
      <c r="BL86" s="121">
        <f t="shared" si="107"/>
        <v>44805</v>
      </c>
      <c r="BM86" s="131">
        <v>0</v>
      </c>
      <c r="BN86" s="15">
        <f t="shared" si="108"/>
        <v>0</v>
      </c>
      <c r="BO86" s="98">
        <f t="shared" si="109"/>
        <v>0</v>
      </c>
      <c r="BP86" s="128">
        <f>IF(BO86&gt;0,18,0)</f>
        <v>0</v>
      </c>
      <c r="BQ86" s="128">
        <f t="shared" si="110"/>
        <v>0</v>
      </c>
      <c r="BR86" s="15">
        <f t="shared" si="111"/>
        <v>0</v>
      </c>
      <c r="BS86" s="127">
        <f t="shared" ca="1" si="112"/>
        <v>3.6382560182302037</v>
      </c>
      <c r="BT86" s="127">
        <f t="shared" ca="1" si="133"/>
        <v>38.025463150546912</v>
      </c>
      <c r="BZ86" s="583">
        <f t="shared" si="113"/>
        <v>1</v>
      </c>
      <c r="CA86" s="121">
        <f t="shared" si="114"/>
        <v>44805</v>
      </c>
      <c r="CB86" s="127">
        <f t="shared" si="115"/>
        <v>42.32757718889949</v>
      </c>
      <c r="CC86" s="15">
        <f t="shared" si="116"/>
        <v>3.7454388166297026</v>
      </c>
      <c r="CD86" s="98">
        <f t="shared" si="117"/>
        <v>1</v>
      </c>
      <c r="CE86" s="128">
        <f>IF(CD86&gt;0,18,0)</f>
        <v>18</v>
      </c>
      <c r="CF86" s="128">
        <f t="shared" si="118"/>
        <v>324</v>
      </c>
      <c r="CG86" s="15">
        <f t="shared" si="119"/>
        <v>67.417898699334643</v>
      </c>
      <c r="CH86" s="127">
        <f t="shared" ca="1" si="120"/>
        <v>3.6668475074024536</v>
      </c>
      <c r="CI86" s="127">
        <f t="shared" ca="1" si="134"/>
        <v>39.12835935967388</v>
      </c>
      <c r="DQ86" s="121">
        <f t="shared" si="121"/>
        <v>44805</v>
      </c>
      <c r="DR86" s="98">
        <f t="shared" si="122"/>
        <v>1</v>
      </c>
      <c r="DS86" s="73">
        <f t="shared" si="123"/>
        <v>40.787181949898923</v>
      </c>
      <c r="DT86" s="295">
        <f t="shared" ca="1" si="127"/>
        <v>40.289123693465243</v>
      </c>
      <c r="DU86" s="295">
        <f t="shared" ca="1" si="128"/>
        <v>0.49805825643367996</v>
      </c>
      <c r="DX86" s="121">
        <f t="shared" si="124"/>
        <v>44805</v>
      </c>
      <c r="DY86" s="98">
        <f t="shared" si="136"/>
        <v>1</v>
      </c>
      <c r="DZ86" s="281">
        <f t="shared" si="137"/>
        <v>40.787181949898923</v>
      </c>
      <c r="EA86" s="127">
        <f t="shared" ca="1" si="138"/>
        <v>38.787679034834738</v>
      </c>
      <c r="EC86" s="121">
        <f t="shared" si="125"/>
        <v>44805</v>
      </c>
      <c r="ED86" s="13"/>
      <c r="EE86" s="281"/>
      <c r="EF86" s="127"/>
      <c r="EH86" s="121">
        <f t="shared" si="126"/>
        <v>44805</v>
      </c>
      <c r="EI86" s="13"/>
      <c r="EJ86" s="281"/>
      <c r="EK86" s="127"/>
    </row>
    <row r="87" spans="22:141" x14ac:dyDescent="0.2">
      <c r="V87" s="2">
        <v>19</v>
      </c>
      <c r="X87" s="121">
        <f t="shared" si="82"/>
        <v>44835</v>
      </c>
      <c r="Y87" s="73">
        <f t="shared" si="83"/>
        <v>41.482201046704006</v>
      </c>
      <c r="Z87" s="15">
        <f t="shared" si="84"/>
        <v>3.725264444795974</v>
      </c>
      <c r="AA87" s="98">
        <f t="shared" si="85"/>
        <v>1</v>
      </c>
      <c r="AB87" s="128">
        <f>IF(AA87&gt;0,19,0)</f>
        <v>19</v>
      </c>
      <c r="AC87" s="128">
        <f t="shared" si="86"/>
        <v>361</v>
      </c>
      <c r="AD87" s="15">
        <f t="shared" si="87"/>
        <v>70.780024451123509</v>
      </c>
      <c r="AE87" s="127">
        <f t="shared" ca="1" si="88"/>
        <v>3.6892877225640088</v>
      </c>
      <c r="AF87" s="127">
        <f t="shared" ca="1" si="129"/>
        <v>40.016334072119172</v>
      </c>
      <c r="AH87" s="121">
        <f t="shared" si="89"/>
        <v>44835</v>
      </c>
      <c r="AI87" s="73">
        <f t="shared" si="81"/>
        <v>40.520750427043382</v>
      </c>
      <c r="AJ87" s="15">
        <f t="shared" si="90"/>
        <v>3.7018141991261526</v>
      </c>
      <c r="AK87" s="98">
        <f t="shared" si="91"/>
        <v>1</v>
      </c>
      <c r="AL87" s="128">
        <f>IF(AK87&gt;0,19,0)</f>
        <v>19</v>
      </c>
      <c r="AM87" s="128">
        <f t="shared" si="92"/>
        <v>361</v>
      </c>
      <c r="AN87" s="15">
        <f t="shared" si="93"/>
        <v>70.334469783396898</v>
      </c>
      <c r="AO87" s="127">
        <f t="shared" ca="1" si="94"/>
        <v>3.69489819568218</v>
      </c>
      <c r="AP87" s="127">
        <f t="shared" ca="1" si="130"/>
        <v>40.241475623456928</v>
      </c>
      <c r="AR87" s="121">
        <f t="shared" si="95"/>
        <v>44835</v>
      </c>
      <c r="AS87" s="73">
        <f t="shared" si="135"/>
        <v>40.520750427043382</v>
      </c>
      <c r="AT87" s="15">
        <f t="shared" si="96"/>
        <v>3.7018141991261526</v>
      </c>
      <c r="AU87" s="98">
        <f t="shared" si="97"/>
        <v>1</v>
      </c>
      <c r="AV87" s="128">
        <f>IF(AU87&gt;0,19,0)</f>
        <v>19</v>
      </c>
      <c r="AW87" s="128">
        <f t="shared" si="98"/>
        <v>361</v>
      </c>
      <c r="AX87" s="15">
        <f t="shared" si="99"/>
        <v>70.334469783396898</v>
      </c>
      <c r="AY87" s="127">
        <f t="shared" ca="1" si="100"/>
        <v>3.661791445715167</v>
      </c>
      <c r="AZ87" s="127">
        <f t="shared" ca="1" si="131"/>
        <v>38.931023253180392</v>
      </c>
      <c r="BB87" s="121">
        <f t="shared" si="101"/>
        <v>44835</v>
      </c>
      <c r="BC87" s="73">
        <f t="shared" si="139"/>
        <v>40.520750427043382</v>
      </c>
      <c r="BD87" s="15">
        <f t="shared" si="102"/>
        <v>3.7018141991261526</v>
      </c>
      <c r="BE87" s="98">
        <f t="shared" si="103"/>
        <v>1</v>
      </c>
      <c r="BF87" s="128">
        <f>IF(BE87&gt;0,19,0)</f>
        <v>19</v>
      </c>
      <c r="BG87" s="128">
        <f t="shared" si="104"/>
        <v>361</v>
      </c>
      <c r="BH87" s="15">
        <f t="shared" si="105"/>
        <v>70.334469783396898</v>
      </c>
      <c r="BI87" s="127">
        <f t="shared" ca="1" si="106"/>
        <v>3.6807923464687913</v>
      </c>
      <c r="BJ87" s="127">
        <f t="shared" ca="1" si="132"/>
        <v>39.677820201463291</v>
      </c>
      <c r="BL87" s="121">
        <f t="shared" si="107"/>
        <v>44835</v>
      </c>
      <c r="BM87" s="131">
        <v>0</v>
      </c>
      <c r="BN87" s="15">
        <f t="shared" si="108"/>
        <v>0</v>
      </c>
      <c r="BO87" s="98">
        <f t="shared" si="109"/>
        <v>0</v>
      </c>
      <c r="BP87" s="128">
        <f>IF(BO87&gt;0,19,0)</f>
        <v>0</v>
      </c>
      <c r="BQ87" s="128">
        <f t="shared" si="110"/>
        <v>0</v>
      </c>
      <c r="BR87" s="15">
        <f t="shared" si="111"/>
        <v>0</v>
      </c>
      <c r="BS87" s="127">
        <f t="shared" ca="1" si="112"/>
        <v>3.6433836624823375</v>
      </c>
      <c r="BT87" s="127">
        <f t="shared" ca="1" si="133"/>
        <v>38.220944950356717</v>
      </c>
      <c r="BZ87" s="583">
        <f t="shared" si="113"/>
        <v>1</v>
      </c>
      <c r="CA87" s="121">
        <f t="shared" si="114"/>
        <v>44835</v>
      </c>
      <c r="CB87" s="127">
        <f t="shared" si="115"/>
        <v>40.520750427043382</v>
      </c>
      <c r="CC87" s="15">
        <f t="shared" si="116"/>
        <v>3.7018141991261526</v>
      </c>
      <c r="CD87" s="98">
        <f t="shared" si="117"/>
        <v>1</v>
      </c>
      <c r="CE87" s="128">
        <f>IF(CD87&gt;0,19,0)</f>
        <v>19</v>
      </c>
      <c r="CF87" s="128">
        <f t="shared" si="118"/>
        <v>361</v>
      </c>
      <c r="CG87" s="15">
        <f t="shared" si="119"/>
        <v>70.334469783396898</v>
      </c>
      <c r="CH87" s="127">
        <f t="shared" ca="1" si="120"/>
        <v>3.6704543864253329</v>
      </c>
      <c r="CI87" s="127">
        <f t="shared" ca="1" si="134"/>
        <v>39.269745446221769</v>
      </c>
      <c r="DQ87" s="121">
        <f t="shared" si="121"/>
        <v>44835</v>
      </c>
      <c r="DR87" s="98">
        <f t="shared" si="122"/>
        <v>1</v>
      </c>
      <c r="DS87" s="73">
        <f t="shared" si="123"/>
        <v>41.482201046704006</v>
      </c>
      <c r="DT87" s="295">
        <f t="shared" ca="1" si="127"/>
        <v>40.241475623456928</v>
      </c>
      <c r="DU87" s="295">
        <f t="shared" ca="1" si="128"/>
        <v>1.2407254232470777</v>
      </c>
      <c r="DX87" s="121">
        <f t="shared" si="124"/>
        <v>44835</v>
      </c>
      <c r="DY87" s="98">
        <f t="shared" si="136"/>
        <v>1</v>
      </c>
      <c r="DZ87" s="281">
        <f t="shared" si="137"/>
        <v>41.482201046704006</v>
      </c>
      <c r="EA87" s="127">
        <f t="shared" ca="1" si="138"/>
        <v>38.931023253180392</v>
      </c>
      <c r="EC87" s="121">
        <f t="shared" si="125"/>
        <v>44835</v>
      </c>
      <c r="ED87" s="98">
        <f t="shared" ref="ED87:ED104" si="140">IF($Y87&gt;0,1,0)</f>
        <v>1</v>
      </c>
      <c r="EE87" s="281">
        <f t="shared" ref="EE87:EE104" si="141">+DZ87</f>
        <v>41.482201046704006</v>
      </c>
      <c r="EF87" s="127">
        <f ca="1">+BJ87</f>
        <v>39.677820201463291</v>
      </c>
      <c r="EH87" s="121">
        <f t="shared" si="126"/>
        <v>44835</v>
      </c>
      <c r="EI87" s="98"/>
      <c r="EJ87" s="281"/>
      <c r="EK87" s="127"/>
    </row>
    <row r="88" spans="22:141" x14ac:dyDescent="0.2">
      <c r="V88" s="2">
        <v>20</v>
      </c>
      <c r="X88" s="121">
        <f t="shared" si="82"/>
        <v>44866</v>
      </c>
      <c r="Y88" s="73">
        <f t="shared" si="83"/>
        <v>39.292868284527216</v>
      </c>
      <c r="Z88" s="15">
        <f t="shared" si="84"/>
        <v>3.6710430338207054</v>
      </c>
      <c r="AA88" s="98">
        <f t="shared" si="85"/>
        <v>1</v>
      </c>
      <c r="AB88" s="128">
        <f>IF(AA88&gt;0,20,0)</f>
        <v>20</v>
      </c>
      <c r="AC88" s="128">
        <f t="shared" si="86"/>
        <v>400</v>
      </c>
      <c r="AD88" s="15">
        <f t="shared" si="87"/>
        <v>73.420860676414108</v>
      </c>
      <c r="AE88" s="127">
        <f t="shared" ca="1" si="88"/>
        <v>3.6888086488847716</v>
      </c>
      <c r="AF88" s="127">
        <f t="shared" ca="1" si="129"/>
        <v>39.997167891098655</v>
      </c>
      <c r="AH88" s="121">
        <f t="shared" si="89"/>
        <v>44866</v>
      </c>
      <c r="AI88" s="73">
        <f t="shared" si="81"/>
        <v>40.243414104596695</v>
      </c>
      <c r="AJ88" s="15">
        <f t="shared" si="90"/>
        <v>3.6949463657460688</v>
      </c>
      <c r="AK88" s="98">
        <f t="shared" si="91"/>
        <v>1</v>
      </c>
      <c r="AL88" s="128">
        <f>IF(AK88&gt;0,20,0)</f>
        <v>20</v>
      </c>
      <c r="AM88" s="128">
        <f t="shared" si="92"/>
        <v>400</v>
      </c>
      <c r="AN88" s="15">
        <f t="shared" si="93"/>
        <v>73.89892731492138</v>
      </c>
      <c r="AO88" s="127">
        <f t="shared" ca="1" si="94"/>
        <v>3.6937148423736805</v>
      </c>
      <c r="AP88" s="127">
        <f t="shared" ca="1" si="130"/>
        <v>40.193883904601648</v>
      </c>
      <c r="AR88" s="121">
        <f t="shared" si="95"/>
        <v>44866</v>
      </c>
      <c r="AS88" s="73">
        <f t="shared" si="135"/>
        <v>40.243414104596695</v>
      </c>
      <c r="AT88" s="15">
        <f t="shared" si="96"/>
        <v>3.6949463657460688</v>
      </c>
      <c r="AU88" s="98">
        <f t="shared" si="97"/>
        <v>1</v>
      </c>
      <c r="AV88" s="128">
        <f>IF(AU88&gt;0,20,0)</f>
        <v>20</v>
      </c>
      <c r="AW88" s="128">
        <f t="shared" si="98"/>
        <v>400</v>
      </c>
      <c r="AX88" s="15">
        <f t="shared" si="99"/>
        <v>73.89892731492138</v>
      </c>
      <c r="AY88" s="127">
        <f t="shared" ca="1" si="100"/>
        <v>3.665480245879579</v>
      </c>
      <c r="AZ88" s="127">
        <f t="shared" ca="1" si="131"/>
        <v>39.074897216162597</v>
      </c>
      <c r="BB88" s="121">
        <f t="shared" si="101"/>
        <v>44866</v>
      </c>
      <c r="BC88" s="73">
        <f t="shared" si="139"/>
        <v>40.243414104596695</v>
      </c>
      <c r="BD88" s="15">
        <f t="shared" si="102"/>
        <v>3.6949463657460688</v>
      </c>
      <c r="BE88" s="98">
        <f t="shared" si="103"/>
        <v>1</v>
      </c>
      <c r="BF88" s="128">
        <f>IF(BE88&gt;0,20,0)</f>
        <v>20</v>
      </c>
      <c r="BG88" s="128">
        <f t="shared" si="104"/>
        <v>400</v>
      </c>
      <c r="BH88" s="15">
        <f t="shared" si="105"/>
        <v>73.89892731492138</v>
      </c>
      <c r="BI88" s="127">
        <f t="shared" ca="1" si="106"/>
        <v>3.6820531373021228</v>
      </c>
      <c r="BJ88" s="127">
        <f t="shared" ca="1" si="132"/>
        <v>39.727877182520444</v>
      </c>
      <c r="BL88" s="121">
        <f t="shared" si="107"/>
        <v>44866</v>
      </c>
      <c r="BM88" s="131">
        <v>0</v>
      </c>
      <c r="BN88" s="15">
        <f t="shared" si="108"/>
        <v>0</v>
      </c>
      <c r="BO88" s="98">
        <f t="shared" si="109"/>
        <v>0</v>
      </c>
      <c r="BP88" s="128">
        <f>IF(BO88&gt;0,20,0)</f>
        <v>0</v>
      </c>
      <c r="BQ88" s="128">
        <f t="shared" si="110"/>
        <v>0</v>
      </c>
      <c r="BR88" s="15">
        <f t="shared" si="111"/>
        <v>0</v>
      </c>
      <c r="BS88" s="127">
        <f t="shared" ca="1" si="112"/>
        <v>3.6485113067344708</v>
      </c>
      <c r="BT88" s="127">
        <f t="shared" ca="1" si="133"/>
        <v>38.417431685567436</v>
      </c>
      <c r="BZ88" s="583">
        <f t="shared" si="113"/>
        <v>1</v>
      </c>
      <c r="CA88" s="121">
        <f t="shared" si="114"/>
        <v>44866</v>
      </c>
      <c r="CB88" s="127">
        <f t="shared" si="115"/>
        <v>40.243414104596695</v>
      </c>
      <c r="CC88" s="15">
        <f t="shared" si="116"/>
        <v>3.6949463657460688</v>
      </c>
      <c r="CD88" s="98">
        <f t="shared" si="117"/>
        <v>1</v>
      </c>
      <c r="CE88" s="128">
        <f>IF(CD88&gt;0,20,0)</f>
        <v>20</v>
      </c>
      <c r="CF88" s="128">
        <f t="shared" si="118"/>
        <v>400</v>
      </c>
      <c r="CG88" s="15">
        <f t="shared" si="119"/>
        <v>73.89892731492138</v>
      </c>
      <c r="CH88" s="127">
        <f t="shared" ca="1" si="120"/>
        <v>3.6740612654482123</v>
      </c>
      <c r="CI88" s="127">
        <f t="shared" ca="1" si="134"/>
        <v>39.411642416072617</v>
      </c>
      <c r="DQ88" s="121">
        <f t="shared" si="121"/>
        <v>44866</v>
      </c>
      <c r="DR88" s="98">
        <f t="shared" si="122"/>
        <v>1</v>
      </c>
      <c r="DS88" s="73">
        <f t="shared" si="123"/>
        <v>39.292868284527216</v>
      </c>
      <c r="DT88" s="295">
        <f t="shared" ca="1" si="127"/>
        <v>40.193883904601648</v>
      </c>
      <c r="DU88" s="295">
        <f t="shared" ca="1" si="128"/>
        <v>-0.90101562007443192</v>
      </c>
      <c r="DX88" s="121">
        <f t="shared" si="124"/>
        <v>44866</v>
      </c>
      <c r="DY88" s="98">
        <f t="shared" si="136"/>
        <v>1</v>
      </c>
      <c r="DZ88" s="281">
        <f t="shared" si="137"/>
        <v>39.292868284527216</v>
      </c>
      <c r="EA88" s="127">
        <f t="shared" ca="1" si="138"/>
        <v>39.074897216162597</v>
      </c>
      <c r="EC88" s="121">
        <f t="shared" si="125"/>
        <v>44866</v>
      </c>
      <c r="ED88" s="98">
        <f t="shared" si="140"/>
        <v>1</v>
      </c>
      <c r="EE88" s="281">
        <f t="shared" si="141"/>
        <v>39.292868284527216</v>
      </c>
      <c r="EF88" s="127">
        <f t="shared" ref="EF88:EF103" ca="1" si="142">+BJ88</f>
        <v>39.727877182520444</v>
      </c>
      <c r="EH88" s="121">
        <f t="shared" si="126"/>
        <v>44866</v>
      </c>
      <c r="EI88" s="98"/>
      <c r="EJ88" s="281"/>
      <c r="EK88" s="127"/>
    </row>
    <row r="89" spans="22:141" x14ac:dyDescent="0.2">
      <c r="V89" s="2">
        <v>21</v>
      </c>
      <c r="X89" s="121">
        <f t="shared" si="82"/>
        <v>44896</v>
      </c>
      <c r="Y89" s="73">
        <f t="shared" si="83"/>
        <v>39.955172982558864</v>
      </c>
      <c r="Z89" s="15">
        <f t="shared" si="84"/>
        <v>3.6877581502516397</v>
      </c>
      <c r="AA89" s="98">
        <f t="shared" si="85"/>
        <v>1</v>
      </c>
      <c r="AB89" s="128">
        <f>IF(AA89&gt;0,21,0)</f>
        <v>21</v>
      </c>
      <c r="AC89" s="128">
        <f t="shared" si="86"/>
        <v>441</v>
      </c>
      <c r="AD89" s="15">
        <f t="shared" si="87"/>
        <v>77.442921155284438</v>
      </c>
      <c r="AE89" s="127">
        <f t="shared" ca="1" si="88"/>
        <v>3.6883295752055343</v>
      </c>
      <c r="AF89" s="127">
        <f t="shared" ca="1" si="129"/>
        <v>39.978010889891912</v>
      </c>
      <c r="AH89" s="121">
        <f t="shared" si="89"/>
        <v>44896</v>
      </c>
      <c r="AI89" s="73">
        <f t="shared" si="81"/>
        <v>37.901873382070029</v>
      </c>
      <c r="AJ89" s="15">
        <f t="shared" si="90"/>
        <v>3.6350005404728472</v>
      </c>
      <c r="AK89" s="98">
        <f t="shared" si="91"/>
        <v>1</v>
      </c>
      <c r="AL89" s="128">
        <f>IF(AK89&gt;0,21,0)</f>
        <v>21</v>
      </c>
      <c r="AM89" s="128">
        <f t="shared" si="92"/>
        <v>441</v>
      </c>
      <c r="AN89" s="15">
        <f t="shared" si="93"/>
        <v>76.335011349929786</v>
      </c>
      <c r="AO89" s="127">
        <f t="shared" ca="1" si="94"/>
        <v>3.6925314890651815</v>
      </c>
      <c r="AP89" s="127">
        <f t="shared" ca="1" si="130"/>
        <v>40.146348470255546</v>
      </c>
      <c r="AR89" s="121">
        <f t="shared" si="95"/>
        <v>44896</v>
      </c>
      <c r="AS89" s="73">
        <f t="shared" si="135"/>
        <v>37.901873382070029</v>
      </c>
      <c r="AT89" s="15">
        <f t="shared" si="96"/>
        <v>3.6350005404728472</v>
      </c>
      <c r="AU89" s="98">
        <f t="shared" si="97"/>
        <v>1</v>
      </c>
      <c r="AV89" s="128">
        <f>IF(AU89&gt;0,21,0)</f>
        <v>21</v>
      </c>
      <c r="AW89" s="128">
        <f t="shared" si="98"/>
        <v>441</v>
      </c>
      <c r="AX89" s="15">
        <f t="shared" si="99"/>
        <v>76.335011349929786</v>
      </c>
      <c r="AY89" s="127">
        <f t="shared" ca="1" si="100"/>
        <v>3.669169046043991</v>
      </c>
      <c r="AZ89" s="127">
        <f t="shared" ca="1" si="131"/>
        <v>39.219302881512078</v>
      </c>
      <c r="BB89" s="121">
        <f t="shared" si="101"/>
        <v>44896</v>
      </c>
      <c r="BC89" s="73">
        <f t="shared" si="139"/>
        <v>37.901873382070029</v>
      </c>
      <c r="BD89" s="15">
        <f t="shared" si="102"/>
        <v>3.6350005404728472</v>
      </c>
      <c r="BE89" s="98">
        <f t="shared" si="103"/>
        <v>1</v>
      </c>
      <c r="BF89" s="128">
        <f>IF(BE89&gt;0,21,0)</f>
        <v>21</v>
      </c>
      <c r="BG89" s="128">
        <f t="shared" si="104"/>
        <v>441</v>
      </c>
      <c r="BH89" s="15">
        <f t="shared" si="105"/>
        <v>76.335011349929786</v>
      </c>
      <c r="BI89" s="127">
        <f t="shared" ca="1" si="106"/>
        <v>3.6833139281354548</v>
      </c>
      <c r="BJ89" s="127">
        <f t="shared" ca="1" si="132"/>
        <v>39.777997314762338</v>
      </c>
      <c r="BL89" s="121">
        <f t="shared" si="107"/>
        <v>44896</v>
      </c>
      <c r="BM89" s="131">
        <v>0</v>
      </c>
      <c r="BN89" s="15">
        <f t="shared" si="108"/>
        <v>0</v>
      </c>
      <c r="BO89" s="98">
        <f t="shared" si="109"/>
        <v>0</v>
      </c>
      <c r="BP89" s="128">
        <f>IF(BO89&gt;0,21,0)</f>
        <v>0</v>
      </c>
      <c r="BQ89" s="128">
        <f t="shared" si="110"/>
        <v>0</v>
      </c>
      <c r="BR89" s="15">
        <f t="shared" si="111"/>
        <v>0</v>
      </c>
      <c r="BS89" s="127">
        <f t="shared" ca="1" si="112"/>
        <v>3.6536389509866041</v>
      </c>
      <c r="BT89" s="127">
        <f t="shared" ca="1" si="133"/>
        <v>38.614928522364181</v>
      </c>
      <c r="BZ89" s="583">
        <f t="shared" si="113"/>
        <v>1</v>
      </c>
      <c r="CA89" s="121">
        <f t="shared" si="114"/>
        <v>44896</v>
      </c>
      <c r="CB89" s="127">
        <f t="shared" si="115"/>
        <v>37.901873382070029</v>
      </c>
      <c r="CC89" s="15">
        <f t="shared" si="116"/>
        <v>3.6350005404728472</v>
      </c>
      <c r="CD89" s="98">
        <f t="shared" si="117"/>
        <v>1</v>
      </c>
      <c r="CE89" s="128">
        <f>IF(CD89&gt;0,21,0)</f>
        <v>21</v>
      </c>
      <c r="CF89" s="128">
        <f t="shared" si="118"/>
        <v>441</v>
      </c>
      <c r="CG89" s="15">
        <f t="shared" si="119"/>
        <v>76.335011349929786</v>
      </c>
      <c r="CH89" s="127">
        <f t="shared" ca="1" si="120"/>
        <v>3.6776681444710917</v>
      </c>
      <c r="CI89" s="127">
        <f t="shared" ca="1" si="134"/>
        <v>39.554052115247892</v>
      </c>
      <c r="DQ89" s="121">
        <f t="shared" si="121"/>
        <v>44896</v>
      </c>
      <c r="DR89" s="98">
        <f t="shared" si="122"/>
        <v>1</v>
      </c>
      <c r="DS89" s="73">
        <f t="shared" si="123"/>
        <v>39.955172982558864</v>
      </c>
      <c r="DT89" s="295">
        <f t="shared" ca="1" si="127"/>
        <v>40.146348470255546</v>
      </c>
      <c r="DU89" s="295">
        <f t="shared" ca="1" si="128"/>
        <v>-0.19117548769668247</v>
      </c>
      <c r="DX89" s="121">
        <f t="shared" si="124"/>
        <v>44896</v>
      </c>
      <c r="DY89" s="98">
        <f t="shared" si="136"/>
        <v>1</v>
      </c>
      <c r="DZ89" s="281">
        <f t="shared" si="137"/>
        <v>39.955172982558864</v>
      </c>
      <c r="EA89" s="127">
        <f t="shared" ca="1" si="138"/>
        <v>39.219302881512078</v>
      </c>
      <c r="EC89" s="121">
        <f t="shared" si="125"/>
        <v>44896</v>
      </c>
      <c r="ED89" s="98">
        <f t="shared" si="140"/>
        <v>1</v>
      </c>
      <c r="EE89" s="281">
        <f t="shared" si="141"/>
        <v>39.955172982558864</v>
      </c>
      <c r="EF89" s="127">
        <f t="shared" ca="1" si="142"/>
        <v>39.777997314762338</v>
      </c>
      <c r="EH89" s="121">
        <f t="shared" si="126"/>
        <v>44896</v>
      </c>
      <c r="EI89" s="98"/>
      <c r="EJ89" s="281"/>
      <c r="EK89" s="127"/>
    </row>
    <row r="90" spans="22:141" x14ac:dyDescent="0.2">
      <c r="V90" s="2">
        <v>22</v>
      </c>
      <c r="X90" s="121">
        <f t="shared" si="82"/>
        <v>44927</v>
      </c>
      <c r="Y90" s="73">
        <f t="shared" si="83"/>
        <v>34.457578879124007</v>
      </c>
      <c r="Z90" s="15">
        <f t="shared" si="84"/>
        <v>3.539728969755251</v>
      </c>
      <c r="AA90" s="98">
        <f t="shared" si="85"/>
        <v>1</v>
      </c>
      <c r="AB90" s="128">
        <f>IF(AA90&gt;0,22,0)</f>
        <v>22</v>
      </c>
      <c r="AC90" s="128">
        <f t="shared" si="86"/>
        <v>484</v>
      </c>
      <c r="AD90" s="15">
        <f t="shared" si="87"/>
        <v>77.874037334615522</v>
      </c>
      <c r="AE90" s="127">
        <f t="shared" ca="1" si="88"/>
        <v>3.687850501526297</v>
      </c>
      <c r="AF90" s="127">
        <f t="shared" ca="1" si="129"/>
        <v>39.958863064102204</v>
      </c>
      <c r="AH90" s="121">
        <f t="shared" si="89"/>
        <v>44927</v>
      </c>
      <c r="AI90" s="73">
        <f t="shared" si="81"/>
        <v>36.667763950870807</v>
      </c>
      <c r="AJ90" s="15">
        <f t="shared" si="90"/>
        <v>3.6018980026093748</v>
      </c>
      <c r="AK90" s="98">
        <f t="shared" si="91"/>
        <v>1</v>
      </c>
      <c r="AL90" s="128">
        <f>IF(AK90&gt;0,22,0)</f>
        <v>22</v>
      </c>
      <c r="AM90" s="128">
        <f t="shared" si="92"/>
        <v>484</v>
      </c>
      <c r="AN90" s="15">
        <f t="shared" si="93"/>
        <v>79.241756057406249</v>
      </c>
      <c r="AO90" s="127">
        <f t="shared" ca="1" si="94"/>
        <v>3.691348135756682</v>
      </c>
      <c r="AP90" s="127">
        <f t="shared" ca="1" si="130"/>
        <v>40.098869253853536</v>
      </c>
      <c r="AR90" s="121">
        <f t="shared" si="95"/>
        <v>44927</v>
      </c>
      <c r="AS90" s="73">
        <f t="shared" si="135"/>
        <v>36.667763950870807</v>
      </c>
      <c r="AT90" s="15">
        <f t="shared" si="96"/>
        <v>3.6018980026093748</v>
      </c>
      <c r="AU90" s="98">
        <f t="shared" si="97"/>
        <v>1</v>
      </c>
      <c r="AV90" s="128">
        <f>IF(AU90&gt;0,22,0)</f>
        <v>22</v>
      </c>
      <c r="AW90" s="128">
        <f t="shared" si="98"/>
        <v>484</v>
      </c>
      <c r="AX90" s="15">
        <f t="shared" si="99"/>
        <v>79.241756057406249</v>
      </c>
      <c r="AY90" s="127">
        <f t="shared" ca="1" si="100"/>
        <v>3.6728578462084029</v>
      </c>
      <c r="AZ90" s="127">
        <f t="shared" ca="1" si="131"/>
        <v>39.364242214194569</v>
      </c>
      <c r="BB90" s="121">
        <f t="shared" si="101"/>
        <v>44927</v>
      </c>
      <c r="BC90" s="73">
        <f t="shared" si="139"/>
        <v>36.667763950870807</v>
      </c>
      <c r="BD90" s="15">
        <f t="shared" si="102"/>
        <v>3.6018980026093748</v>
      </c>
      <c r="BE90" s="98">
        <f t="shared" si="103"/>
        <v>1</v>
      </c>
      <c r="BF90" s="128">
        <f>IF(BE90&gt;0,22,0)</f>
        <v>22</v>
      </c>
      <c r="BG90" s="128">
        <f t="shared" si="104"/>
        <v>484</v>
      </c>
      <c r="BH90" s="15">
        <f t="shared" si="105"/>
        <v>79.241756057406249</v>
      </c>
      <c r="BI90" s="127">
        <f t="shared" ca="1" si="106"/>
        <v>3.6845747189687867</v>
      </c>
      <c r="BJ90" s="127">
        <f t="shared" ca="1" si="132"/>
        <v>39.828180677859585</v>
      </c>
      <c r="BL90" s="121">
        <f t="shared" si="107"/>
        <v>44927</v>
      </c>
      <c r="BM90" s="131">
        <v>0</v>
      </c>
      <c r="BN90" s="15">
        <f t="shared" si="108"/>
        <v>0</v>
      </c>
      <c r="BO90" s="98">
        <f t="shared" si="109"/>
        <v>0</v>
      </c>
      <c r="BP90" s="128">
        <f>IF(BO90&gt;0,22,0)</f>
        <v>0</v>
      </c>
      <c r="BQ90" s="128">
        <f t="shared" si="110"/>
        <v>0</v>
      </c>
      <c r="BR90" s="15">
        <f t="shared" si="111"/>
        <v>0</v>
      </c>
      <c r="BS90" s="127">
        <f t="shared" ca="1" si="112"/>
        <v>3.6587665952387378</v>
      </c>
      <c r="BT90" s="127">
        <f t="shared" ca="1" si="133"/>
        <v>38.813440653490453</v>
      </c>
      <c r="BZ90" s="583">
        <f t="shared" si="113"/>
        <v>1</v>
      </c>
      <c r="CA90" s="121">
        <f t="shared" si="114"/>
        <v>44927</v>
      </c>
      <c r="CB90" s="127">
        <f t="shared" si="115"/>
        <v>36.667763950870807</v>
      </c>
      <c r="CC90" s="15">
        <f t="shared" si="116"/>
        <v>3.6018980026093748</v>
      </c>
      <c r="CD90" s="98">
        <f t="shared" si="117"/>
        <v>1</v>
      </c>
      <c r="CE90" s="128">
        <f>IF(CD90&gt;0,22,0)</f>
        <v>22</v>
      </c>
      <c r="CF90" s="128">
        <f t="shared" si="118"/>
        <v>484</v>
      </c>
      <c r="CG90" s="15">
        <f t="shared" si="119"/>
        <v>79.241756057406249</v>
      </c>
      <c r="CH90" s="127">
        <f t="shared" ca="1" si="120"/>
        <v>3.6812750234939715</v>
      </c>
      <c r="CI90" s="127">
        <f t="shared" ca="1" si="134"/>
        <v>39.69697639643946</v>
      </c>
      <c r="DQ90" s="121">
        <f t="shared" si="121"/>
        <v>44927</v>
      </c>
      <c r="DR90" s="98">
        <f t="shared" si="122"/>
        <v>1</v>
      </c>
      <c r="DS90" s="73">
        <f t="shared" si="123"/>
        <v>34.457578879124007</v>
      </c>
      <c r="DT90" s="295">
        <f t="shared" ca="1" si="127"/>
        <v>40.098869253853536</v>
      </c>
      <c r="DU90" s="295">
        <f t="shared" ca="1" si="128"/>
        <v>-5.6412903747295289</v>
      </c>
      <c r="DX90" s="121">
        <f t="shared" si="124"/>
        <v>44927</v>
      </c>
      <c r="DY90" s="98">
        <f t="shared" si="136"/>
        <v>1</v>
      </c>
      <c r="DZ90" s="281">
        <f t="shared" si="137"/>
        <v>34.457578879124007</v>
      </c>
      <c r="EA90" s="127">
        <f t="shared" ca="1" si="138"/>
        <v>39.364242214194569</v>
      </c>
      <c r="EC90" s="121">
        <f t="shared" si="125"/>
        <v>44927</v>
      </c>
      <c r="ED90" s="98">
        <f t="shared" si="140"/>
        <v>1</v>
      </c>
      <c r="EE90" s="281">
        <f t="shared" si="141"/>
        <v>34.457578879124007</v>
      </c>
      <c r="EF90" s="127">
        <f t="shared" ca="1" si="142"/>
        <v>39.828180677859585</v>
      </c>
      <c r="EH90" s="121">
        <f t="shared" si="126"/>
        <v>44927</v>
      </c>
      <c r="EI90" s="98"/>
      <c r="EJ90" s="281"/>
      <c r="EK90" s="127"/>
    </row>
    <row r="91" spans="22:141" x14ac:dyDescent="0.2">
      <c r="V91" s="2">
        <v>23</v>
      </c>
      <c r="X91" s="121">
        <f t="shared" si="82"/>
        <v>44958</v>
      </c>
      <c r="Y91" s="73">
        <f t="shared" si="83"/>
        <v>35.59053999092955</v>
      </c>
      <c r="Z91" s="15">
        <f t="shared" si="84"/>
        <v>3.5720798719534885</v>
      </c>
      <c r="AA91" s="98">
        <f t="shared" si="85"/>
        <v>1</v>
      </c>
      <c r="AB91" s="128">
        <f>IF(AA91&gt;0,23,0)</f>
        <v>23</v>
      </c>
      <c r="AC91" s="128">
        <f t="shared" si="86"/>
        <v>529</v>
      </c>
      <c r="AD91" s="15">
        <f t="shared" si="87"/>
        <v>82.157837054930241</v>
      </c>
      <c r="AE91" s="127">
        <f t="shared" ca="1" si="88"/>
        <v>3.6873714278470597</v>
      </c>
      <c r="AF91" s="127">
        <f t="shared" ca="1" si="129"/>
        <v>39.939724409334865</v>
      </c>
      <c r="AH91" s="121">
        <f t="shared" si="89"/>
        <v>44958</v>
      </c>
      <c r="AI91" s="73">
        <f t="shared" si="81"/>
        <v>37.77340263559055</v>
      </c>
      <c r="AJ91" s="15">
        <f t="shared" si="90"/>
        <v>3.6316052209798833</v>
      </c>
      <c r="AK91" s="98">
        <f t="shared" si="91"/>
        <v>1</v>
      </c>
      <c r="AL91" s="128">
        <f>IF(AK91&gt;0,23,0)</f>
        <v>23</v>
      </c>
      <c r="AM91" s="128">
        <f t="shared" si="92"/>
        <v>529</v>
      </c>
      <c r="AN91" s="15">
        <f t="shared" si="93"/>
        <v>83.526920082537316</v>
      </c>
      <c r="AO91" s="127">
        <f t="shared" ca="1" si="94"/>
        <v>3.6901647824481825</v>
      </c>
      <c r="AP91" s="127">
        <f t="shared" ca="1" si="130"/>
        <v>40.051446188909274</v>
      </c>
      <c r="AR91" s="121">
        <f t="shared" si="95"/>
        <v>44958</v>
      </c>
      <c r="AS91" s="73">
        <f t="shared" si="135"/>
        <v>37.77340263559055</v>
      </c>
      <c r="AT91" s="15">
        <f t="shared" si="96"/>
        <v>3.6316052209798833</v>
      </c>
      <c r="AU91" s="98">
        <f t="shared" si="97"/>
        <v>1</v>
      </c>
      <c r="AV91" s="128">
        <f>IF(AU91&gt;0,23,0)</f>
        <v>23</v>
      </c>
      <c r="AW91" s="128">
        <f t="shared" si="98"/>
        <v>529</v>
      </c>
      <c r="AX91" s="15">
        <f t="shared" si="99"/>
        <v>83.526920082537316</v>
      </c>
      <c r="AY91" s="127">
        <f t="shared" ca="1" si="100"/>
        <v>3.6765466463728149</v>
      </c>
      <c r="AZ91" s="127">
        <f t="shared" ca="1" si="131"/>
        <v>39.509717186437555</v>
      </c>
      <c r="BB91" s="121">
        <f t="shared" si="101"/>
        <v>44958</v>
      </c>
      <c r="BC91" s="73">
        <f t="shared" si="139"/>
        <v>37.77340263559055</v>
      </c>
      <c r="BD91" s="15">
        <f t="shared" si="102"/>
        <v>3.6316052209798833</v>
      </c>
      <c r="BE91" s="98">
        <f t="shared" si="103"/>
        <v>1</v>
      </c>
      <c r="BF91" s="128">
        <f>IF(BE91&gt;0,23,0)</f>
        <v>23</v>
      </c>
      <c r="BG91" s="128">
        <f t="shared" si="104"/>
        <v>529</v>
      </c>
      <c r="BH91" s="15">
        <f t="shared" si="105"/>
        <v>83.526920082537316</v>
      </c>
      <c r="BI91" s="127">
        <f t="shared" ca="1" si="106"/>
        <v>3.6858355098021187</v>
      </c>
      <c r="BJ91" s="127">
        <f t="shared" ca="1" si="132"/>
        <v>39.878427351583355</v>
      </c>
      <c r="BL91" s="121">
        <f t="shared" si="107"/>
        <v>44958</v>
      </c>
      <c r="BM91" s="73">
        <f t="shared" ref="BM91:BM102" si="143">+$AI91</f>
        <v>37.77340263559055</v>
      </c>
      <c r="BN91" s="15">
        <f t="shared" si="108"/>
        <v>3.6316052209798833</v>
      </c>
      <c r="BO91" s="98">
        <f t="shared" si="109"/>
        <v>1</v>
      </c>
      <c r="BP91" s="128">
        <f>IF(BO91&gt;0,23,0)</f>
        <v>23</v>
      </c>
      <c r="BQ91" s="128">
        <f t="shared" si="110"/>
        <v>529</v>
      </c>
      <c r="BR91" s="15">
        <f t="shared" si="111"/>
        <v>83.526920082537316</v>
      </c>
      <c r="BS91" s="127">
        <f t="shared" ca="1" si="112"/>
        <v>3.6638942394908711</v>
      </c>
      <c r="BT91" s="127">
        <f t="shared" ca="1" si="133"/>
        <v>39.01297329838463</v>
      </c>
      <c r="BZ91" s="583">
        <f t="shared" si="113"/>
        <v>1</v>
      </c>
      <c r="CA91" s="121">
        <f t="shared" si="114"/>
        <v>44958</v>
      </c>
      <c r="CB91" s="127">
        <f t="shared" si="115"/>
        <v>37.77340263559055</v>
      </c>
      <c r="CC91" s="15">
        <f t="shared" si="116"/>
        <v>3.6316052209798833</v>
      </c>
      <c r="CD91" s="98">
        <f t="shared" si="117"/>
        <v>1</v>
      </c>
      <c r="CE91" s="128">
        <f>IF(CD91&gt;0,23,0)</f>
        <v>23</v>
      </c>
      <c r="CF91" s="128">
        <f t="shared" si="118"/>
        <v>529</v>
      </c>
      <c r="CG91" s="15">
        <f t="shared" si="119"/>
        <v>83.526920082537316</v>
      </c>
      <c r="CH91" s="127">
        <f t="shared" ca="1" si="120"/>
        <v>3.6848819025168509</v>
      </c>
      <c r="CI91" s="127">
        <f t="shared" ca="1" si="134"/>
        <v>39.840417119033638</v>
      </c>
      <c r="DQ91" s="121">
        <f t="shared" si="121"/>
        <v>44958</v>
      </c>
      <c r="DR91" s="98">
        <f t="shared" si="122"/>
        <v>1</v>
      </c>
      <c r="DS91" s="73">
        <f t="shared" si="123"/>
        <v>35.59053999092955</v>
      </c>
      <c r="DT91" s="295">
        <f t="shared" ca="1" si="127"/>
        <v>40.051446188909274</v>
      </c>
      <c r="DU91" s="295">
        <f t="shared" ca="1" si="128"/>
        <v>-4.4609061979797247</v>
      </c>
      <c r="DX91" s="121">
        <f t="shared" si="124"/>
        <v>44958</v>
      </c>
      <c r="DY91" s="98">
        <f t="shared" si="136"/>
        <v>1</v>
      </c>
      <c r="DZ91" s="281">
        <f t="shared" si="137"/>
        <v>35.59053999092955</v>
      </c>
      <c r="EA91" s="127">
        <f t="shared" ca="1" si="138"/>
        <v>39.509717186437555</v>
      </c>
      <c r="EC91" s="121">
        <f t="shared" si="125"/>
        <v>44958</v>
      </c>
      <c r="ED91" s="98">
        <f t="shared" si="140"/>
        <v>1</v>
      </c>
      <c r="EE91" s="281">
        <f t="shared" si="141"/>
        <v>35.59053999092955</v>
      </c>
      <c r="EF91" s="127">
        <f t="shared" ca="1" si="142"/>
        <v>39.878427351583355</v>
      </c>
      <c r="EH91" s="121">
        <f t="shared" si="126"/>
        <v>44958</v>
      </c>
      <c r="EI91" s="98"/>
      <c r="EJ91" s="281"/>
      <c r="EK91" s="127"/>
    </row>
    <row r="92" spans="22:141" x14ac:dyDescent="0.2">
      <c r="V92" s="2">
        <v>24</v>
      </c>
      <c r="X92" s="121">
        <f t="shared" si="82"/>
        <v>44986</v>
      </c>
      <c r="Y92" s="73">
        <f t="shared" si="83"/>
        <v>43.272089036718107</v>
      </c>
      <c r="Z92" s="15">
        <f t="shared" si="84"/>
        <v>3.7675078321728073</v>
      </c>
      <c r="AA92" s="98">
        <f t="shared" si="85"/>
        <v>1</v>
      </c>
      <c r="AB92" s="128">
        <f>IF(AA92&gt;0,24,0)</f>
        <v>24</v>
      </c>
      <c r="AC92" s="128">
        <f t="shared" si="86"/>
        <v>576</v>
      </c>
      <c r="AD92" s="15">
        <f t="shared" si="87"/>
        <v>90.420187972147374</v>
      </c>
      <c r="AE92" s="127">
        <f t="shared" ca="1" si="88"/>
        <v>3.6868923541678225</v>
      </c>
      <c r="AF92" s="127">
        <f t="shared" ca="1" si="129"/>
        <v>39.92059492119737</v>
      </c>
      <c r="AH92" s="121">
        <f t="shared" si="89"/>
        <v>44986</v>
      </c>
      <c r="AI92" s="73">
        <f t="shared" ca="1" si="81"/>
        <v>38.281980430201976</v>
      </c>
      <c r="AJ92" s="15">
        <f t="shared" ca="1" si="90"/>
        <v>3.6449793006227522</v>
      </c>
      <c r="AK92" s="98">
        <f t="shared" ca="1" si="91"/>
        <v>1</v>
      </c>
      <c r="AL92" s="128">
        <f ca="1">IF(AK92&gt;0,24,0)</f>
        <v>24</v>
      </c>
      <c r="AM92" s="128">
        <f t="shared" ca="1" si="92"/>
        <v>576</v>
      </c>
      <c r="AN92" s="15">
        <f t="shared" ca="1" si="93"/>
        <v>87.47950321494605</v>
      </c>
      <c r="AO92" s="127">
        <f t="shared" ca="1" si="94"/>
        <v>3.6889814291396834</v>
      </c>
      <c r="AP92" s="127">
        <f t="shared" ca="1" si="130"/>
        <v>40.004079209015075</v>
      </c>
      <c r="AR92" s="121">
        <f t="shared" si="95"/>
        <v>44986</v>
      </c>
      <c r="AS92" s="73">
        <f t="shared" ca="1" si="135"/>
        <v>38.281980430201976</v>
      </c>
      <c r="AT92" s="15">
        <f t="shared" ca="1" si="96"/>
        <v>3.6449793006227522</v>
      </c>
      <c r="AU92" s="98">
        <f t="shared" ca="1" si="97"/>
        <v>1</v>
      </c>
      <c r="AV92" s="128">
        <f ca="1">IF(AU92&gt;0,24,0)</f>
        <v>24</v>
      </c>
      <c r="AW92" s="128">
        <f t="shared" ca="1" si="98"/>
        <v>576</v>
      </c>
      <c r="AX92" s="15">
        <f t="shared" ca="1" si="99"/>
        <v>87.47950321494605</v>
      </c>
      <c r="AY92" s="127">
        <f t="shared" ca="1" si="100"/>
        <v>3.6802354465372269</v>
      </c>
      <c r="AZ92" s="127">
        <f t="shared" ca="1" si="131"/>
        <v>39.655729777757116</v>
      </c>
      <c r="BB92" s="121">
        <f t="shared" si="101"/>
        <v>44986</v>
      </c>
      <c r="BC92" s="73">
        <f t="shared" ca="1" si="139"/>
        <v>38.281980430201976</v>
      </c>
      <c r="BD92" s="15">
        <f t="shared" ca="1" si="102"/>
        <v>3.6449793006227522</v>
      </c>
      <c r="BE92" s="98">
        <f t="shared" ca="1" si="103"/>
        <v>1</v>
      </c>
      <c r="BF92" s="128">
        <f ca="1">IF(BE92&gt;0,24,0)</f>
        <v>24</v>
      </c>
      <c r="BG92" s="128">
        <f t="shared" ca="1" si="104"/>
        <v>576</v>
      </c>
      <c r="BH92" s="15">
        <f t="shared" ca="1" si="105"/>
        <v>87.47950321494605</v>
      </c>
      <c r="BI92" s="127">
        <f t="shared" ca="1" si="106"/>
        <v>3.6870963006354502</v>
      </c>
      <c r="BJ92" s="127">
        <f t="shared" ca="1" si="132"/>
        <v>39.928737415805429</v>
      </c>
      <c r="BL92" s="121">
        <f t="shared" si="107"/>
        <v>44986</v>
      </c>
      <c r="BM92" s="73">
        <f t="shared" ca="1" si="143"/>
        <v>38.281980430201976</v>
      </c>
      <c r="BN92" s="15">
        <f t="shared" ca="1" si="108"/>
        <v>3.6449793006227522</v>
      </c>
      <c r="BO92" s="98">
        <f t="shared" ca="1" si="109"/>
        <v>1</v>
      </c>
      <c r="BP92" s="128">
        <f ca="1">IF(BO92&gt;0,24,0)</f>
        <v>24</v>
      </c>
      <c r="BQ92" s="128">
        <f t="shared" ca="1" si="110"/>
        <v>576</v>
      </c>
      <c r="BR92" s="15">
        <f t="shared" ca="1" si="111"/>
        <v>87.47950321494605</v>
      </c>
      <c r="BS92" s="127">
        <f t="shared" ca="1" si="112"/>
        <v>3.6690218837430049</v>
      </c>
      <c r="BT92" s="127">
        <f t="shared" ca="1" si="133"/>
        <v>39.213531703317308</v>
      </c>
      <c r="BZ92" s="583">
        <f t="shared" si="113"/>
        <v>1</v>
      </c>
      <c r="CA92" s="121">
        <f t="shared" si="114"/>
        <v>44986</v>
      </c>
      <c r="CB92" s="127">
        <f t="shared" ca="1" si="115"/>
        <v>38.281980430201976</v>
      </c>
      <c r="CC92" s="15">
        <f t="shared" ca="1" si="116"/>
        <v>3.6449793006227522</v>
      </c>
      <c r="CD92" s="98">
        <f t="shared" ca="1" si="117"/>
        <v>1</v>
      </c>
      <c r="CE92" s="128">
        <f ca="1">IF(CD92&gt;0,24,0)</f>
        <v>24</v>
      </c>
      <c r="CF92" s="128">
        <f t="shared" ca="1" si="118"/>
        <v>576</v>
      </c>
      <c r="CG92" s="15">
        <f t="shared" ca="1" si="119"/>
        <v>87.47950321494605</v>
      </c>
      <c r="CH92" s="127">
        <f t="shared" ca="1" si="120"/>
        <v>3.6884887815397303</v>
      </c>
      <c r="CI92" s="127">
        <f t="shared" ca="1" si="134"/>
        <v>39.984376149135493</v>
      </c>
      <c r="DQ92" s="121">
        <f t="shared" si="121"/>
        <v>44986</v>
      </c>
      <c r="DR92" s="98">
        <f t="shared" si="122"/>
        <v>1</v>
      </c>
      <c r="DS92" s="73">
        <f t="shared" si="123"/>
        <v>43.272089036718107</v>
      </c>
      <c r="DT92" s="295">
        <f t="shared" ca="1" si="127"/>
        <v>40.004079209015075</v>
      </c>
      <c r="DU92" s="295">
        <f t="shared" ca="1" si="128"/>
        <v>3.2680098277030325</v>
      </c>
      <c r="DX92" s="121">
        <f t="shared" si="124"/>
        <v>44986</v>
      </c>
      <c r="DY92" s="98">
        <f t="shared" si="136"/>
        <v>1</v>
      </c>
      <c r="DZ92" s="281">
        <f t="shared" si="137"/>
        <v>43.272089036718107</v>
      </c>
      <c r="EA92" s="127">
        <f t="shared" ca="1" si="138"/>
        <v>39.655729777757116</v>
      </c>
      <c r="EC92" s="121">
        <f t="shared" si="125"/>
        <v>44986</v>
      </c>
      <c r="ED92" s="98">
        <f t="shared" si="140"/>
        <v>1</v>
      </c>
      <c r="EE92" s="281">
        <f t="shared" si="141"/>
        <v>43.272089036718107</v>
      </c>
      <c r="EF92" s="127">
        <f t="shared" ca="1" si="142"/>
        <v>39.928737415805429</v>
      </c>
      <c r="EH92" s="121">
        <f t="shared" si="126"/>
        <v>44986</v>
      </c>
      <c r="EI92" s="98"/>
      <c r="EJ92" s="281"/>
      <c r="EK92" s="127"/>
    </row>
    <row r="93" spans="22:141" x14ac:dyDescent="0.2">
      <c r="V93" s="2">
        <v>25</v>
      </c>
      <c r="X93" s="121">
        <f t="shared" si="82"/>
        <v>45017</v>
      </c>
      <c r="Y93" s="73">
        <f t="shared" ca="1" si="83"/>
        <v>35.983312262958279</v>
      </c>
      <c r="Z93" s="15">
        <f t="shared" ca="1" si="84"/>
        <v>3.5830552827332469</v>
      </c>
      <c r="AA93" s="98">
        <f t="shared" ca="1" si="85"/>
        <v>1</v>
      </c>
      <c r="AB93" s="128">
        <f ca="1">IF(AA93&gt;0,25,0)</f>
        <v>25</v>
      </c>
      <c r="AC93" s="128">
        <f t="shared" ca="1" si="86"/>
        <v>625</v>
      </c>
      <c r="AD93" s="15">
        <f t="shared" ca="1" si="87"/>
        <v>89.576382068331171</v>
      </c>
      <c r="AE93" s="127">
        <f t="shared" ca="1" si="88"/>
        <v>3.6864132804885852</v>
      </c>
      <c r="AF93" s="127">
        <f t="shared" ca="1" si="129"/>
        <v>39.901474595299263</v>
      </c>
      <c r="AH93" s="121">
        <f t="shared" si="89"/>
        <v>45017</v>
      </c>
      <c r="AI93" s="73">
        <f t="shared" ca="1" si="81"/>
        <v>39.835795029093035</v>
      </c>
      <c r="AJ93" s="15">
        <f t="shared" ca="1" si="90"/>
        <v>3.6847658806874697</v>
      </c>
      <c r="AK93" s="98">
        <f t="shared" ca="1" si="91"/>
        <v>1</v>
      </c>
      <c r="AL93" s="128">
        <f ca="1">IF(AK93&gt;0,25,0)</f>
        <v>25</v>
      </c>
      <c r="AM93" s="128">
        <f t="shared" ca="1" si="92"/>
        <v>625</v>
      </c>
      <c r="AN93" s="15">
        <f t="shared" ca="1" si="93"/>
        <v>92.119147017186748</v>
      </c>
      <c r="AO93" s="127">
        <f t="shared" ca="1" si="94"/>
        <v>3.6877980758311839</v>
      </c>
      <c r="AP93" s="127">
        <f t="shared" ca="1" si="130"/>
        <v>39.956768247841715</v>
      </c>
      <c r="AR93" s="121">
        <f t="shared" si="95"/>
        <v>45017</v>
      </c>
      <c r="AS93" s="73">
        <f t="shared" ca="1" si="135"/>
        <v>39.835795029093035</v>
      </c>
      <c r="AT93" s="15">
        <f t="shared" ca="1" si="96"/>
        <v>3.6847658806874697</v>
      </c>
      <c r="AU93" s="98">
        <f t="shared" ca="1" si="97"/>
        <v>1</v>
      </c>
      <c r="AV93" s="128">
        <f ca="1">IF(AU93&gt;0,25,0)</f>
        <v>25</v>
      </c>
      <c r="AW93" s="128">
        <f t="shared" ca="1" si="98"/>
        <v>625</v>
      </c>
      <c r="AX93" s="15">
        <f t="shared" ca="1" si="99"/>
        <v>92.119147017186748</v>
      </c>
      <c r="AY93" s="127">
        <f t="shared" ca="1" si="100"/>
        <v>3.6839242467016384</v>
      </c>
      <c r="AZ93" s="127">
        <f t="shared" ca="1" si="131"/>
        <v>39.80228197498483</v>
      </c>
      <c r="BB93" s="121">
        <f t="shared" si="101"/>
        <v>45017</v>
      </c>
      <c r="BC93" s="73">
        <f t="shared" ca="1" si="139"/>
        <v>39.835795029093035</v>
      </c>
      <c r="BD93" s="15">
        <f t="shared" ca="1" si="102"/>
        <v>3.6847658806874697</v>
      </c>
      <c r="BE93" s="98">
        <f t="shared" ca="1" si="103"/>
        <v>1</v>
      </c>
      <c r="BF93" s="128">
        <f ca="1">IF(BE93&gt;0,25,0)</f>
        <v>25</v>
      </c>
      <c r="BG93" s="128">
        <f t="shared" ca="1" si="104"/>
        <v>625</v>
      </c>
      <c r="BH93" s="15">
        <f t="shared" ca="1" si="105"/>
        <v>92.119147017186748</v>
      </c>
      <c r="BI93" s="127">
        <f t="shared" ca="1" si="106"/>
        <v>3.6883570914687822</v>
      </c>
      <c r="BJ93" s="127">
        <f t="shared" ca="1" si="132"/>
        <v>39.979110950498402</v>
      </c>
      <c r="BL93" s="121">
        <f t="shared" si="107"/>
        <v>45017</v>
      </c>
      <c r="BM93" s="73">
        <f t="shared" ca="1" si="143"/>
        <v>39.835795029093035</v>
      </c>
      <c r="BN93" s="15">
        <f t="shared" ca="1" si="108"/>
        <v>3.6847658806874697</v>
      </c>
      <c r="BO93" s="98">
        <f t="shared" ca="1" si="109"/>
        <v>1</v>
      </c>
      <c r="BP93" s="128">
        <f ca="1">IF(BO93&gt;0,25,0)</f>
        <v>25</v>
      </c>
      <c r="BQ93" s="128">
        <f t="shared" ca="1" si="110"/>
        <v>625</v>
      </c>
      <c r="BR93" s="15">
        <f t="shared" ca="1" si="111"/>
        <v>92.119147017186748</v>
      </c>
      <c r="BS93" s="127">
        <f t="shared" ca="1" si="112"/>
        <v>3.6741495279951382</v>
      </c>
      <c r="BT93" s="127">
        <f t="shared" ca="1" si="133"/>
        <v>39.415121141529113</v>
      </c>
      <c r="BZ93" s="583">
        <f t="shared" si="113"/>
        <v>1</v>
      </c>
      <c r="CA93" s="121">
        <f t="shared" si="114"/>
        <v>45017</v>
      </c>
      <c r="CB93" s="127">
        <f t="shared" ca="1" si="115"/>
        <v>39.835795029093035</v>
      </c>
      <c r="CC93" s="15">
        <f t="shared" ca="1" si="116"/>
        <v>3.6847658806874697</v>
      </c>
      <c r="CD93" s="98">
        <f t="shared" ca="1" si="117"/>
        <v>1</v>
      </c>
      <c r="CE93" s="128">
        <f ca="1">IF(CD93&gt;0,25,0)</f>
        <v>25</v>
      </c>
      <c r="CF93" s="128">
        <f t="shared" ca="1" si="118"/>
        <v>625</v>
      </c>
      <c r="CG93" s="15">
        <f t="shared" ca="1" si="119"/>
        <v>92.119147017186748</v>
      </c>
      <c r="CH93" s="127">
        <f t="shared" ca="1" si="120"/>
        <v>3.6920956605626096</v>
      </c>
      <c r="CI93" s="127">
        <f t="shared" ca="1" si="134"/>
        <v>40.12885535959304</v>
      </c>
      <c r="DQ93" s="121">
        <f t="shared" si="121"/>
        <v>45017</v>
      </c>
      <c r="DR93" s="98">
        <f t="shared" ca="1" si="122"/>
        <v>1</v>
      </c>
      <c r="DS93" s="73">
        <f t="shared" ca="1" si="123"/>
        <v>35.983312262958279</v>
      </c>
      <c r="DT93" s="295">
        <f t="shared" ca="1" si="127"/>
        <v>39.956768247841715</v>
      </c>
      <c r="DU93" s="295">
        <f t="shared" ca="1" si="128"/>
        <v>-3.9734559848834365</v>
      </c>
      <c r="DX93" s="121">
        <f t="shared" si="124"/>
        <v>45017</v>
      </c>
      <c r="DY93" s="98">
        <f t="shared" ca="1" si="136"/>
        <v>1</v>
      </c>
      <c r="DZ93" s="281">
        <f t="shared" ca="1" si="137"/>
        <v>35.983312262958279</v>
      </c>
      <c r="EA93" s="127">
        <f t="shared" ca="1" si="138"/>
        <v>39.80228197498483</v>
      </c>
      <c r="EC93" s="121">
        <f t="shared" si="125"/>
        <v>45017</v>
      </c>
      <c r="ED93" s="98">
        <f t="shared" ca="1" si="140"/>
        <v>1</v>
      </c>
      <c r="EE93" s="281">
        <f t="shared" ca="1" si="141"/>
        <v>35.983312262958279</v>
      </c>
      <c r="EF93" s="127">
        <f t="shared" ca="1" si="142"/>
        <v>39.979110950498402</v>
      </c>
      <c r="EH93" s="121">
        <f t="shared" si="126"/>
        <v>45017</v>
      </c>
      <c r="EI93" s="98">
        <f t="shared" ref="EI93:EI104" ca="1" si="144">IF($Y93&gt;0,1,0)</f>
        <v>1</v>
      </c>
      <c r="EJ93" s="281">
        <f t="shared" ref="EJ93:EJ104" ca="1" si="145">+EE93</f>
        <v>35.983312262958279</v>
      </c>
      <c r="EK93" s="127">
        <f t="shared" ref="EK93:EK104" ca="1" si="146">+BT93</f>
        <v>39.415121141529113</v>
      </c>
    </row>
    <row r="94" spans="22:141" x14ac:dyDescent="0.2">
      <c r="V94" s="2">
        <v>26</v>
      </c>
      <c r="X94" s="121">
        <f t="shared" si="82"/>
        <v>45047</v>
      </c>
      <c r="Y94" s="73">
        <f t="shared" ca="1" si="83"/>
        <v>40.251983787602725</v>
      </c>
      <c r="Z94" s="15">
        <f t="shared" ca="1" si="84"/>
        <v>3.6951592892985405</v>
      </c>
      <c r="AA94" s="98">
        <f t="shared" ca="1" si="85"/>
        <v>1</v>
      </c>
      <c r="AB94" s="128">
        <f ca="1">IF(AA94&gt;0,26,0)</f>
        <v>26</v>
      </c>
      <c r="AC94" s="128">
        <f t="shared" ca="1" si="86"/>
        <v>676</v>
      </c>
      <c r="AD94" s="15">
        <f t="shared" ca="1" si="87"/>
        <v>96.074141521762058</v>
      </c>
      <c r="AE94" s="127">
        <f t="shared" ca="1" si="88"/>
        <v>3.6859342068093479</v>
      </c>
      <c r="AF94" s="127">
        <f t="shared" ca="1" si="129"/>
        <v>39.882363427252216</v>
      </c>
      <c r="AH94" s="121">
        <f t="shared" si="89"/>
        <v>45047</v>
      </c>
      <c r="AI94" s="73">
        <f t="shared" ca="1" si="81"/>
        <v>39.06728357194973</v>
      </c>
      <c r="AJ94" s="15">
        <f t="shared" ca="1" si="90"/>
        <v>3.6652853794409879</v>
      </c>
      <c r="AK94" s="98">
        <f t="shared" ca="1" si="91"/>
        <v>1</v>
      </c>
      <c r="AL94" s="128">
        <f ca="1">IF(AK94&gt;0,26,0)</f>
        <v>26</v>
      </c>
      <c r="AM94" s="128">
        <f t="shared" ca="1" si="92"/>
        <v>676</v>
      </c>
      <c r="AN94" s="15">
        <f t="shared" ca="1" si="93"/>
        <v>95.297419865465685</v>
      </c>
      <c r="AO94" s="127">
        <f t="shared" ca="1" si="94"/>
        <v>3.6866147225226849</v>
      </c>
      <c r="AP94" s="127">
        <f t="shared" ca="1" si="130"/>
        <v>39.909513239138512</v>
      </c>
      <c r="AR94" s="121">
        <f t="shared" si="95"/>
        <v>45047</v>
      </c>
      <c r="AS94" s="73">
        <f t="shared" ca="1" si="135"/>
        <v>39.06728357194973</v>
      </c>
      <c r="AT94" s="15">
        <f t="shared" ca="1" si="96"/>
        <v>3.6652853794409879</v>
      </c>
      <c r="AU94" s="98">
        <f t="shared" ca="1" si="97"/>
        <v>1</v>
      </c>
      <c r="AV94" s="128">
        <f ca="1">IF(AU94&gt;0,26,0)</f>
        <v>26</v>
      </c>
      <c r="AW94" s="128">
        <f t="shared" ca="1" si="98"/>
        <v>676</v>
      </c>
      <c r="AX94" s="15">
        <f t="shared" ca="1" si="99"/>
        <v>95.297419865465685</v>
      </c>
      <c r="AY94" s="127">
        <f t="shared" ca="1" si="100"/>
        <v>3.6876130468660504</v>
      </c>
      <c r="AZ94" s="127">
        <f t="shared" ca="1" si="131"/>
        <v>39.949375772294879</v>
      </c>
      <c r="BB94" s="121">
        <f t="shared" si="101"/>
        <v>45047</v>
      </c>
      <c r="BC94" s="73">
        <f t="shared" ca="1" si="139"/>
        <v>39.06728357194973</v>
      </c>
      <c r="BD94" s="15">
        <f t="shared" ca="1" si="102"/>
        <v>3.6652853794409879</v>
      </c>
      <c r="BE94" s="98">
        <f t="shared" ca="1" si="103"/>
        <v>1</v>
      </c>
      <c r="BF94" s="128">
        <f ca="1">IF(BE94&gt;0,26,0)</f>
        <v>26</v>
      </c>
      <c r="BG94" s="128">
        <f t="shared" ca="1" si="104"/>
        <v>676</v>
      </c>
      <c r="BH94" s="15">
        <f t="shared" ca="1" si="105"/>
        <v>95.297419865465685</v>
      </c>
      <c r="BI94" s="127">
        <f t="shared" ca="1" si="106"/>
        <v>3.6896178823021142</v>
      </c>
      <c r="BJ94" s="127">
        <f t="shared" ca="1" si="132"/>
        <v>40.029548035735708</v>
      </c>
      <c r="BL94" s="121">
        <f t="shared" si="107"/>
        <v>45047</v>
      </c>
      <c r="BM94" s="73">
        <f t="shared" ca="1" si="143"/>
        <v>39.06728357194973</v>
      </c>
      <c r="BN94" s="15">
        <f t="shared" ca="1" si="108"/>
        <v>3.6652853794409879</v>
      </c>
      <c r="BO94" s="98">
        <f t="shared" ca="1" si="109"/>
        <v>1</v>
      </c>
      <c r="BP94" s="128">
        <f ca="1">IF(BO94&gt;0,26,0)</f>
        <v>26</v>
      </c>
      <c r="BQ94" s="128">
        <f t="shared" ca="1" si="110"/>
        <v>676</v>
      </c>
      <c r="BR94" s="15">
        <f t="shared" ca="1" si="111"/>
        <v>95.297419865465685</v>
      </c>
      <c r="BS94" s="127">
        <f t="shared" ca="1" si="112"/>
        <v>3.6792771722472715</v>
      </c>
      <c r="BT94" s="127">
        <f t="shared" ca="1" si="133"/>
        <v>39.61774691336948</v>
      </c>
      <c r="BZ94" s="583">
        <f t="shared" si="113"/>
        <v>1</v>
      </c>
      <c r="CA94" s="121">
        <f t="shared" si="114"/>
        <v>45047</v>
      </c>
      <c r="CB94" s="127">
        <f t="shared" ca="1" si="115"/>
        <v>39.06728357194973</v>
      </c>
      <c r="CC94" s="15">
        <f t="shared" ca="1" si="116"/>
        <v>3.6652853794409879</v>
      </c>
      <c r="CD94" s="98">
        <f t="shared" ca="1" si="117"/>
        <v>1</v>
      </c>
      <c r="CE94" s="128">
        <f ca="1">IF(CD94&gt;0,26,0)</f>
        <v>26</v>
      </c>
      <c r="CF94" s="128">
        <f t="shared" ca="1" si="118"/>
        <v>676</v>
      </c>
      <c r="CG94" s="15">
        <f t="shared" ca="1" si="119"/>
        <v>95.297419865465685</v>
      </c>
      <c r="CH94" s="127">
        <f t="shared" ca="1" si="120"/>
        <v>3.695702539585489</v>
      </c>
      <c r="CI94" s="127">
        <f t="shared" ca="1" si="134"/>
        <v>40.273856630021626</v>
      </c>
      <c r="DQ94" s="121">
        <f t="shared" si="121"/>
        <v>45047</v>
      </c>
      <c r="DR94" s="98">
        <f t="shared" ca="1" si="122"/>
        <v>1</v>
      </c>
      <c r="DS94" s="73">
        <f t="shared" ca="1" si="123"/>
        <v>40.251983787602725</v>
      </c>
      <c r="DT94" s="295">
        <f t="shared" ca="1" si="127"/>
        <v>39.909513239138512</v>
      </c>
      <c r="DU94" s="295">
        <f t="shared" ca="1" si="128"/>
        <v>0.34247054846421321</v>
      </c>
      <c r="DX94" s="121">
        <f t="shared" si="124"/>
        <v>45047</v>
      </c>
      <c r="DY94" s="98">
        <f t="shared" ca="1" si="136"/>
        <v>1</v>
      </c>
      <c r="DZ94" s="281">
        <f t="shared" ca="1" si="137"/>
        <v>40.251983787602725</v>
      </c>
      <c r="EA94" s="127">
        <f t="shared" ca="1" si="138"/>
        <v>39.949375772294879</v>
      </c>
      <c r="EC94" s="121">
        <f t="shared" si="125"/>
        <v>45047</v>
      </c>
      <c r="ED94" s="98">
        <f t="shared" ca="1" si="140"/>
        <v>1</v>
      </c>
      <c r="EE94" s="281">
        <f t="shared" ca="1" si="141"/>
        <v>40.251983787602725</v>
      </c>
      <c r="EF94" s="127">
        <f t="shared" ca="1" si="142"/>
        <v>40.029548035735708</v>
      </c>
      <c r="EH94" s="121">
        <f t="shared" si="126"/>
        <v>45047</v>
      </c>
      <c r="EI94" s="98">
        <f t="shared" ca="1" si="144"/>
        <v>1</v>
      </c>
      <c r="EJ94" s="281">
        <f t="shared" ca="1" si="145"/>
        <v>40.251983787602725</v>
      </c>
      <c r="EK94" s="127">
        <f t="shared" ca="1" si="146"/>
        <v>39.61774691336948</v>
      </c>
    </row>
    <row r="95" spans="22:141" x14ac:dyDescent="0.2">
      <c r="V95" s="2">
        <v>27</v>
      </c>
      <c r="X95" s="121">
        <f t="shared" si="82"/>
        <v>45078</v>
      </c>
      <c r="Y95" s="73">
        <f t="shared" ca="1" si="83"/>
        <v>40.966554665288186</v>
      </c>
      <c r="Z95" s="15">
        <f t="shared" ca="1" si="84"/>
        <v>3.7127559939364687</v>
      </c>
      <c r="AA95" s="98">
        <f t="shared" ca="1" si="85"/>
        <v>1</v>
      </c>
      <c r="AB95" s="128">
        <f ca="1">IF(AA95&gt;0,27,0)</f>
        <v>27</v>
      </c>
      <c r="AC95" s="128">
        <f t="shared" ca="1" si="86"/>
        <v>729</v>
      </c>
      <c r="AD95" s="15">
        <f t="shared" ca="1" si="87"/>
        <v>100.24441183628466</v>
      </c>
      <c r="AE95" s="127">
        <f t="shared" ca="1" si="88"/>
        <v>3.6854551331301106</v>
      </c>
      <c r="AF95" s="127">
        <f t="shared" ca="1" si="129"/>
        <v>39.863261412669992</v>
      </c>
      <c r="AH95" s="121">
        <f t="shared" si="89"/>
        <v>45078</v>
      </c>
      <c r="AI95" s="73">
        <f t="shared" ca="1" si="81"/>
        <v>39.846795576588477</v>
      </c>
      <c r="AJ95" s="15">
        <f t="shared" ca="1" si="90"/>
        <v>3.6850419898722167</v>
      </c>
      <c r="AK95" s="98">
        <f t="shared" ca="1" si="91"/>
        <v>1</v>
      </c>
      <c r="AL95" s="128">
        <f ca="1">IF(AK95&gt;0,27,0)</f>
        <v>27</v>
      </c>
      <c r="AM95" s="128">
        <f t="shared" ca="1" si="92"/>
        <v>729</v>
      </c>
      <c r="AN95" s="15">
        <f t="shared" ca="1" si="93"/>
        <v>99.496133726549843</v>
      </c>
      <c r="AO95" s="127">
        <f t="shared" ca="1" si="94"/>
        <v>3.6854313692141853</v>
      </c>
      <c r="AP95" s="127">
        <f t="shared" ca="1" si="130"/>
        <v>39.862314116733046</v>
      </c>
      <c r="AR95" s="121">
        <f t="shared" si="95"/>
        <v>45078</v>
      </c>
      <c r="AS95" s="73">
        <f t="shared" ca="1" si="135"/>
        <v>39.846795576588477</v>
      </c>
      <c r="AT95" s="15">
        <f t="shared" ca="1" si="96"/>
        <v>3.6850419898722167</v>
      </c>
      <c r="AU95" s="98">
        <f t="shared" ca="1" si="97"/>
        <v>1</v>
      </c>
      <c r="AV95" s="128">
        <f ca="1">IF(AU95&gt;0,27,0)</f>
        <v>27</v>
      </c>
      <c r="AW95" s="128">
        <f t="shared" ca="1" si="98"/>
        <v>729</v>
      </c>
      <c r="AX95" s="15">
        <f t="shared" ca="1" si="99"/>
        <v>99.496133726549843</v>
      </c>
      <c r="AY95" s="127">
        <f t="shared" ca="1" si="100"/>
        <v>3.6913018470304624</v>
      </c>
      <c r="AZ95" s="127">
        <f t="shared" ca="1" si="131"/>
        <v>40.097013171231112</v>
      </c>
      <c r="BB95" s="121">
        <f t="shared" si="101"/>
        <v>45078</v>
      </c>
      <c r="BC95" s="73">
        <f t="shared" ca="1" si="139"/>
        <v>39.846795576588477</v>
      </c>
      <c r="BD95" s="15">
        <f t="shared" ca="1" si="102"/>
        <v>3.6850419898722167</v>
      </c>
      <c r="BE95" s="98">
        <f t="shared" ca="1" si="103"/>
        <v>1</v>
      </c>
      <c r="BF95" s="128">
        <f ca="1">IF(BE95&gt;0,27,0)</f>
        <v>27</v>
      </c>
      <c r="BG95" s="128">
        <f t="shared" ca="1" si="104"/>
        <v>729</v>
      </c>
      <c r="BH95" s="15">
        <f t="shared" ca="1" si="105"/>
        <v>99.496133726549843</v>
      </c>
      <c r="BI95" s="127">
        <f t="shared" ca="1" si="106"/>
        <v>3.6908786731354457</v>
      </c>
      <c r="BJ95" s="127">
        <f t="shared" ca="1" si="132"/>
        <v>40.080048751691812</v>
      </c>
      <c r="BL95" s="121">
        <f t="shared" si="107"/>
        <v>45078</v>
      </c>
      <c r="BM95" s="73">
        <f t="shared" ca="1" si="143"/>
        <v>39.846795576588477</v>
      </c>
      <c r="BN95" s="15">
        <f t="shared" ca="1" si="108"/>
        <v>3.6850419898722167</v>
      </c>
      <c r="BO95" s="98">
        <f t="shared" ca="1" si="109"/>
        <v>1</v>
      </c>
      <c r="BP95" s="128">
        <f ca="1">IF(BO95&gt;0,27,0)</f>
        <v>27</v>
      </c>
      <c r="BQ95" s="128">
        <f t="shared" ca="1" si="110"/>
        <v>729</v>
      </c>
      <c r="BR95" s="15">
        <f t="shared" ca="1" si="111"/>
        <v>99.496133726549843</v>
      </c>
      <c r="BS95" s="127">
        <f t="shared" ca="1" si="112"/>
        <v>3.6844048164994052</v>
      </c>
      <c r="BT95" s="127">
        <f t="shared" ca="1" si="133"/>
        <v>39.82141434643593</v>
      </c>
      <c r="BZ95" s="583">
        <f t="shared" si="113"/>
        <v>1</v>
      </c>
      <c r="CA95" s="121">
        <f t="shared" si="114"/>
        <v>45078</v>
      </c>
      <c r="CB95" s="127">
        <f t="shared" ca="1" si="115"/>
        <v>39.846795576588477</v>
      </c>
      <c r="CC95" s="15">
        <f t="shared" ca="1" si="116"/>
        <v>3.6850419898722167</v>
      </c>
      <c r="CD95" s="98">
        <f t="shared" ca="1" si="117"/>
        <v>1</v>
      </c>
      <c r="CE95" s="128">
        <f ca="1">IF(CD95&gt;0,27,0)</f>
        <v>27</v>
      </c>
      <c r="CF95" s="128">
        <f t="shared" ca="1" si="118"/>
        <v>729</v>
      </c>
      <c r="CG95" s="15">
        <f t="shared" ca="1" si="119"/>
        <v>99.496133726549843</v>
      </c>
      <c r="CH95" s="127">
        <f t="shared" ca="1" si="120"/>
        <v>3.6993094186083684</v>
      </c>
      <c r="CI95" s="127">
        <f t="shared" ca="1" si="134"/>
        <v>40.419381846828387</v>
      </c>
      <c r="DQ95" s="121">
        <f t="shared" si="121"/>
        <v>45078</v>
      </c>
      <c r="DR95" s="98">
        <f t="shared" ca="1" si="122"/>
        <v>1</v>
      </c>
      <c r="DS95" s="73">
        <f t="shared" ca="1" si="123"/>
        <v>40.966554665288186</v>
      </c>
      <c r="DT95" s="295">
        <f t="shared" ca="1" si="127"/>
        <v>39.862314116733046</v>
      </c>
      <c r="DU95" s="295">
        <f t="shared" ca="1" si="128"/>
        <v>1.1042405485551399</v>
      </c>
      <c r="DX95" s="121">
        <f t="shared" si="124"/>
        <v>45078</v>
      </c>
      <c r="DY95" s="98">
        <f t="shared" ca="1" si="136"/>
        <v>1</v>
      </c>
      <c r="DZ95" s="281">
        <f t="shared" ca="1" si="137"/>
        <v>40.966554665288186</v>
      </c>
      <c r="EA95" s="127">
        <f t="shared" ca="1" si="138"/>
        <v>40.097013171231112</v>
      </c>
      <c r="EC95" s="121">
        <f t="shared" si="125"/>
        <v>45078</v>
      </c>
      <c r="ED95" s="98">
        <f t="shared" ca="1" si="140"/>
        <v>1</v>
      </c>
      <c r="EE95" s="281">
        <f t="shared" ca="1" si="141"/>
        <v>40.966554665288186</v>
      </c>
      <c r="EF95" s="127">
        <f t="shared" ca="1" si="142"/>
        <v>40.080048751691812</v>
      </c>
      <c r="EH95" s="121">
        <f t="shared" si="126"/>
        <v>45078</v>
      </c>
      <c r="EI95" s="98">
        <f t="shared" ca="1" si="144"/>
        <v>1</v>
      </c>
      <c r="EJ95" s="281">
        <f t="shared" ca="1" si="145"/>
        <v>40.966554665288186</v>
      </c>
      <c r="EK95" s="127">
        <f t="shared" ca="1" si="146"/>
        <v>39.82141434643593</v>
      </c>
    </row>
    <row r="96" spans="22:141" x14ac:dyDescent="0.2">
      <c r="V96" s="2">
        <v>28</v>
      </c>
      <c r="X96" s="121">
        <f t="shared" si="82"/>
        <v>45108</v>
      </c>
      <c r="Y96" s="73">
        <f t="shared" ca="1" si="83"/>
        <v>38.321848276874519</v>
      </c>
      <c r="Z96" s="15">
        <f t="shared" ca="1" si="84"/>
        <v>3.6460201846345561</v>
      </c>
      <c r="AA96" s="98">
        <f t="shared" ca="1" si="85"/>
        <v>1</v>
      </c>
      <c r="AB96" s="128">
        <f ca="1">IF(AA96&gt;0,28,0)</f>
        <v>28</v>
      </c>
      <c r="AC96" s="128">
        <f t="shared" ca="1" si="86"/>
        <v>784</v>
      </c>
      <c r="AD96" s="15">
        <f t="shared" ca="1" si="87"/>
        <v>102.08856516976758</v>
      </c>
      <c r="AE96" s="127">
        <f t="shared" ca="1" si="88"/>
        <v>3.6849760594508734</v>
      </c>
      <c r="AF96" s="127">
        <f t="shared" ca="1" si="129"/>
        <v>39.844168547168458</v>
      </c>
      <c r="AH96" s="121">
        <f t="shared" si="89"/>
        <v>45108</v>
      </c>
      <c r="AI96" s="73">
        <f t="shared" ca="1" si="81"/>
        <v>41.065749128111214</v>
      </c>
      <c r="AJ96" s="15">
        <f t="shared" ca="1" si="90"/>
        <v>3.7151744195220791</v>
      </c>
      <c r="AK96" s="98">
        <f t="shared" ca="1" si="91"/>
        <v>1</v>
      </c>
      <c r="AL96" s="128">
        <f ca="1">IF(AK96&gt;0,28,0)</f>
        <v>28</v>
      </c>
      <c r="AM96" s="128">
        <f t="shared" ca="1" si="92"/>
        <v>784</v>
      </c>
      <c r="AN96" s="15">
        <f t="shared" ca="1" si="93"/>
        <v>104.02488374661822</v>
      </c>
      <c r="AO96" s="127">
        <f t="shared" ca="1" si="94"/>
        <v>3.6842480159056863</v>
      </c>
      <c r="AP96" s="127">
        <f t="shared" ca="1" si="130"/>
        <v>39.815170814531228</v>
      </c>
      <c r="AR96" s="121">
        <f t="shared" si="95"/>
        <v>45108</v>
      </c>
      <c r="AS96" s="73">
        <f t="shared" ca="1" si="135"/>
        <v>41.065749128111214</v>
      </c>
      <c r="AT96" s="15">
        <f t="shared" ca="1" si="96"/>
        <v>3.7151744195220791</v>
      </c>
      <c r="AU96" s="98">
        <f t="shared" ca="1" si="97"/>
        <v>1</v>
      </c>
      <c r="AV96" s="128">
        <f ca="1">IF(AU96&gt;0,28,0)</f>
        <v>28</v>
      </c>
      <c r="AW96" s="128">
        <f t="shared" ca="1" si="98"/>
        <v>784</v>
      </c>
      <c r="AX96" s="15">
        <f t="shared" ca="1" si="99"/>
        <v>104.02488374661822</v>
      </c>
      <c r="AY96" s="127">
        <f t="shared" ca="1" si="100"/>
        <v>3.6949906471948744</v>
      </c>
      <c r="AZ96" s="127">
        <f t="shared" ca="1" si="131"/>
        <v>40.24519618073429</v>
      </c>
      <c r="BB96" s="121">
        <f t="shared" si="101"/>
        <v>45108</v>
      </c>
      <c r="BC96" s="73">
        <f t="shared" ca="1" si="139"/>
        <v>41.065749128111214</v>
      </c>
      <c r="BD96" s="15">
        <f t="shared" ca="1" si="102"/>
        <v>3.7151744195220791</v>
      </c>
      <c r="BE96" s="98">
        <f t="shared" ca="1" si="103"/>
        <v>1</v>
      </c>
      <c r="BF96" s="128">
        <f ca="1">IF(BE96&gt;0,28,0)</f>
        <v>28</v>
      </c>
      <c r="BG96" s="128">
        <f t="shared" ca="1" si="104"/>
        <v>784</v>
      </c>
      <c r="BH96" s="15">
        <f t="shared" ca="1" si="105"/>
        <v>104.02488374661822</v>
      </c>
      <c r="BI96" s="127">
        <f t="shared" ca="1" si="106"/>
        <v>3.6921394639687777</v>
      </c>
      <c r="BJ96" s="127">
        <f t="shared" ca="1" si="132"/>
        <v>40.130613178642363</v>
      </c>
      <c r="BL96" s="121">
        <f t="shared" si="107"/>
        <v>45108</v>
      </c>
      <c r="BM96" s="73">
        <f t="shared" ca="1" si="143"/>
        <v>41.065749128111214</v>
      </c>
      <c r="BN96" s="15">
        <f t="shared" ca="1" si="108"/>
        <v>3.7151744195220791</v>
      </c>
      <c r="BO96" s="98">
        <f t="shared" ca="1" si="109"/>
        <v>1</v>
      </c>
      <c r="BP96" s="128">
        <f ca="1">IF(BO96&gt;0,28,0)</f>
        <v>28</v>
      </c>
      <c r="BQ96" s="128">
        <f t="shared" ca="1" si="110"/>
        <v>784</v>
      </c>
      <c r="BR96" s="15">
        <f t="shared" ca="1" si="111"/>
        <v>104.02488374661822</v>
      </c>
      <c r="BS96" s="127">
        <f t="shared" ca="1" si="112"/>
        <v>3.6895324607515385</v>
      </c>
      <c r="BT96" s="127">
        <f t="shared" ca="1" si="133"/>
        <v>40.026128795714122</v>
      </c>
      <c r="BZ96" s="583">
        <f t="shared" si="113"/>
        <v>1</v>
      </c>
      <c r="CA96" s="121">
        <f t="shared" si="114"/>
        <v>45108</v>
      </c>
      <c r="CB96" s="127">
        <f t="shared" ca="1" si="115"/>
        <v>41.065749128111214</v>
      </c>
      <c r="CC96" s="15">
        <f t="shared" ca="1" si="116"/>
        <v>3.7151744195220791</v>
      </c>
      <c r="CD96" s="98">
        <f t="shared" ca="1" si="117"/>
        <v>1</v>
      </c>
      <c r="CE96" s="128">
        <f ca="1">IF(CD96&gt;0,28,0)</f>
        <v>28</v>
      </c>
      <c r="CF96" s="128">
        <f t="shared" ca="1" si="118"/>
        <v>784</v>
      </c>
      <c r="CG96" s="15">
        <f t="shared" ca="1" si="119"/>
        <v>104.02488374661822</v>
      </c>
      <c r="CH96" s="127">
        <f t="shared" ca="1" si="120"/>
        <v>3.7029162976312477</v>
      </c>
      <c r="CI96" s="127">
        <f t="shared" ca="1" si="134"/>
        <v>40.565432903236783</v>
      </c>
      <c r="DQ96" s="121">
        <f t="shared" si="121"/>
        <v>45108</v>
      </c>
      <c r="DR96" s="98">
        <f t="shared" ca="1" si="122"/>
        <v>1</v>
      </c>
      <c r="DS96" s="73">
        <f t="shared" ca="1" si="123"/>
        <v>38.321848276874519</v>
      </c>
      <c r="DT96" s="295">
        <f t="shared" ca="1" si="127"/>
        <v>39.815170814531228</v>
      </c>
      <c r="DU96" s="295">
        <f t="shared" ca="1" si="128"/>
        <v>-1.4933225376567094</v>
      </c>
      <c r="DX96" s="121">
        <f t="shared" si="124"/>
        <v>45108</v>
      </c>
      <c r="DY96" s="98">
        <f t="shared" ca="1" si="136"/>
        <v>1</v>
      </c>
      <c r="DZ96" s="281">
        <f t="shared" ca="1" si="137"/>
        <v>38.321848276874519</v>
      </c>
      <c r="EA96" s="127">
        <f t="shared" ca="1" si="138"/>
        <v>40.24519618073429</v>
      </c>
      <c r="EC96" s="121">
        <f t="shared" si="125"/>
        <v>45108</v>
      </c>
      <c r="ED96" s="98">
        <f t="shared" ca="1" si="140"/>
        <v>1</v>
      </c>
      <c r="EE96" s="281">
        <f t="shared" ca="1" si="141"/>
        <v>38.321848276874519</v>
      </c>
      <c r="EF96" s="127">
        <f t="shared" ca="1" si="142"/>
        <v>40.130613178642363</v>
      </c>
      <c r="EH96" s="121">
        <f t="shared" si="126"/>
        <v>45108</v>
      </c>
      <c r="EI96" s="98">
        <f t="shared" ca="1" si="144"/>
        <v>1</v>
      </c>
      <c r="EJ96" s="281">
        <f t="shared" ca="1" si="145"/>
        <v>38.321848276874519</v>
      </c>
      <c r="EK96" s="127">
        <f t="shared" ca="1" si="146"/>
        <v>40.026128795714122</v>
      </c>
    </row>
    <row r="97" spans="19:141" x14ac:dyDescent="0.2">
      <c r="V97" s="2">
        <v>29</v>
      </c>
      <c r="X97" s="121">
        <f t="shared" si="82"/>
        <v>45139</v>
      </c>
      <c r="Y97" s="73">
        <f t="shared" ca="1" si="83"/>
        <v>43.908844442170953</v>
      </c>
      <c r="Z97" s="15">
        <f t="shared" ca="1" si="84"/>
        <v>3.7821157677201889</v>
      </c>
      <c r="AA97" s="98">
        <f t="shared" ca="1" si="85"/>
        <v>1</v>
      </c>
      <c r="AB97" s="128">
        <f ca="1">IF(AA97&gt;0,29,0)</f>
        <v>29</v>
      </c>
      <c r="AC97" s="128">
        <f t="shared" ca="1" si="86"/>
        <v>841</v>
      </c>
      <c r="AD97" s="15">
        <f t="shared" ca="1" si="87"/>
        <v>109.68135726388547</v>
      </c>
      <c r="AE97" s="127">
        <f t="shared" ca="1" si="88"/>
        <v>3.6844969857716365</v>
      </c>
      <c r="AF97" s="127">
        <f t="shared" ca="1" si="129"/>
        <v>39.825084826365597</v>
      </c>
      <c r="AH97" s="121">
        <f t="shared" si="89"/>
        <v>45139</v>
      </c>
      <c r="AI97" s="73">
        <f t="shared" ca="1" si="81"/>
        <v>40.62223741069598</v>
      </c>
      <c r="AJ97" s="15">
        <f t="shared" ca="1" si="90"/>
        <v>3.7043156361393943</v>
      </c>
      <c r="AK97" s="98">
        <f t="shared" ca="1" si="91"/>
        <v>1</v>
      </c>
      <c r="AL97" s="128">
        <f ca="1">IF(AK97&gt;0,29,0)</f>
        <v>29</v>
      </c>
      <c r="AM97" s="128">
        <f t="shared" ca="1" si="92"/>
        <v>841</v>
      </c>
      <c r="AN97" s="15">
        <f t="shared" ca="1" si="93"/>
        <v>107.42515344804244</v>
      </c>
      <c r="AO97" s="127">
        <f t="shared" ca="1" si="94"/>
        <v>3.6830646625971868</v>
      </c>
      <c r="AP97" s="127">
        <f t="shared" ca="1" si="130"/>
        <v>39.768083266517067</v>
      </c>
      <c r="AR97" s="121">
        <f t="shared" si="95"/>
        <v>45139</v>
      </c>
      <c r="AS97" s="73">
        <f t="shared" ca="1" si="135"/>
        <v>40.62223741069598</v>
      </c>
      <c r="AT97" s="15">
        <f t="shared" ca="1" si="96"/>
        <v>3.7043156361393943</v>
      </c>
      <c r="AU97" s="98">
        <f t="shared" ca="1" si="97"/>
        <v>1</v>
      </c>
      <c r="AV97" s="128">
        <f ca="1">IF(AU97&gt;0,29,0)</f>
        <v>29</v>
      </c>
      <c r="AW97" s="128">
        <f t="shared" ca="1" si="98"/>
        <v>841</v>
      </c>
      <c r="AX97" s="15">
        <f t="shared" ca="1" si="99"/>
        <v>107.42515344804244</v>
      </c>
      <c r="AY97" s="127">
        <f t="shared" ca="1" si="100"/>
        <v>3.6986794473592863</v>
      </c>
      <c r="AZ97" s="127">
        <f t="shared" ca="1" si="131"/>
        <v>40.393926817169479</v>
      </c>
      <c r="BB97" s="121">
        <f t="shared" si="101"/>
        <v>45139</v>
      </c>
      <c r="BC97" s="73">
        <f t="shared" ca="1" si="139"/>
        <v>40.62223741069598</v>
      </c>
      <c r="BD97" s="15">
        <f t="shared" ca="1" si="102"/>
        <v>3.7043156361393943</v>
      </c>
      <c r="BE97" s="98">
        <f t="shared" ca="1" si="103"/>
        <v>1</v>
      </c>
      <c r="BF97" s="128">
        <f ca="1">IF(BE97&gt;0,29,0)</f>
        <v>29</v>
      </c>
      <c r="BG97" s="128">
        <f t="shared" ca="1" si="104"/>
        <v>841</v>
      </c>
      <c r="BH97" s="15">
        <f t="shared" ca="1" si="105"/>
        <v>107.42515344804244</v>
      </c>
      <c r="BI97" s="127">
        <f t="shared" ca="1" si="106"/>
        <v>3.6934002548021097</v>
      </c>
      <c r="BJ97" s="127">
        <f t="shared" ca="1" si="132"/>
        <v>40.181241396964246</v>
      </c>
      <c r="BL97" s="121">
        <f t="shared" si="107"/>
        <v>45139</v>
      </c>
      <c r="BM97" s="73">
        <f t="shared" ca="1" si="143"/>
        <v>40.62223741069598</v>
      </c>
      <c r="BN97" s="15">
        <f t="shared" ca="1" si="108"/>
        <v>3.7043156361393943</v>
      </c>
      <c r="BO97" s="98">
        <f t="shared" ca="1" si="109"/>
        <v>1</v>
      </c>
      <c r="BP97" s="128">
        <f ca="1">IF(BO97&gt;0,29,0)</f>
        <v>29</v>
      </c>
      <c r="BQ97" s="128">
        <f t="shared" ca="1" si="110"/>
        <v>841</v>
      </c>
      <c r="BR97" s="15">
        <f t="shared" ca="1" si="111"/>
        <v>107.42515344804244</v>
      </c>
      <c r="BS97" s="127">
        <f t="shared" ca="1" si="112"/>
        <v>3.6946601050036718</v>
      </c>
      <c r="BT97" s="127">
        <f t="shared" ca="1" si="133"/>
        <v>40.231895643718758</v>
      </c>
      <c r="BZ97" s="583">
        <f t="shared" si="113"/>
        <v>1</v>
      </c>
      <c r="CA97" s="121">
        <f t="shared" si="114"/>
        <v>45139</v>
      </c>
      <c r="CB97" s="127">
        <f t="shared" ca="1" si="115"/>
        <v>40.62223741069598</v>
      </c>
      <c r="CC97" s="15">
        <f t="shared" ca="1" si="116"/>
        <v>3.7043156361393943</v>
      </c>
      <c r="CD97" s="98">
        <f t="shared" ca="1" si="117"/>
        <v>1</v>
      </c>
      <c r="CE97" s="128">
        <f ca="1">IF(CD97&gt;0,29,0)</f>
        <v>29</v>
      </c>
      <c r="CF97" s="128">
        <f t="shared" ca="1" si="118"/>
        <v>841</v>
      </c>
      <c r="CG97" s="15">
        <f t="shared" ca="1" si="119"/>
        <v>107.42515344804244</v>
      </c>
      <c r="CH97" s="127">
        <f t="shared" ca="1" si="120"/>
        <v>3.7065231766541271</v>
      </c>
      <c r="CI97" s="127">
        <f t="shared" ca="1" si="134"/>
        <v>40.712011699311233</v>
      </c>
      <c r="DQ97" s="121">
        <f t="shared" si="121"/>
        <v>45139</v>
      </c>
      <c r="DR97" s="98">
        <f t="shared" ca="1" si="122"/>
        <v>1</v>
      </c>
      <c r="DS97" s="73">
        <f t="shared" ca="1" si="123"/>
        <v>43.908844442170953</v>
      </c>
      <c r="DT97" s="295">
        <f t="shared" ca="1" si="127"/>
        <v>39.768083266517067</v>
      </c>
      <c r="DU97" s="295">
        <f t="shared" ca="1" si="128"/>
        <v>4.1407611756538856</v>
      </c>
      <c r="DX97" s="121">
        <f t="shared" si="124"/>
        <v>45139</v>
      </c>
      <c r="DY97" s="98">
        <f t="shared" ca="1" si="136"/>
        <v>1</v>
      </c>
      <c r="DZ97" s="281">
        <f t="shared" ca="1" si="137"/>
        <v>43.908844442170953</v>
      </c>
      <c r="EA97" s="127">
        <f t="shared" ca="1" si="138"/>
        <v>40.393926817169479</v>
      </c>
      <c r="EC97" s="121">
        <f t="shared" si="125"/>
        <v>45139</v>
      </c>
      <c r="ED97" s="98">
        <f t="shared" ca="1" si="140"/>
        <v>1</v>
      </c>
      <c r="EE97" s="281">
        <f t="shared" ca="1" si="141"/>
        <v>43.908844442170953</v>
      </c>
      <c r="EF97" s="127">
        <f t="shared" ca="1" si="142"/>
        <v>40.181241396964246</v>
      </c>
      <c r="EH97" s="121">
        <f t="shared" si="126"/>
        <v>45139</v>
      </c>
      <c r="EI97" s="98">
        <f t="shared" ca="1" si="144"/>
        <v>1</v>
      </c>
      <c r="EJ97" s="281">
        <f t="shared" ca="1" si="145"/>
        <v>43.908844442170953</v>
      </c>
      <c r="EK97" s="127">
        <f t="shared" ca="1" si="146"/>
        <v>40.231895643718758</v>
      </c>
    </row>
    <row r="98" spans="19:141" x14ac:dyDescent="0.2">
      <c r="V98" s="2">
        <v>30</v>
      </c>
      <c r="X98" s="121">
        <f t="shared" si="82"/>
        <v>45170</v>
      </c>
      <c r="Y98" s="73">
        <f t="shared" ca="1" si="83"/>
        <v>39.63601951304247</v>
      </c>
      <c r="Z98" s="15">
        <f t="shared" ca="1" si="84"/>
        <v>3.6797382885025787</v>
      </c>
      <c r="AA98" s="98">
        <f t="shared" ca="1" si="85"/>
        <v>1</v>
      </c>
      <c r="AB98" s="128">
        <f ca="1">IF(AA98&gt;0,30,0)</f>
        <v>30</v>
      </c>
      <c r="AC98" s="128">
        <f t="shared" ca="1" si="86"/>
        <v>900</v>
      </c>
      <c r="AD98" s="15">
        <f t="shared" ca="1" si="87"/>
        <v>110.39214865507736</v>
      </c>
      <c r="AE98" s="127">
        <f t="shared" ca="1" si="88"/>
        <v>3.6840179120923993</v>
      </c>
      <c r="AF98" s="127">
        <f t="shared" ca="1" si="129"/>
        <v>39.806010245881438</v>
      </c>
      <c r="AH98" s="121">
        <f t="shared" si="89"/>
        <v>45170</v>
      </c>
      <c r="AI98" s="73">
        <f t="shared" ca="1" si="81"/>
        <v>42.966373388232512</v>
      </c>
      <c r="AJ98" s="15">
        <f t="shared" ca="1" si="90"/>
        <v>3.7604177955337796</v>
      </c>
      <c r="AK98" s="98">
        <f t="shared" ca="1" si="91"/>
        <v>1</v>
      </c>
      <c r="AL98" s="128">
        <f ca="1">IF(AK98&gt;0,30,0)</f>
        <v>30</v>
      </c>
      <c r="AM98" s="128">
        <f t="shared" ca="1" si="92"/>
        <v>900</v>
      </c>
      <c r="AN98" s="15">
        <f t="shared" ca="1" si="93"/>
        <v>112.81253386601338</v>
      </c>
      <c r="AO98" s="127">
        <f t="shared" ca="1" si="94"/>
        <v>3.6818813092886873</v>
      </c>
      <c r="AP98" s="127">
        <f t="shared" ca="1" si="130"/>
        <v>39.7210514067527</v>
      </c>
      <c r="AR98" s="121">
        <f t="shared" si="95"/>
        <v>45170</v>
      </c>
      <c r="AS98" s="73">
        <f t="shared" ca="1" si="135"/>
        <v>42.966373388232512</v>
      </c>
      <c r="AT98" s="15">
        <f t="shared" ca="1" si="96"/>
        <v>3.7604177955337796</v>
      </c>
      <c r="AU98" s="98">
        <f t="shared" ca="1" si="97"/>
        <v>1</v>
      </c>
      <c r="AV98" s="128">
        <f ca="1">IF(AU98&gt;0,30,0)</f>
        <v>30</v>
      </c>
      <c r="AW98" s="128">
        <f t="shared" ca="1" si="98"/>
        <v>900</v>
      </c>
      <c r="AX98" s="15">
        <f t="shared" ca="1" si="99"/>
        <v>112.81253386601338</v>
      </c>
      <c r="AY98" s="127">
        <f t="shared" ca="1" si="100"/>
        <v>3.7023682475236983</v>
      </c>
      <c r="AZ98" s="127">
        <f t="shared" ca="1" si="131"/>
        <v>40.543207104353414</v>
      </c>
      <c r="BB98" s="121">
        <f t="shared" si="101"/>
        <v>45170</v>
      </c>
      <c r="BC98" s="73">
        <f t="shared" ca="1" si="139"/>
        <v>42.966373388232512</v>
      </c>
      <c r="BD98" s="15">
        <f t="shared" ca="1" si="102"/>
        <v>3.7604177955337796</v>
      </c>
      <c r="BE98" s="98">
        <f t="shared" ca="1" si="103"/>
        <v>1</v>
      </c>
      <c r="BF98" s="128">
        <f ca="1">IF(BE98&gt;0,30,0)</f>
        <v>30</v>
      </c>
      <c r="BG98" s="128">
        <f t="shared" ca="1" si="104"/>
        <v>900</v>
      </c>
      <c r="BH98" s="15">
        <f t="shared" ca="1" si="105"/>
        <v>112.81253386601338</v>
      </c>
      <c r="BI98" s="127">
        <f t="shared" ca="1" si="106"/>
        <v>3.6946610456354416</v>
      </c>
      <c r="BJ98" s="127">
        <f t="shared" ca="1" si="132"/>
        <v>40.231933487135763</v>
      </c>
      <c r="BL98" s="121">
        <f t="shared" si="107"/>
        <v>45170</v>
      </c>
      <c r="BM98" s="73">
        <f t="shared" ca="1" si="143"/>
        <v>42.966373388232512</v>
      </c>
      <c r="BN98" s="15">
        <f t="shared" ca="1" si="108"/>
        <v>3.7604177955337796</v>
      </c>
      <c r="BO98" s="98">
        <f t="shared" ca="1" si="109"/>
        <v>1</v>
      </c>
      <c r="BP98" s="128">
        <f ca="1">IF(BO98&gt;0,30,0)</f>
        <v>30</v>
      </c>
      <c r="BQ98" s="128">
        <f t="shared" ca="1" si="110"/>
        <v>900</v>
      </c>
      <c r="BR98" s="15">
        <f t="shared" ca="1" si="111"/>
        <v>112.81253386601338</v>
      </c>
      <c r="BS98" s="127">
        <f t="shared" ca="1" si="112"/>
        <v>3.6997877492558056</v>
      </c>
      <c r="BT98" s="127">
        <f t="shared" ca="1" si="133"/>
        <v>40.438720300635033</v>
      </c>
      <c r="BZ98" s="583">
        <f t="shared" si="113"/>
        <v>1</v>
      </c>
      <c r="CA98" s="121">
        <f t="shared" si="114"/>
        <v>45170</v>
      </c>
      <c r="CB98" s="127">
        <f t="shared" ca="1" si="115"/>
        <v>42.966373388232512</v>
      </c>
      <c r="CC98" s="15">
        <f t="shared" ca="1" si="116"/>
        <v>3.7604177955337796</v>
      </c>
      <c r="CD98" s="98">
        <f t="shared" ca="1" si="117"/>
        <v>1</v>
      </c>
      <c r="CE98" s="128">
        <f ca="1">IF(CD98&gt;0,30,0)</f>
        <v>30</v>
      </c>
      <c r="CF98" s="128">
        <f t="shared" ca="1" si="118"/>
        <v>900</v>
      </c>
      <c r="CG98" s="15">
        <f t="shared" ca="1" si="119"/>
        <v>112.81253386601338</v>
      </c>
      <c r="CH98" s="127">
        <f t="shared" ca="1" si="120"/>
        <v>3.7101300556770065</v>
      </c>
      <c r="CI98" s="127">
        <f t="shared" ca="1" si="134"/>
        <v>40.859120141981833</v>
      </c>
      <c r="DQ98" s="121">
        <f t="shared" si="121"/>
        <v>45170</v>
      </c>
      <c r="DR98" s="98">
        <f t="shared" ca="1" si="122"/>
        <v>1</v>
      </c>
      <c r="DS98" s="73">
        <f t="shared" ca="1" si="123"/>
        <v>39.63601951304247</v>
      </c>
      <c r="DT98" s="295">
        <f t="shared" ca="1" si="127"/>
        <v>39.7210514067527</v>
      </c>
      <c r="DU98" s="295">
        <f t="shared" ca="1" si="128"/>
        <v>-8.5031893710230122E-2</v>
      </c>
      <c r="DX98" s="121">
        <f t="shared" si="124"/>
        <v>45170</v>
      </c>
      <c r="DY98" s="98">
        <f t="shared" ca="1" si="136"/>
        <v>1</v>
      </c>
      <c r="DZ98" s="281">
        <f t="shared" ca="1" si="137"/>
        <v>39.63601951304247</v>
      </c>
      <c r="EA98" s="127">
        <f t="shared" ca="1" si="138"/>
        <v>40.543207104353414</v>
      </c>
      <c r="EC98" s="121">
        <f t="shared" si="125"/>
        <v>45170</v>
      </c>
      <c r="ED98" s="98">
        <f t="shared" ca="1" si="140"/>
        <v>1</v>
      </c>
      <c r="EE98" s="281">
        <f t="shared" ca="1" si="141"/>
        <v>39.63601951304247</v>
      </c>
      <c r="EF98" s="127">
        <f t="shared" ca="1" si="142"/>
        <v>40.231933487135763</v>
      </c>
      <c r="EH98" s="121">
        <f t="shared" si="126"/>
        <v>45170</v>
      </c>
      <c r="EI98" s="98">
        <f t="shared" ca="1" si="144"/>
        <v>1</v>
      </c>
      <c r="EJ98" s="281">
        <f t="shared" ca="1" si="145"/>
        <v>39.63601951304247</v>
      </c>
      <c r="EK98" s="127">
        <f t="shared" ca="1" si="146"/>
        <v>40.438720300635033</v>
      </c>
    </row>
    <row r="99" spans="19:141" x14ac:dyDescent="0.2">
      <c r="V99" s="2">
        <v>31</v>
      </c>
      <c r="X99" s="121">
        <f t="shared" si="82"/>
        <v>45200</v>
      </c>
      <c r="Y99" s="73">
        <f t="shared" ca="1" si="83"/>
        <v>45.354256209484092</v>
      </c>
      <c r="Z99" s="15">
        <f t="shared" ca="1" si="84"/>
        <v>3.8145040246266078</v>
      </c>
      <c r="AA99" s="98">
        <f t="shared" ca="1" si="85"/>
        <v>1</v>
      </c>
      <c r="AB99" s="128">
        <f ca="1">IF(AA99&gt;0,31,0)</f>
        <v>31</v>
      </c>
      <c r="AC99" s="128">
        <f t="shared" ca="1" si="86"/>
        <v>961</v>
      </c>
      <c r="AD99" s="15">
        <f t="shared" ca="1" si="87"/>
        <v>118.24962476342483</v>
      </c>
      <c r="AE99" s="127">
        <f t="shared" ca="1" si="88"/>
        <v>3.683538838413162</v>
      </c>
      <c r="AF99" s="127">
        <f t="shared" ca="1" si="129"/>
        <v>39.786944801338166</v>
      </c>
      <c r="AH99" s="121">
        <f t="shared" si="89"/>
        <v>45200</v>
      </c>
      <c r="AI99" s="73">
        <f t="shared" ca="1" si="81"/>
        <v>42.365922389362225</v>
      </c>
      <c r="AJ99" s="15">
        <f t="shared" ca="1" si="90"/>
        <v>3.7463443218520336</v>
      </c>
      <c r="AK99" s="98">
        <f t="shared" ca="1" si="91"/>
        <v>1</v>
      </c>
      <c r="AL99" s="128">
        <f ca="1">IF(AK99&gt;0,31,0)</f>
        <v>31</v>
      </c>
      <c r="AM99" s="128">
        <f t="shared" ca="1" si="92"/>
        <v>961</v>
      </c>
      <c r="AN99" s="15">
        <f t="shared" ca="1" si="93"/>
        <v>116.13667397741304</v>
      </c>
      <c r="AO99" s="127">
        <f t="shared" ca="1" si="94"/>
        <v>3.6806979559801882</v>
      </c>
      <c r="AP99" s="127">
        <f t="shared" ca="1" si="130"/>
        <v>39.674075169378256</v>
      </c>
      <c r="AR99" s="121">
        <f t="shared" si="95"/>
        <v>45200</v>
      </c>
      <c r="AS99" s="73">
        <f t="shared" ca="1" si="135"/>
        <v>42.365922389362225</v>
      </c>
      <c r="AT99" s="15">
        <f t="shared" ca="1" si="96"/>
        <v>3.7463443218520336</v>
      </c>
      <c r="AU99" s="98">
        <f t="shared" ca="1" si="97"/>
        <v>1</v>
      </c>
      <c r="AV99" s="128">
        <f ca="1">IF(AU99&gt;0,31,0)</f>
        <v>31</v>
      </c>
      <c r="AW99" s="128">
        <f t="shared" ca="1" si="98"/>
        <v>961</v>
      </c>
      <c r="AX99" s="15">
        <f t="shared" ca="1" si="99"/>
        <v>116.13667397741304</v>
      </c>
      <c r="AY99" s="127">
        <f t="shared" ca="1" si="100"/>
        <v>3.7060570476881103</v>
      </c>
      <c r="AZ99" s="127">
        <f t="shared" ca="1" si="131"/>
        <v>40.693039073582099</v>
      </c>
      <c r="BB99" s="121">
        <f t="shared" si="101"/>
        <v>45200</v>
      </c>
      <c r="BC99" s="73">
        <f t="shared" ca="1" si="139"/>
        <v>42.365922389362225</v>
      </c>
      <c r="BD99" s="15">
        <f t="shared" ca="1" si="102"/>
        <v>3.7463443218520336</v>
      </c>
      <c r="BE99" s="98">
        <f t="shared" ca="1" si="103"/>
        <v>1</v>
      </c>
      <c r="BF99" s="128">
        <f ca="1">IF(BE99&gt;0,31,0)</f>
        <v>31</v>
      </c>
      <c r="BG99" s="128">
        <f t="shared" ca="1" si="104"/>
        <v>961</v>
      </c>
      <c r="BH99" s="15">
        <f t="shared" ca="1" si="105"/>
        <v>116.13667397741304</v>
      </c>
      <c r="BI99" s="127">
        <f t="shared" ca="1" si="106"/>
        <v>3.6959218364687731</v>
      </c>
      <c r="BJ99" s="127">
        <f t="shared" ca="1" si="132"/>
        <v>40.282689529736714</v>
      </c>
      <c r="BL99" s="121">
        <f t="shared" si="107"/>
        <v>45200</v>
      </c>
      <c r="BM99" s="73">
        <f t="shared" ca="1" si="143"/>
        <v>42.365922389362225</v>
      </c>
      <c r="BN99" s="15">
        <f t="shared" ca="1" si="108"/>
        <v>3.7463443218520336</v>
      </c>
      <c r="BO99" s="98">
        <f t="shared" ca="1" si="109"/>
        <v>1</v>
      </c>
      <c r="BP99" s="128">
        <f ca="1">IF(BO99&gt;0,31,0)</f>
        <v>31</v>
      </c>
      <c r="BQ99" s="128">
        <f t="shared" ca="1" si="110"/>
        <v>961</v>
      </c>
      <c r="BR99" s="15">
        <f t="shared" ca="1" si="111"/>
        <v>116.13667397741304</v>
      </c>
      <c r="BS99" s="127">
        <f t="shared" ca="1" si="112"/>
        <v>3.7049153935079389</v>
      </c>
      <c r="BT99" s="127">
        <f t="shared" ca="1" si="133"/>
        <v>40.64660820446084</v>
      </c>
      <c r="BZ99" s="583">
        <f t="shared" si="113"/>
        <v>1</v>
      </c>
      <c r="CA99" s="121">
        <f t="shared" si="114"/>
        <v>45200</v>
      </c>
      <c r="CB99" s="127">
        <f t="shared" ca="1" si="115"/>
        <v>42.365922389362225</v>
      </c>
      <c r="CC99" s="15">
        <f t="shared" ca="1" si="116"/>
        <v>3.7463443218520336</v>
      </c>
      <c r="CD99" s="98">
        <f t="shared" ca="1" si="117"/>
        <v>1</v>
      </c>
      <c r="CE99" s="128">
        <f ca="1">IF(CD99&gt;0,31,0)</f>
        <v>31</v>
      </c>
      <c r="CF99" s="128">
        <f t="shared" ca="1" si="118"/>
        <v>961</v>
      </c>
      <c r="CG99" s="15">
        <f t="shared" ca="1" si="119"/>
        <v>116.13667397741304</v>
      </c>
      <c r="CH99" s="127">
        <f t="shared" ca="1" si="120"/>
        <v>3.7137369346998859</v>
      </c>
      <c r="CI99" s="127">
        <f t="shared" ca="1" si="134"/>
        <v>41.006760145069173</v>
      </c>
      <c r="DQ99" s="121">
        <f t="shared" si="121"/>
        <v>45200</v>
      </c>
      <c r="DR99" s="98">
        <f t="shared" ca="1" si="122"/>
        <v>1</v>
      </c>
      <c r="DS99" s="73">
        <f t="shared" ca="1" si="123"/>
        <v>45.354256209484092</v>
      </c>
      <c r="DT99" s="295">
        <f t="shared" ca="1" si="127"/>
        <v>39.674075169378256</v>
      </c>
      <c r="DU99" s="295">
        <f t="shared" ca="1" si="128"/>
        <v>5.6801810401058361</v>
      </c>
      <c r="DX99" s="121">
        <f t="shared" si="124"/>
        <v>45200</v>
      </c>
      <c r="DY99" s="98">
        <f t="shared" ca="1" si="136"/>
        <v>1</v>
      </c>
      <c r="DZ99" s="281">
        <f t="shared" ca="1" si="137"/>
        <v>45.354256209484092</v>
      </c>
      <c r="EA99" s="127">
        <f t="shared" ca="1" si="138"/>
        <v>40.693039073582099</v>
      </c>
      <c r="EC99" s="121">
        <f t="shared" si="125"/>
        <v>45200</v>
      </c>
      <c r="ED99" s="98">
        <f t="shared" ca="1" si="140"/>
        <v>1</v>
      </c>
      <c r="EE99" s="281">
        <f t="shared" ca="1" si="141"/>
        <v>45.354256209484092</v>
      </c>
      <c r="EF99" s="127">
        <f t="shared" ca="1" si="142"/>
        <v>40.282689529736714</v>
      </c>
      <c r="EH99" s="121">
        <f t="shared" si="126"/>
        <v>45200</v>
      </c>
      <c r="EI99" s="98">
        <f t="shared" ca="1" si="144"/>
        <v>1</v>
      </c>
      <c r="EJ99" s="281">
        <f t="shared" ca="1" si="145"/>
        <v>45.354256209484092</v>
      </c>
      <c r="EK99" s="127">
        <f t="shared" ca="1" si="146"/>
        <v>40.64660820446084</v>
      </c>
    </row>
    <row r="100" spans="19:141" x14ac:dyDescent="0.2">
      <c r="V100" s="2">
        <v>32</v>
      </c>
      <c r="X100" s="121">
        <f t="shared" si="82"/>
        <v>45231</v>
      </c>
      <c r="Y100" s="73">
        <f t="shared" ca="1" si="83"/>
        <v>42.107491445560107</v>
      </c>
      <c r="Z100" s="15">
        <f t="shared" ca="1" si="84"/>
        <v>3.7402256689332285</v>
      </c>
      <c r="AA100" s="98">
        <f t="shared" ca="1" si="85"/>
        <v>1</v>
      </c>
      <c r="AB100" s="128">
        <f ca="1">IF(AA100&gt;0,32,0)</f>
        <v>32</v>
      </c>
      <c r="AC100" s="128">
        <f t="shared" ca="1" si="86"/>
        <v>1024</v>
      </c>
      <c r="AD100" s="15">
        <f t="shared" ca="1" si="87"/>
        <v>119.68722140586331</v>
      </c>
      <c r="AE100" s="127">
        <f t="shared" ca="1" si="88"/>
        <v>3.6830597647339247</v>
      </c>
      <c r="AF100" s="127">
        <f t="shared" ca="1" si="129"/>
        <v>39.767888488360029</v>
      </c>
      <c r="AH100" s="121">
        <f t="shared" si="89"/>
        <v>45231</v>
      </c>
      <c r="AI100" s="73">
        <f t="shared" ca="1" si="81"/>
        <v>42.398128718961154</v>
      </c>
      <c r="AJ100" s="15">
        <f t="shared" ca="1" si="90"/>
        <v>3.7471042272772137</v>
      </c>
      <c r="AK100" s="98">
        <f t="shared" ca="1" si="91"/>
        <v>1</v>
      </c>
      <c r="AL100" s="128">
        <f ca="1">IF(AK100&gt;0,32,0)</f>
        <v>32</v>
      </c>
      <c r="AM100" s="128">
        <f t="shared" ca="1" si="92"/>
        <v>1024</v>
      </c>
      <c r="AN100" s="15">
        <f t="shared" ca="1" si="93"/>
        <v>119.90733527287084</v>
      </c>
      <c r="AO100" s="127">
        <f t="shared" ca="1" si="94"/>
        <v>3.6795146026716887</v>
      </c>
      <c r="AP100" s="127">
        <f t="shared" ca="1" si="130"/>
        <v>39.627154488611673</v>
      </c>
      <c r="AR100" s="121">
        <f t="shared" si="95"/>
        <v>45231</v>
      </c>
      <c r="AS100" s="73">
        <f t="shared" ca="1" si="135"/>
        <v>42.398128718961154</v>
      </c>
      <c r="AT100" s="15">
        <f t="shared" ca="1" si="96"/>
        <v>3.7471042272772137</v>
      </c>
      <c r="AU100" s="98">
        <f t="shared" ca="1" si="97"/>
        <v>1</v>
      </c>
      <c r="AV100" s="128">
        <f ca="1">IF(AU100&gt;0,32,0)</f>
        <v>32</v>
      </c>
      <c r="AW100" s="128">
        <f t="shared" ca="1" si="98"/>
        <v>1024</v>
      </c>
      <c r="AX100" s="15">
        <f t="shared" ca="1" si="99"/>
        <v>119.90733527287084</v>
      </c>
      <c r="AY100" s="127">
        <f t="shared" ca="1" si="100"/>
        <v>3.7097458478525223</v>
      </c>
      <c r="AZ100" s="127">
        <f t="shared" ca="1" si="131"/>
        <v>40.843424763658398</v>
      </c>
      <c r="BB100" s="121">
        <f t="shared" si="101"/>
        <v>45231</v>
      </c>
      <c r="BC100" s="73">
        <f t="shared" ca="1" si="139"/>
        <v>42.398128718961154</v>
      </c>
      <c r="BD100" s="15">
        <f t="shared" ca="1" si="102"/>
        <v>3.7471042272772137</v>
      </c>
      <c r="BE100" s="98">
        <f t="shared" ca="1" si="103"/>
        <v>1</v>
      </c>
      <c r="BF100" s="128">
        <f ca="1">IF(BE100&gt;0,32,0)</f>
        <v>32</v>
      </c>
      <c r="BG100" s="128">
        <f t="shared" ca="1" si="104"/>
        <v>1024</v>
      </c>
      <c r="BH100" s="15">
        <f t="shared" ca="1" si="105"/>
        <v>119.90733527287084</v>
      </c>
      <c r="BI100" s="127">
        <f t="shared" ca="1" si="106"/>
        <v>3.6971826273021051</v>
      </c>
      <c r="BJ100" s="127">
        <f t="shared" ca="1" si="132"/>
        <v>40.333509605448626</v>
      </c>
      <c r="BL100" s="121">
        <f t="shared" si="107"/>
        <v>45231</v>
      </c>
      <c r="BM100" s="73">
        <f t="shared" ca="1" si="143"/>
        <v>42.398128718961154</v>
      </c>
      <c r="BN100" s="15">
        <f t="shared" ca="1" si="108"/>
        <v>3.7471042272772137</v>
      </c>
      <c r="BO100" s="98">
        <f t="shared" ca="1" si="109"/>
        <v>1</v>
      </c>
      <c r="BP100" s="128">
        <f ca="1">IF(BO100&gt;0,32,0)</f>
        <v>32</v>
      </c>
      <c r="BQ100" s="128">
        <f t="shared" ca="1" si="110"/>
        <v>1024</v>
      </c>
      <c r="BR100" s="15">
        <f t="shared" ca="1" si="111"/>
        <v>119.90733527287084</v>
      </c>
      <c r="BS100" s="127">
        <f t="shared" ca="1" si="112"/>
        <v>3.7100430377600722</v>
      </c>
      <c r="BT100" s="127">
        <f t="shared" ca="1" si="133"/>
        <v>40.855564821149862</v>
      </c>
      <c r="BZ100" s="583">
        <f t="shared" si="113"/>
        <v>0</v>
      </c>
      <c r="CA100" s="121">
        <f t="shared" si="114"/>
        <v>45231</v>
      </c>
      <c r="CB100" s="127">
        <f t="shared" ca="1" si="115"/>
        <v>0</v>
      </c>
      <c r="CC100" s="15">
        <f t="shared" ca="1" si="116"/>
        <v>0</v>
      </c>
      <c r="CD100" s="98">
        <f t="shared" ca="1" si="117"/>
        <v>0</v>
      </c>
      <c r="CE100" s="128">
        <f ca="1">IF(CD100&gt;0,32,0)</f>
        <v>0</v>
      </c>
      <c r="CF100" s="128">
        <f t="shared" ca="1" si="118"/>
        <v>0</v>
      </c>
      <c r="CG100" s="15">
        <f t="shared" ca="1" si="119"/>
        <v>0</v>
      </c>
      <c r="CH100" s="127">
        <f t="shared" ca="1" si="120"/>
        <v>3.7173438137227652</v>
      </c>
      <c r="CI100" s="127">
        <f t="shared" ca="1" si="134"/>
        <v>41.154933629309205</v>
      </c>
      <c r="DQ100" s="121">
        <f t="shared" si="121"/>
        <v>45231</v>
      </c>
      <c r="DR100" s="98">
        <f t="shared" ca="1" si="122"/>
        <v>1</v>
      </c>
      <c r="DS100" s="73">
        <f t="shared" ca="1" si="123"/>
        <v>42.107491445560107</v>
      </c>
      <c r="DT100" s="295">
        <f t="shared" ca="1" si="127"/>
        <v>39.627154488611673</v>
      </c>
      <c r="DU100" s="295">
        <f t="shared" ca="1" si="128"/>
        <v>2.4803369569484346</v>
      </c>
      <c r="DX100" s="121">
        <f t="shared" si="124"/>
        <v>45231</v>
      </c>
      <c r="DY100" s="98">
        <f t="shared" ca="1" si="136"/>
        <v>1</v>
      </c>
      <c r="DZ100" s="281">
        <f t="shared" ca="1" si="137"/>
        <v>42.107491445560107</v>
      </c>
      <c r="EA100" s="127">
        <f t="shared" ca="1" si="138"/>
        <v>40.843424763658398</v>
      </c>
      <c r="EC100" s="121">
        <f t="shared" si="125"/>
        <v>45231</v>
      </c>
      <c r="ED100" s="98">
        <f t="shared" ca="1" si="140"/>
        <v>1</v>
      </c>
      <c r="EE100" s="281">
        <f t="shared" ca="1" si="141"/>
        <v>42.107491445560107</v>
      </c>
      <c r="EF100" s="127">
        <f t="shared" ca="1" si="142"/>
        <v>40.333509605448626</v>
      </c>
      <c r="EH100" s="121">
        <f t="shared" si="126"/>
        <v>45231</v>
      </c>
      <c r="EI100" s="98">
        <f t="shared" ca="1" si="144"/>
        <v>1</v>
      </c>
      <c r="EJ100" s="281">
        <f t="shared" ca="1" si="145"/>
        <v>42.107491445560107</v>
      </c>
      <c r="EK100" s="127">
        <f t="shared" ca="1" si="146"/>
        <v>40.855564821149862</v>
      </c>
    </row>
    <row r="101" spans="19:141" x14ac:dyDescent="0.2">
      <c r="V101" s="2">
        <v>33</v>
      </c>
      <c r="X101" s="121">
        <f t="shared" si="82"/>
        <v>45261</v>
      </c>
      <c r="Y101" s="73">
        <f t="shared" ca="1" si="83"/>
        <v>39.732638501839261</v>
      </c>
      <c r="Z101" s="15">
        <f t="shared" ca="1" si="84"/>
        <v>3.6821729784404167</v>
      </c>
      <c r="AA101" s="98">
        <f t="shared" ca="1" si="85"/>
        <v>1</v>
      </c>
      <c r="AB101" s="128">
        <f ca="1">IF(AA101&gt;0,33,0)</f>
        <v>33</v>
      </c>
      <c r="AC101" s="128">
        <f t="shared" ca="1" si="86"/>
        <v>1089</v>
      </c>
      <c r="AD101" s="15">
        <f t="shared" ca="1" si="87"/>
        <v>121.51170828853375</v>
      </c>
      <c r="AE101" s="127">
        <f t="shared" ca="1" si="88"/>
        <v>3.6825806910546874</v>
      </c>
      <c r="AF101" s="127">
        <f t="shared" ca="1" si="129"/>
        <v>39.748841302573396</v>
      </c>
      <c r="AH101" s="121">
        <f t="shared" si="89"/>
        <v>45261</v>
      </c>
      <c r="AI101" s="73">
        <f t="shared" ca="1" si="81"/>
        <v>39.63227905853757</v>
      </c>
      <c r="AJ101" s="15">
        <f t="shared" ca="1" si="90"/>
        <v>3.6796439139650881</v>
      </c>
      <c r="AK101" s="98">
        <f t="shared" ca="1" si="91"/>
        <v>1</v>
      </c>
      <c r="AL101" s="128">
        <f ca="1">IF(AK101&gt;0,33,0)</f>
        <v>33</v>
      </c>
      <c r="AM101" s="128">
        <f t="shared" ca="1" si="92"/>
        <v>1089</v>
      </c>
      <c r="AN101" s="15">
        <f t="shared" ca="1" si="93"/>
        <v>121.42824916084791</v>
      </c>
      <c r="AO101" s="127">
        <f t="shared" ca="1" si="94"/>
        <v>3.6783312493631897</v>
      </c>
      <c r="AP101" s="127">
        <f t="shared" ca="1" si="130"/>
        <v>39.580289298748788</v>
      </c>
      <c r="AR101" s="121">
        <f t="shared" si="95"/>
        <v>45261</v>
      </c>
      <c r="AS101" s="73">
        <f t="shared" ca="1" si="135"/>
        <v>39.63227905853757</v>
      </c>
      <c r="AT101" s="15">
        <f t="shared" ca="1" si="96"/>
        <v>3.6796439139650881</v>
      </c>
      <c r="AU101" s="98">
        <f t="shared" ca="1" si="97"/>
        <v>1</v>
      </c>
      <c r="AV101" s="128">
        <f ca="1">IF(AU101&gt;0,33,0)</f>
        <v>33</v>
      </c>
      <c r="AW101" s="128">
        <f t="shared" ca="1" si="98"/>
        <v>1089</v>
      </c>
      <c r="AX101" s="15">
        <f t="shared" ca="1" si="99"/>
        <v>121.42824916084791</v>
      </c>
      <c r="AY101" s="127">
        <f t="shared" ca="1" si="100"/>
        <v>3.7134346480169342</v>
      </c>
      <c r="AZ101" s="127">
        <f t="shared" ca="1" si="131"/>
        <v>40.994366220919815</v>
      </c>
      <c r="BB101" s="121">
        <f t="shared" si="101"/>
        <v>45261</v>
      </c>
      <c r="BC101" s="73">
        <f t="shared" ca="1" si="139"/>
        <v>39.63227905853757</v>
      </c>
      <c r="BD101" s="15">
        <f t="shared" ca="1" si="102"/>
        <v>3.6796439139650881</v>
      </c>
      <c r="BE101" s="98">
        <f t="shared" ca="1" si="103"/>
        <v>1</v>
      </c>
      <c r="BF101" s="128">
        <f ca="1">IF(BE101&gt;0,33,0)</f>
        <v>33</v>
      </c>
      <c r="BG101" s="128">
        <f t="shared" ca="1" si="104"/>
        <v>1089</v>
      </c>
      <c r="BH101" s="15">
        <f t="shared" ca="1" si="105"/>
        <v>121.42824916084791</v>
      </c>
      <c r="BI101" s="127">
        <f t="shared" ca="1" si="106"/>
        <v>3.6984434181354371</v>
      </c>
      <c r="BJ101" s="127">
        <f t="shared" ca="1" si="132"/>
        <v>40.384393795054763</v>
      </c>
      <c r="BL101" s="121">
        <f t="shared" si="107"/>
        <v>45261</v>
      </c>
      <c r="BM101" s="73">
        <f t="shared" ca="1" si="143"/>
        <v>39.63227905853757</v>
      </c>
      <c r="BN101" s="15">
        <f t="shared" ca="1" si="108"/>
        <v>3.6796439139650881</v>
      </c>
      <c r="BO101" s="98">
        <f t="shared" ca="1" si="109"/>
        <v>1</v>
      </c>
      <c r="BP101" s="128">
        <f ca="1">IF(BO101&gt;0,33,0)</f>
        <v>33</v>
      </c>
      <c r="BQ101" s="128">
        <f t="shared" ca="1" si="110"/>
        <v>1089</v>
      </c>
      <c r="BR101" s="15">
        <f t="shared" ca="1" si="111"/>
        <v>121.42824916084791</v>
      </c>
      <c r="BS101" s="127">
        <f t="shared" ca="1" si="112"/>
        <v>3.7151706820122059</v>
      </c>
      <c r="BT101" s="127">
        <f t="shared" ca="1" si="133"/>
        <v>41.065595644755213</v>
      </c>
      <c r="BZ101" s="583">
        <f t="shared" si="113"/>
        <v>0</v>
      </c>
      <c r="CA101" s="121">
        <f t="shared" si="114"/>
        <v>45261</v>
      </c>
      <c r="CB101" s="127">
        <f t="shared" ca="1" si="115"/>
        <v>0</v>
      </c>
      <c r="CC101" s="15">
        <f t="shared" ca="1" si="116"/>
        <v>0</v>
      </c>
      <c r="CD101" s="98">
        <f t="shared" ca="1" si="117"/>
        <v>0</v>
      </c>
      <c r="CE101" s="128">
        <f ca="1">IF(CD101&gt;0,33,0)</f>
        <v>0</v>
      </c>
      <c r="CF101" s="128">
        <f t="shared" ca="1" si="118"/>
        <v>0</v>
      </c>
      <c r="CG101" s="15">
        <f t="shared" ca="1" si="119"/>
        <v>0</v>
      </c>
      <c r="CH101" s="127">
        <f t="shared" ca="1" si="120"/>
        <v>3.7209506927456446</v>
      </c>
      <c r="CI101" s="127">
        <f t="shared" ca="1" si="134"/>
        <v>41.303642522378283</v>
      </c>
      <c r="DQ101" s="121">
        <f t="shared" si="121"/>
        <v>45261</v>
      </c>
      <c r="DR101" s="98">
        <f t="shared" ca="1" si="122"/>
        <v>1</v>
      </c>
      <c r="DS101" s="73">
        <f t="shared" ca="1" si="123"/>
        <v>39.732638501839261</v>
      </c>
      <c r="DT101" s="295">
        <f t="shared" ca="1" si="127"/>
        <v>39.580289298748788</v>
      </c>
      <c r="DU101" s="295">
        <f t="shared" ca="1" si="128"/>
        <v>0.1523492030904734</v>
      </c>
      <c r="DX101" s="121">
        <f t="shared" si="124"/>
        <v>45261</v>
      </c>
      <c r="DY101" s="98">
        <f t="shared" ca="1" si="136"/>
        <v>1</v>
      </c>
      <c r="DZ101" s="281">
        <f t="shared" ca="1" si="137"/>
        <v>39.732638501839261</v>
      </c>
      <c r="EA101" s="127">
        <f t="shared" ca="1" si="138"/>
        <v>40.994366220919815</v>
      </c>
      <c r="EC101" s="121">
        <f t="shared" si="125"/>
        <v>45261</v>
      </c>
      <c r="ED101" s="98">
        <f t="shared" ca="1" si="140"/>
        <v>1</v>
      </c>
      <c r="EE101" s="281">
        <f t="shared" ca="1" si="141"/>
        <v>39.732638501839261</v>
      </c>
      <c r="EF101" s="127">
        <f t="shared" ca="1" si="142"/>
        <v>40.384393795054763</v>
      </c>
      <c r="EH101" s="121">
        <f t="shared" si="126"/>
        <v>45261</v>
      </c>
      <c r="EI101" s="98">
        <f t="shared" ca="1" si="144"/>
        <v>1</v>
      </c>
      <c r="EJ101" s="281">
        <f t="shared" ca="1" si="145"/>
        <v>39.732638501839261</v>
      </c>
      <c r="EK101" s="127">
        <f t="shared" ca="1" si="146"/>
        <v>41.065595644755213</v>
      </c>
    </row>
    <row r="102" spans="19:141" x14ac:dyDescent="0.2">
      <c r="V102" s="2">
        <v>34</v>
      </c>
      <c r="X102" s="121">
        <f t="shared" si="82"/>
        <v>45292</v>
      </c>
      <c r="Y102" s="73">
        <f t="shared" ca="1" si="83"/>
        <v>37.056707228213348</v>
      </c>
      <c r="Z102" s="15">
        <f t="shared" ca="1" si="84"/>
        <v>3.612449367158447</v>
      </c>
      <c r="AA102" s="98">
        <f t="shared" ca="1" si="85"/>
        <v>1</v>
      </c>
      <c r="AB102" s="128">
        <f ca="1">IF(AA102&gt;0,34,0)</f>
        <v>34</v>
      </c>
      <c r="AC102" s="128">
        <f t="shared" ca="1" si="86"/>
        <v>1156</v>
      </c>
      <c r="AD102" s="15">
        <f t="shared" ca="1" si="87"/>
        <v>122.8232784833872</v>
      </c>
      <c r="AE102" s="127">
        <f t="shared" ca="1" si="88"/>
        <v>3.6821016173754502</v>
      </c>
      <c r="AF102" s="127">
        <f t="shared" ca="1" si="129"/>
        <v>39.72980323960671</v>
      </c>
      <c r="AH102" s="121">
        <f t="shared" si="89"/>
        <v>45292</v>
      </c>
      <c r="AI102" s="73">
        <f t="shared" ca="1" si="81"/>
        <v>38.110022627918276</v>
      </c>
      <c r="AJ102" s="15">
        <f t="shared" ca="1" si="90"/>
        <v>3.6404773086383679</v>
      </c>
      <c r="AK102" s="98">
        <f t="shared" ca="1" si="91"/>
        <v>1</v>
      </c>
      <c r="AL102" s="128">
        <f ca="1">IF(AK102&gt;0,34,0)</f>
        <v>34</v>
      </c>
      <c r="AM102" s="128">
        <f t="shared" ca="1" si="92"/>
        <v>1156</v>
      </c>
      <c r="AN102" s="15">
        <f t="shared" ca="1" si="93"/>
        <v>123.77622849370451</v>
      </c>
      <c r="AO102" s="127">
        <f t="shared" ca="1" si="94"/>
        <v>3.6771478960546902</v>
      </c>
      <c r="AP102" s="127">
        <f t="shared" ca="1" si="130"/>
        <v>39.53347953416305</v>
      </c>
      <c r="AR102" s="121">
        <f t="shared" si="95"/>
        <v>45292</v>
      </c>
      <c r="AS102" s="73">
        <f t="shared" ca="1" si="135"/>
        <v>38.110022627918276</v>
      </c>
      <c r="AT102" s="15">
        <f t="shared" ca="1" si="96"/>
        <v>3.6404773086383679</v>
      </c>
      <c r="AU102" s="98">
        <f t="shared" ca="1" si="97"/>
        <v>1</v>
      </c>
      <c r="AV102" s="128">
        <f ca="1">IF(AU102&gt;0,34,0)</f>
        <v>34</v>
      </c>
      <c r="AW102" s="128">
        <f t="shared" ca="1" si="98"/>
        <v>1156</v>
      </c>
      <c r="AX102" s="15">
        <f t="shared" ca="1" si="99"/>
        <v>123.77622849370451</v>
      </c>
      <c r="AY102" s="127">
        <f t="shared" ca="1" si="100"/>
        <v>3.7171234481813462</v>
      </c>
      <c r="AZ102" s="127">
        <f t="shared" ca="1" si="131"/>
        <v>41.145865499266314</v>
      </c>
      <c r="BB102" s="121">
        <f t="shared" si="101"/>
        <v>45292</v>
      </c>
      <c r="BC102" s="73">
        <f t="shared" ca="1" si="139"/>
        <v>38.110022627918276</v>
      </c>
      <c r="BD102" s="15">
        <f t="shared" ca="1" si="102"/>
        <v>3.6404773086383679</v>
      </c>
      <c r="BE102" s="98">
        <f t="shared" ca="1" si="103"/>
        <v>1</v>
      </c>
      <c r="BF102" s="128">
        <f ca="1">IF(BE102&gt;0,34,0)</f>
        <v>34</v>
      </c>
      <c r="BG102" s="128">
        <f t="shared" ca="1" si="104"/>
        <v>1156</v>
      </c>
      <c r="BH102" s="15">
        <f t="shared" ca="1" si="105"/>
        <v>123.77622849370451</v>
      </c>
      <c r="BI102" s="127">
        <f t="shared" ca="1" si="106"/>
        <v>3.6997042089687691</v>
      </c>
      <c r="BJ102" s="127">
        <f t="shared" ca="1" si="132"/>
        <v>40.435342179440305</v>
      </c>
      <c r="BL102" s="121">
        <f t="shared" si="107"/>
        <v>45292</v>
      </c>
      <c r="BM102" s="73">
        <f t="shared" ca="1" si="143"/>
        <v>38.110022627918276</v>
      </c>
      <c r="BN102" s="15">
        <f t="shared" ca="1" si="108"/>
        <v>3.6404773086383679</v>
      </c>
      <c r="BO102" s="98">
        <f t="shared" ca="1" si="109"/>
        <v>1</v>
      </c>
      <c r="BP102" s="128">
        <f ca="1">IF(BO102&gt;0,34,0)</f>
        <v>34</v>
      </c>
      <c r="BQ102" s="128">
        <f t="shared" ca="1" si="110"/>
        <v>1156</v>
      </c>
      <c r="BR102" s="15">
        <f t="shared" ca="1" si="111"/>
        <v>123.77622849370451</v>
      </c>
      <c r="BS102" s="127">
        <f t="shared" ca="1" si="112"/>
        <v>3.7202983262643392</v>
      </c>
      <c r="BT102" s="127">
        <f t="shared" ca="1" si="133"/>
        <v>41.27670619757388</v>
      </c>
      <c r="BZ102" s="583">
        <f t="shared" si="113"/>
        <v>0</v>
      </c>
      <c r="CA102" s="121">
        <f t="shared" si="114"/>
        <v>45292</v>
      </c>
      <c r="CB102" s="127">
        <f t="shared" ca="1" si="115"/>
        <v>0</v>
      </c>
      <c r="CC102" s="15">
        <f t="shared" ca="1" si="116"/>
        <v>0</v>
      </c>
      <c r="CD102" s="98">
        <f t="shared" ca="1" si="117"/>
        <v>0</v>
      </c>
      <c r="CE102" s="128">
        <f ca="1">IF(CD102&gt;0,34,0)</f>
        <v>0</v>
      </c>
      <c r="CF102" s="128">
        <f t="shared" ca="1" si="118"/>
        <v>0</v>
      </c>
      <c r="CG102" s="15">
        <f t="shared" ca="1" si="119"/>
        <v>0</v>
      </c>
      <c r="CH102" s="127">
        <f t="shared" ca="1" si="120"/>
        <v>3.724557571768524</v>
      </c>
      <c r="CI102" s="127">
        <f t="shared" ca="1" si="134"/>
        <v>41.452888758918178</v>
      </c>
      <c r="DQ102" s="121">
        <f t="shared" si="121"/>
        <v>45292</v>
      </c>
      <c r="DR102" s="98">
        <f t="shared" ca="1" si="122"/>
        <v>1</v>
      </c>
      <c r="DS102" s="73">
        <f t="shared" ca="1" si="123"/>
        <v>37.056707228213348</v>
      </c>
      <c r="DT102" s="295">
        <f t="shared" ca="1" si="127"/>
        <v>39.53347953416305</v>
      </c>
      <c r="DU102" s="295">
        <f t="shared" ca="1" si="128"/>
        <v>-2.4767723059497015</v>
      </c>
      <c r="DX102" s="121">
        <f t="shared" si="124"/>
        <v>45292</v>
      </c>
      <c r="DY102" s="98">
        <f t="shared" ca="1" si="136"/>
        <v>1</v>
      </c>
      <c r="DZ102" s="281">
        <f t="shared" ca="1" si="137"/>
        <v>37.056707228213348</v>
      </c>
      <c r="EA102" s="127">
        <f t="shared" ca="1" si="138"/>
        <v>41.145865499266314</v>
      </c>
      <c r="EC102" s="121">
        <f t="shared" si="125"/>
        <v>45292</v>
      </c>
      <c r="ED102" s="98">
        <f t="shared" ca="1" si="140"/>
        <v>1</v>
      </c>
      <c r="EE102" s="281">
        <f t="shared" ca="1" si="141"/>
        <v>37.056707228213348</v>
      </c>
      <c r="EF102" s="127">
        <f t="shared" ca="1" si="142"/>
        <v>40.435342179440305</v>
      </c>
      <c r="EH102" s="121">
        <f t="shared" si="126"/>
        <v>45292</v>
      </c>
      <c r="EI102" s="98">
        <f t="shared" ca="1" si="144"/>
        <v>1</v>
      </c>
      <c r="EJ102" s="281">
        <f t="shared" ca="1" si="145"/>
        <v>37.056707228213348</v>
      </c>
      <c r="EK102" s="127">
        <f t="shared" ca="1" si="146"/>
        <v>41.27670619757388</v>
      </c>
    </row>
    <row r="103" spans="19:141" x14ac:dyDescent="0.2">
      <c r="V103" s="2">
        <v>35</v>
      </c>
      <c r="X103" s="121">
        <f t="shared" si="82"/>
        <v>45323</v>
      </c>
      <c r="Y103" s="73">
        <f t="shared" ca="1" si="83"/>
        <v>37.540722153702205</v>
      </c>
      <c r="Z103" s="15">
        <f t="shared" ca="1" si="84"/>
        <v>3.625426267886021</v>
      </c>
      <c r="AA103" s="98">
        <f t="shared" ca="1" si="85"/>
        <v>1</v>
      </c>
      <c r="AB103" s="128">
        <f ca="1">IF(AA103&gt;0,35,0)</f>
        <v>35</v>
      </c>
      <c r="AC103" s="128">
        <f t="shared" ca="1" si="86"/>
        <v>1225</v>
      </c>
      <c r="AD103" s="15">
        <f t="shared" ca="1" si="87"/>
        <v>126.88991937601074</v>
      </c>
      <c r="AE103" s="127">
        <f t="shared" ca="1" si="88"/>
        <v>3.6816225436962129</v>
      </c>
      <c r="AF103" s="127">
        <f t="shared" ca="1" si="129"/>
        <v>39.710774295090516</v>
      </c>
      <c r="AH103" s="121">
        <f t="shared" si="89"/>
        <v>45323</v>
      </c>
      <c r="AI103" s="131">
        <v>0</v>
      </c>
      <c r="AJ103" s="15">
        <f t="shared" si="90"/>
        <v>0</v>
      </c>
      <c r="AK103" s="98">
        <f t="shared" si="91"/>
        <v>0</v>
      </c>
      <c r="AL103" s="128">
        <f>IF(AK103&gt;0,35,0)</f>
        <v>0</v>
      </c>
      <c r="AM103" s="128">
        <f t="shared" si="92"/>
        <v>0</v>
      </c>
      <c r="AN103" s="15">
        <f t="shared" si="93"/>
        <v>0</v>
      </c>
      <c r="AO103" s="127">
        <f t="shared" ca="1" si="94"/>
        <v>3.6759645427461907</v>
      </c>
      <c r="AP103" s="127">
        <f t="shared" ca="1" si="130"/>
        <v>39.486725129305583</v>
      </c>
      <c r="AR103" s="121">
        <f t="shared" si="95"/>
        <v>45323</v>
      </c>
      <c r="AS103" s="131">
        <v>0</v>
      </c>
      <c r="AT103" s="15">
        <f t="shared" si="96"/>
        <v>0</v>
      </c>
      <c r="AU103" s="98">
        <f t="shared" si="97"/>
        <v>0</v>
      </c>
      <c r="AV103" s="128">
        <f>IF(AU103&gt;0,35,0)</f>
        <v>0</v>
      </c>
      <c r="AW103" s="128">
        <f t="shared" si="98"/>
        <v>0</v>
      </c>
      <c r="AX103" s="15">
        <f t="shared" si="99"/>
        <v>0</v>
      </c>
      <c r="AY103" s="127">
        <f t="shared" ca="1" si="100"/>
        <v>3.7208122483457577</v>
      </c>
      <c r="AZ103" s="127">
        <f t="shared" ca="1" si="131"/>
        <v>41.297924660188258</v>
      </c>
      <c r="BB103" s="121">
        <f t="shared" si="101"/>
        <v>45323</v>
      </c>
      <c r="BC103" s="131">
        <v>0</v>
      </c>
      <c r="BD103" s="15">
        <f t="shared" si="102"/>
        <v>0</v>
      </c>
      <c r="BE103" s="98">
        <f t="shared" si="103"/>
        <v>0</v>
      </c>
      <c r="BF103" s="128">
        <f>IF(BE103&gt;0,35,0)</f>
        <v>0</v>
      </c>
      <c r="BG103" s="128">
        <f t="shared" si="104"/>
        <v>0</v>
      </c>
      <c r="BH103" s="15">
        <f t="shared" si="105"/>
        <v>0</v>
      </c>
      <c r="BI103" s="127">
        <f t="shared" ca="1" si="106"/>
        <v>3.7009649998021006</v>
      </c>
      <c r="BJ103" s="127">
        <f t="shared" ca="1" si="132"/>
        <v>40.486354839592465</v>
      </c>
      <c r="BL103" s="121">
        <f t="shared" si="107"/>
        <v>45323</v>
      </c>
      <c r="BM103" s="131">
        <v>0</v>
      </c>
      <c r="BN103" s="15">
        <f t="shared" si="108"/>
        <v>0</v>
      </c>
      <c r="BO103" s="98">
        <f t="shared" si="109"/>
        <v>0</v>
      </c>
      <c r="BP103" s="128">
        <f>IF(BO103&gt;0,35,0)</f>
        <v>0</v>
      </c>
      <c r="BQ103" s="128">
        <f t="shared" si="110"/>
        <v>0</v>
      </c>
      <c r="BR103" s="15">
        <f t="shared" si="111"/>
        <v>0</v>
      </c>
      <c r="BS103" s="127">
        <f t="shared" ca="1" si="112"/>
        <v>3.725425970516473</v>
      </c>
      <c r="BT103" s="127">
        <f t="shared" ca="1" si="133"/>
        <v>41.488902030291989</v>
      </c>
      <c r="BZ103" s="583">
        <f t="shared" si="113"/>
        <v>0</v>
      </c>
      <c r="CA103" s="121">
        <f t="shared" si="114"/>
        <v>45323</v>
      </c>
      <c r="CB103" s="127">
        <f t="shared" ca="1" si="115"/>
        <v>0</v>
      </c>
      <c r="CC103" s="15">
        <f t="shared" ca="1" si="116"/>
        <v>0</v>
      </c>
      <c r="CD103" s="98">
        <f t="shared" ca="1" si="117"/>
        <v>0</v>
      </c>
      <c r="CE103" s="128">
        <f ca="1">IF(CD103&gt;0,35,0)</f>
        <v>0</v>
      </c>
      <c r="CF103" s="128">
        <f t="shared" ca="1" si="118"/>
        <v>0</v>
      </c>
      <c r="CG103" s="15">
        <f t="shared" ca="1" si="119"/>
        <v>0</v>
      </c>
      <c r="CH103" s="127">
        <f t="shared" ca="1" si="120"/>
        <v>3.7281644507914034</v>
      </c>
      <c r="CI103" s="127">
        <f t="shared" ca="1" si="134"/>
        <v>41.602674280561295</v>
      </c>
      <c r="DQ103" s="121">
        <f t="shared" si="121"/>
        <v>45323</v>
      </c>
      <c r="DR103" s="98">
        <f t="shared" ca="1" si="122"/>
        <v>1</v>
      </c>
      <c r="DS103" s="73">
        <f t="shared" ca="1" si="123"/>
        <v>37.540722153702205</v>
      </c>
      <c r="DT103" s="295">
        <f t="shared" ca="1" si="127"/>
        <v>39.486725129305583</v>
      </c>
      <c r="DU103" s="295">
        <f t="shared" ca="1" si="128"/>
        <v>-1.9460029756033776</v>
      </c>
      <c r="DX103" s="121">
        <f t="shared" si="124"/>
        <v>45323</v>
      </c>
      <c r="DY103" s="98">
        <f t="shared" ca="1" si="136"/>
        <v>1</v>
      </c>
      <c r="DZ103" s="281">
        <f t="shared" ca="1" si="137"/>
        <v>37.540722153702205</v>
      </c>
      <c r="EA103" s="127">
        <f t="shared" ca="1" si="138"/>
        <v>41.297924660188258</v>
      </c>
      <c r="EC103" s="121">
        <f t="shared" si="125"/>
        <v>45323</v>
      </c>
      <c r="ED103" s="98">
        <f t="shared" ca="1" si="140"/>
        <v>1</v>
      </c>
      <c r="EE103" s="281">
        <f t="shared" ca="1" si="141"/>
        <v>37.540722153702205</v>
      </c>
      <c r="EF103" s="127">
        <f t="shared" ca="1" si="142"/>
        <v>40.486354839592465</v>
      </c>
      <c r="EH103" s="121">
        <f t="shared" si="126"/>
        <v>45323</v>
      </c>
      <c r="EI103" s="98">
        <f t="shared" ca="1" si="144"/>
        <v>1</v>
      </c>
      <c r="EJ103" s="281">
        <f t="shared" ca="1" si="145"/>
        <v>37.540722153702205</v>
      </c>
      <c r="EK103" s="127">
        <f t="shared" ca="1" si="146"/>
        <v>41.488902030291989</v>
      </c>
    </row>
    <row r="104" spans="19:141" x14ac:dyDescent="0.2">
      <c r="V104" s="2">
        <v>36</v>
      </c>
      <c r="X104" s="121">
        <f t="shared" si="82"/>
        <v>45352</v>
      </c>
      <c r="Y104" s="73">
        <f t="shared" ca="1" si="83"/>
        <v>41.849998787231975</v>
      </c>
      <c r="Z104" s="15">
        <f t="shared" ca="1" si="84"/>
        <v>3.7340917679565586</v>
      </c>
      <c r="AA104" s="98">
        <f t="shared" ca="1" si="85"/>
        <v>1</v>
      </c>
      <c r="AB104" s="128">
        <f ca="1">IF(AA104&gt;0,36,0)</f>
        <v>36</v>
      </c>
      <c r="AC104" s="128">
        <f t="shared" ca="1" si="86"/>
        <v>1296</v>
      </c>
      <c r="AD104" s="15">
        <f t="shared" ca="1" si="87"/>
        <v>134.42730364643612</v>
      </c>
      <c r="AE104" s="127">
        <f t="shared" ca="1" si="88"/>
        <v>3.6811434700169756</v>
      </c>
      <c r="AF104" s="127">
        <f t="shared" ca="1" si="129"/>
        <v>39.691754464657457</v>
      </c>
      <c r="AH104" s="121">
        <f t="shared" si="89"/>
        <v>45352</v>
      </c>
      <c r="AI104" s="131">
        <v>0</v>
      </c>
      <c r="AJ104" s="15">
        <f t="shared" si="90"/>
        <v>0</v>
      </c>
      <c r="AK104" s="98">
        <f t="shared" si="91"/>
        <v>0</v>
      </c>
      <c r="AL104" s="128">
        <f>IF(AK104&gt;0,36,0)</f>
        <v>0</v>
      </c>
      <c r="AM104" s="128">
        <f t="shared" si="92"/>
        <v>0</v>
      </c>
      <c r="AN104" s="15">
        <f t="shared" si="93"/>
        <v>0</v>
      </c>
      <c r="AO104" s="127">
        <f t="shared" ca="1" si="94"/>
        <v>3.6747811894376916</v>
      </c>
      <c r="AP104" s="127">
        <f t="shared" ca="1" si="130"/>
        <v>39.440026018705034</v>
      </c>
      <c r="AR104" s="121">
        <f t="shared" si="95"/>
        <v>45352</v>
      </c>
      <c r="AS104" s="131">
        <v>0</v>
      </c>
      <c r="AT104" s="15">
        <f t="shared" si="96"/>
        <v>0</v>
      </c>
      <c r="AU104" s="98">
        <f t="shared" si="97"/>
        <v>0</v>
      </c>
      <c r="AV104" s="128">
        <f>IF(AU104&gt;0,36,0)</f>
        <v>0</v>
      </c>
      <c r="AW104" s="128">
        <f t="shared" si="98"/>
        <v>0</v>
      </c>
      <c r="AX104" s="15">
        <f t="shared" si="99"/>
        <v>0</v>
      </c>
      <c r="AY104" s="127">
        <f t="shared" ca="1" si="100"/>
        <v>3.7245010485101697</v>
      </c>
      <c r="AZ104" s="127">
        <f t="shared" ca="1" si="131"/>
        <v>41.450545772794555</v>
      </c>
      <c r="BB104" s="121">
        <f t="shared" si="101"/>
        <v>45352</v>
      </c>
      <c r="BC104" s="131">
        <v>0</v>
      </c>
      <c r="BD104" s="15">
        <f t="shared" si="102"/>
        <v>0</v>
      </c>
      <c r="BE104" s="98">
        <f t="shared" si="103"/>
        <v>0</v>
      </c>
      <c r="BF104" s="128">
        <f>IF(BE104&gt;0,36,0)</f>
        <v>0</v>
      </c>
      <c r="BG104" s="128">
        <f t="shared" si="104"/>
        <v>0</v>
      </c>
      <c r="BH104" s="15">
        <f t="shared" si="105"/>
        <v>0</v>
      </c>
      <c r="BI104" s="127">
        <f t="shared" ca="1" si="106"/>
        <v>3.7022257906354326</v>
      </c>
      <c r="BJ104" s="127">
        <f t="shared" ca="1" si="132"/>
        <v>40.537431856600698</v>
      </c>
      <c r="BL104" s="121">
        <f t="shared" si="107"/>
        <v>45352</v>
      </c>
      <c r="BM104" s="131">
        <v>0</v>
      </c>
      <c r="BN104" s="15">
        <f t="shared" si="108"/>
        <v>0</v>
      </c>
      <c r="BO104" s="98">
        <f t="shared" si="109"/>
        <v>0</v>
      </c>
      <c r="BP104" s="128">
        <f>IF(BO104&gt;0,36,0)</f>
        <v>0</v>
      </c>
      <c r="BQ104" s="128">
        <f t="shared" si="110"/>
        <v>0</v>
      </c>
      <c r="BR104" s="15">
        <f t="shared" si="111"/>
        <v>0</v>
      </c>
      <c r="BS104" s="127">
        <f t="shared" ca="1" si="112"/>
        <v>3.7305536147686063</v>
      </c>
      <c r="BT104" s="127">
        <f t="shared" ca="1" si="133"/>
        <v>41.702188722130657</v>
      </c>
      <c r="BZ104" s="583">
        <f t="shared" si="113"/>
        <v>0</v>
      </c>
      <c r="CA104" s="121">
        <f t="shared" si="114"/>
        <v>45352</v>
      </c>
      <c r="CB104" s="127">
        <f t="shared" ca="1" si="115"/>
        <v>0</v>
      </c>
      <c r="CC104" s="15">
        <f t="shared" ca="1" si="116"/>
        <v>0</v>
      </c>
      <c r="CD104" s="98">
        <f t="shared" ca="1" si="117"/>
        <v>0</v>
      </c>
      <c r="CE104" s="128">
        <f ca="1">IF(CD104&gt;0,36,0)</f>
        <v>0</v>
      </c>
      <c r="CF104" s="128">
        <f t="shared" ca="1" si="118"/>
        <v>0</v>
      </c>
      <c r="CG104" s="15">
        <f t="shared" ca="1" si="119"/>
        <v>0</v>
      </c>
      <c r="CH104" s="127">
        <f t="shared" ca="1" si="120"/>
        <v>3.7317713298142827</v>
      </c>
      <c r="CI104" s="127">
        <f t="shared" ca="1" si="134"/>
        <v>41.753001035955926</v>
      </c>
      <c r="DQ104" s="121">
        <f t="shared" si="121"/>
        <v>45352</v>
      </c>
      <c r="DR104" s="98">
        <f t="shared" ca="1" si="122"/>
        <v>1</v>
      </c>
      <c r="DS104" s="73">
        <f t="shared" ca="1" si="123"/>
        <v>41.849998787231975</v>
      </c>
      <c r="DT104" s="296">
        <f ca="1">+DT103/DT102*DT103</f>
        <v>39.440026018705019</v>
      </c>
      <c r="DU104" s="295">
        <f t="shared" ca="1" si="128"/>
        <v>2.4099727685269556</v>
      </c>
      <c r="DX104" s="121">
        <f t="shared" si="124"/>
        <v>45352</v>
      </c>
      <c r="DY104" s="98">
        <f t="shared" ca="1" si="136"/>
        <v>1</v>
      </c>
      <c r="DZ104" s="281">
        <f t="shared" ca="1" si="137"/>
        <v>41.849998787231975</v>
      </c>
      <c r="EA104" s="296">
        <f ca="1">+EA103/EA102*EA103</f>
        <v>41.45054577279452</v>
      </c>
      <c r="EC104" s="121">
        <f t="shared" si="125"/>
        <v>45352</v>
      </c>
      <c r="ED104" s="98">
        <f t="shared" ca="1" si="140"/>
        <v>1</v>
      </c>
      <c r="EE104" s="281">
        <f t="shared" ca="1" si="141"/>
        <v>41.849998787231975</v>
      </c>
      <c r="EF104" s="296">
        <f ca="1">+EF103/EF102*EF103</f>
        <v>40.537431856600669</v>
      </c>
      <c r="EH104" s="121">
        <f t="shared" si="126"/>
        <v>45352</v>
      </c>
      <c r="EI104" s="98">
        <f t="shared" ca="1" si="144"/>
        <v>1</v>
      </c>
      <c r="EJ104" s="281">
        <f t="shared" ca="1" si="145"/>
        <v>41.849998787231975</v>
      </c>
      <c r="EK104" s="127">
        <f t="shared" ca="1" si="146"/>
        <v>41.702188722130657</v>
      </c>
    </row>
    <row r="105" spans="19:141" x14ac:dyDescent="0.2">
      <c r="X105" s="121" t="s">
        <v>86</v>
      </c>
      <c r="Y105" s="73">
        <f t="shared" ref="Y105:AD105" ca="1" si="147">SUM(Y69:Y104)</f>
        <v>1448.7795681428072</v>
      </c>
      <c r="Z105" s="15">
        <f t="shared" ca="1" si="147"/>
        <v>132.82298133853058</v>
      </c>
      <c r="AA105" s="98">
        <f t="shared" ca="1" si="147"/>
        <v>36</v>
      </c>
      <c r="AB105" s="128">
        <f t="shared" ca="1" si="147"/>
        <v>666</v>
      </c>
      <c r="AC105" s="7">
        <f t="shared" ca="1" si="147"/>
        <v>16206</v>
      </c>
      <c r="AD105" s="15">
        <f t="shared" ca="1" si="147"/>
        <v>2455.3639535189791</v>
      </c>
      <c r="AE105" s="66"/>
      <c r="AF105" s="120"/>
      <c r="AH105" s="121" t="s">
        <v>86</v>
      </c>
      <c r="AI105" s="73">
        <f t="shared" ref="AI105:AN105" ca="1" si="148">SUM(AI69:AI104)</f>
        <v>1333.4396025535968</v>
      </c>
      <c r="AJ105" s="15">
        <f t="shared" ca="1" si="148"/>
        <v>121.97069111669241</v>
      </c>
      <c r="AK105" s="98">
        <f t="shared" ca="1" si="148"/>
        <v>33</v>
      </c>
      <c r="AL105" s="128">
        <f t="shared" ca="1" si="148"/>
        <v>594</v>
      </c>
      <c r="AM105" s="7">
        <f t="shared" ca="1" si="148"/>
        <v>13684</v>
      </c>
      <c r="AN105" s="15">
        <f t="shared" ca="1" si="148"/>
        <v>2191.9318470014332</v>
      </c>
      <c r="AO105" s="66"/>
      <c r="AP105" s="120"/>
      <c r="AR105" s="121" t="s">
        <v>86</v>
      </c>
      <c r="AS105" s="73">
        <f t="shared" ref="AS105:AX105" ca="1" si="149">SUM(AS69:AS104)</f>
        <v>947.84207305437849</v>
      </c>
      <c r="AT105" s="15">
        <f t="shared" ca="1" si="149"/>
        <v>88.192853910974605</v>
      </c>
      <c r="AU105" s="98">
        <f t="shared" ca="1" si="149"/>
        <v>24</v>
      </c>
      <c r="AV105" s="128">
        <f t="shared" ca="1" si="149"/>
        <v>540</v>
      </c>
      <c r="AW105" s="7">
        <f t="shared" ca="1" si="149"/>
        <v>13300</v>
      </c>
      <c r="AX105" s="15">
        <f t="shared" ca="1" si="149"/>
        <v>1988.5813331860027</v>
      </c>
      <c r="AY105" s="66"/>
      <c r="AZ105" s="120"/>
      <c r="BB105" s="121" t="s">
        <v>86</v>
      </c>
      <c r="BC105" s="73">
        <f t="shared" ref="BC105:BH105" ca="1" si="150">SUM(BC69:BC104)</f>
        <v>720.78959369347422</v>
      </c>
      <c r="BD105" s="15">
        <f t="shared" ca="1" si="150"/>
        <v>66.401774763938064</v>
      </c>
      <c r="BE105" s="98">
        <f t="shared" ca="1" si="150"/>
        <v>18</v>
      </c>
      <c r="BF105" s="128">
        <f t="shared" ca="1" si="150"/>
        <v>459</v>
      </c>
      <c r="BG105" s="7">
        <f t="shared" ca="1" si="150"/>
        <v>12189</v>
      </c>
      <c r="BH105" s="15">
        <f t="shared" ca="1" si="150"/>
        <v>1693.85610963917</v>
      </c>
      <c r="BI105" s="66"/>
      <c r="BJ105" s="120"/>
      <c r="BL105" s="121" t="s">
        <v>86</v>
      </c>
      <c r="BM105" s="73">
        <f t="shared" ref="BM105:BR105" ca="1" si="151">SUM(BM69:BM104)</f>
        <v>481.96596996524266</v>
      </c>
      <c r="BN105" s="15">
        <f t="shared" ca="1" si="151"/>
        <v>44.305155394531262</v>
      </c>
      <c r="BO105" s="98">
        <f t="shared" ca="1" si="151"/>
        <v>12</v>
      </c>
      <c r="BP105" s="128">
        <f t="shared" ca="1" si="151"/>
        <v>342</v>
      </c>
      <c r="BQ105" s="7">
        <f t="shared" ca="1" si="151"/>
        <v>9890</v>
      </c>
      <c r="BR105" s="15">
        <f t="shared" ca="1" si="151"/>
        <v>1263.430181872196</v>
      </c>
      <c r="BS105" s="66"/>
      <c r="BT105" s="120"/>
      <c r="CA105" s="121" t="s">
        <v>86</v>
      </c>
      <c r="CB105" s="73">
        <f t="shared" ref="CB105:CG105" ca="1" si="152">SUM(CB69:CB104)</f>
        <v>793.36555972759277</v>
      </c>
      <c r="CC105" s="15">
        <f t="shared" ca="1" si="152"/>
        <v>73.58943167965063</v>
      </c>
      <c r="CD105" s="98">
        <f t="shared" ca="1" si="152"/>
        <v>20</v>
      </c>
      <c r="CE105" s="128">
        <f t="shared" ca="1" si="152"/>
        <v>430</v>
      </c>
      <c r="CF105" s="7">
        <f t="shared" ca="1" si="152"/>
        <v>9910</v>
      </c>
      <c r="CG105" s="15">
        <f t="shared" ca="1" si="152"/>
        <v>1584.5713556627031</v>
      </c>
      <c r="CH105" s="66"/>
      <c r="CI105" s="120"/>
      <c r="DQ105" s="121"/>
      <c r="DX105" s="121"/>
      <c r="EC105" s="121"/>
      <c r="EH105" s="121"/>
    </row>
    <row r="106" spans="19:141" x14ac:dyDescent="0.2">
      <c r="X106" s="7" t="s">
        <v>176</v>
      </c>
      <c r="Y106" s="7"/>
      <c r="Z106" s="15">
        <f ca="1">+Z105/AA105</f>
        <v>3.6895272594036275</v>
      </c>
      <c r="AA106" s="7"/>
      <c r="AB106" s="7">
        <f ca="1">+AB105/AA105</f>
        <v>18.5</v>
      </c>
      <c r="AC106" s="7">
        <f ca="1">+AC105/AA105</f>
        <v>450.16666666666669</v>
      </c>
      <c r="AD106" s="15">
        <f ca="1">+AD105/AA105</f>
        <v>68.204554264416089</v>
      </c>
      <c r="AH106" s="7" t="s">
        <v>176</v>
      </c>
      <c r="AI106" s="7"/>
      <c r="AJ106" s="15">
        <f ca="1">+AJ105/AK105</f>
        <v>3.6960815489906791</v>
      </c>
      <c r="AK106" s="7"/>
      <c r="AL106" s="7">
        <f ca="1">+AL105/AK105</f>
        <v>18</v>
      </c>
      <c r="AM106" s="7">
        <f ca="1">+AM105/AK105</f>
        <v>414.66666666666669</v>
      </c>
      <c r="AN106" s="15">
        <f ca="1">+AN105/AK105</f>
        <v>66.422177181861613</v>
      </c>
      <c r="AR106" s="7" t="s">
        <v>176</v>
      </c>
      <c r="AS106" s="7"/>
      <c r="AT106" s="15">
        <f ca="1">+AT105/AU105</f>
        <v>3.6747022462906087</v>
      </c>
      <c r="AU106" s="7"/>
      <c r="AV106" s="7">
        <f ca="1">+AV105/AU105</f>
        <v>22.5</v>
      </c>
      <c r="AW106" s="7">
        <f ca="1">+AW105/AU105</f>
        <v>554.16666666666663</v>
      </c>
      <c r="AX106" s="15">
        <f ca="1">+AX105/AU105</f>
        <v>82.857555549416773</v>
      </c>
      <c r="BB106" s="7" t="s">
        <v>176</v>
      </c>
      <c r="BC106" s="7"/>
      <c r="BD106" s="15">
        <f ca="1">+BD105/BE105</f>
        <v>3.688987486885448</v>
      </c>
      <c r="BE106" s="7"/>
      <c r="BF106" s="7">
        <f ca="1">+BF105/BE105</f>
        <v>25.5</v>
      </c>
      <c r="BG106" s="7">
        <f ca="1">+BG105/BE105</f>
        <v>677.16666666666663</v>
      </c>
      <c r="BH106" s="15">
        <f ca="1">+BH105/BE105</f>
        <v>94.103117202176108</v>
      </c>
      <c r="BL106" s="7" t="s">
        <v>176</v>
      </c>
      <c r="BM106" s="7"/>
      <c r="BN106" s="15">
        <f ca="1">+BN105/BO105</f>
        <v>3.6920962828776052</v>
      </c>
      <c r="BO106" s="7"/>
      <c r="BP106" s="7">
        <f ca="1">+BP105/BO105</f>
        <v>28.5</v>
      </c>
      <c r="BQ106" s="7">
        <f ca="1">+BQ105/BO105</f>
        <v>824.16666666666663</v>
      </c>
      <c r="BR106" s="15">
        <f ca="1">+BR105/BO105</f>
        <v>105.28584848934968</v>
      </c>
      <c r="CA106" s="7" t="s">
        <v>176</v>
      </c>
      <c r="CB106" s="7"/>
      <c r="CC106" s="15">
        <f ca="1">+CC105/CD105</f>
        <v>3.6794715839825316</v>
      </c>
      <c r="CD106" s="7"/>
      <c r="CE106" s="7">
        <f ca="1">+CE105/CD105</f>
        <v>21.5</v>
      </c>
      <c r="CF106" s="7">
        <f ca="1">+CF105/CD105</f>
        <v>495.5</v>
      </c>
      <c r="CG106" s="15">
        <f ca="1">+CG105/CD105</f>
        <v>79.228567783135162</v>
      </c>
      <c r="DQ106" s="7" t="s">
        <v>86</v>
      </c>
      <c r="DR106" s="2">
        <f ca="1">SUM(DR69:DR104)</f>
        <v>36</v>
      </c>
      <c r="DU106" s="66"/>
      <c r="DX106" s="7" t="s">
        <v>86</v>
      </c>
      <c r="DY106" s="2">
        <f ca="1">SUM(DY69:DY104)</f>
        <v>24</v>
      </c>
      <c r="EC106" s="7" t="s">
        <v>86</v>
      </c>
      <c r="ED106" s="2">
        <f ca="1">SUM(ED69:ED104)</f>
        <v>18</v>
      </c>
      <c r="EH106" s="7" t="s">
        <v>86</v>
      </c>
      <c r="EI106" s="2">
        <f ca="1">SUM(EI69:EI104)</f>
        <v>12</v>
      </c>
    </row>
    <row r="108" spans="19:141" x14ac:dyDescent="0.2">
      <c r="S108" t="s">
        <v>205</v>
      </c>
      <c r="T108">
        <v>36</v>
      </c>
      <c r="V108">
        <f ca="1">+Y108-T108</f>
        <v>0</v>
      </c>
      <c r="X108" t="s">
        <v>205</v>
      </c>
      <c r="Y108">
        <f ca="1">AA105</f>
        <v>36</v>
      </c>
      <c r="AH108" t="s">
        <v>205</v>
      </c>
      <c r="AI108">
        <f ca="1">AK105</f>
        <v>33</v>
      </c>
      <c r="AR108" t="s">
        <v>205</v>
      </c>
      <c r="AS108">
        <f ca="1">AU105</f>
        <v>24</v>
      </c>
      <c r="BB108" t="s">
        <v>205</v>
      </c>
      <c r="BC108">
        <f ca="1">BE105</f>
        <v>18</v>
      </c>
      <c r="BL108" t="s">
        <v>205</v>
      </c>
      <c r="BM108">
        <f ca="1">BO105</f>
        <v>12</v>
      </c>
      <c r="CA108" t="s">
        <v>205</v>
      </c>
      <c r="CB108">
        <f ca="1">CD105</f>
        <v>20</v>
      </c>
    </row>
    <row r="109" spans="19:141" x14ac:dyDescent="0.2">
      <c r="S109" t="s">
        <v>254</v>
      </c>
      <c r="T109" s="66">
        <v>115.19715514394339</v>
      </c>
      <c r="U109" s="66"/>
      <c r="V109">
        <f t="shared" ref="V109:V119" ca="1" si="153">+Y109-T109</f>
        <v>17.625826194587191</v>
      </c>
      <c r="X109" t="s">
        <v>254</v>
      </c>
      <c r="Y109" s="66">
        <f ca="1">Z105</f>
        <v>132.82298133853058</v>
      </c>
      <c r="AH109" t="s">
        <v>254</v>
      </c>
      <c r="AI109" s="66">
        <f ca="1">AJ105</f>
        <v>121.97069111669241</v>
      </c>
      <c r="AR109" t="s">
        <v>254</v>
      </c>
      <c r="AS109" s="66">
        <f ca="1">AT105</f>
        <v>88.192853910974605</v>
      </c>
      <c r="BB109" t="s">
        <v>254</v>
      </c>
      <c r="BC109" s="66">
        <f ca="1">BD105</f>
        <v>66.401774763938064</v>
      </c>
      <c r="BL109" t="s">
        <v>254</v>
      </c>
      <c r="BM109" s="66">
        <f ca="1">BN105</f>
        <v>44.305155394531262</v>
      </c>
      <c r="CA109" t="s">
        <v>254</v>
      </c>
      <c r="CB109" s="66">
        <f ca="1">CC105</f>
        <v>73.58943167965063</v>
      </c>
      <c r="DQ109" s="250" t="s">
        <v>245</v>
      </c>
      <c r="DR109" s="232"/>
      <c r="DS109" s="293">
        <f ca="1">SUMPRODUCT(DR69:DR104,DS69:DS104)/DR106</f>
        <v>40.243876892855752</v>
      </c>
      <c r="DX109" s="250" t="s">
        <v>245</v>
      </c>
      <c r="DY109" s="232"/>
      <c r="DZ109" s="293">
        <f ca="1">SUMPRODUCT(DY69:DY104,DZ69:DZ104)/DY106</f>
        <v>39.846441173219254</v>
      </c>
      <c r="EC109" s="250" t="s">
        <v>245</v>
      </c>
      <c r="ED109" s="232"/>
      <c r="EE109" s="293">
        <f ca="1">SUMPRODUCT(ED69:ED104,EE69:EE104)/ED106</f>
        <v>39.820045971918319</v>
      </c>
      <c r="EH109" s="250" t="s">
        <v>245</v>
      </c>
      <c r="EI109" s="232"/>
      <c r="EJ109" s="293">
        <f ca="1">SUMPRODUCT(EI69:EI104,EJ69:EJ104)/EI106</f>
        <v>40.225864772830683</v>
      </c>
    </row>
    <row r="110" spans="19:141" x14ac:dyDescent="0.2">
      <c r="S110" t="s">
        <v>242</v>
      </c>
      <c r="V110">
        <f t="shared" si="153"/>
        <v>0</v>
      </c>
      <c r="X110" t="s">
        <v>242</v>
      </c>
      <c r="AA110" t="s">
        <v>243</v>
      </c>
      <c r="AH110" t="s">
        <v>242</v>
      </c>
      <c r="AK110" t="s">
        <v>243</v>
      </c>
      <c r="AR110" t="s">
        <v>242</v>
      </c>
      <c r="AU110" t="s">
        <v>243</v>
      </c>
      <c r="BB110" t="s">
        <v>242</v>
      </c>
      <c r="BE110" t="s">
        <v>243</v>
      </c>
      <c r="BL110" t="s">
        <v>242</v>
      </c>
      <c r="BO110" t="s">
        <v>243</v>
      </c>
      <c r="CA110" t="s">
        <v>242</v>
      </c>
      <c r="CD110" t="s">
        <v>243</v>
      </c>
      <c r="DQ110" s="250" t="s">
        <v>521</v>
      </c>
      <c r="DR110" s="232"/>
      <c r="DS110" s="293">
        <f ca="1">SUMPRODUCT(DR69:DR104,DS69:DS104,DS69:DS104)/DR106</f>
        <v>1637.1809347150056</v>
      </c>
      <c r="DX110" s="250" t="s">
        <v>521</v>
      </c>
      <c r="DY110" s="232"/>
      <c r="DZ110" s="293">
        <f ca="1">SUMPRODUCT(DY69:DY104,DZ69:DZ104,DZ69:DZ104)/DY106</f>
        <v>1595.4057874909961</v>
      </c>
      <c r="EC110" s="250" t="s">
        <v>521</v>
      </c>
      <c r="ED110" s="232"/>
      <c r="EE110" s="293">
        <f ca="1">SUMPRODUCT(ED69:ED104,EE69:EE104,EE69:EE104)/ED106</f>
        <v>1593.9504067581511</v>
      </c>
      <c r="EH110" s="250" t="s">
        <v>521</v>
      </c>
      <c r="EI110" s="232"/>
      <c r="EJ110" s="293">
        <f ca="1">SUMPRODUCT(EI69:EI104,EJ69:EJ104,EJ69:EJ104)/EI106</f>
        <v>1625.2920002681228</v>
      </c>
    </row>
    <row r="111" spans="19:141" x14ac:dyDescent="0.2">
      <c r="S111" s="1" t="s">
        <v>255</v>
      </c>
      <c r="T111" s="59">
        <v>60.034266613708319</v>
      </c>
      <c r="U111" s="59"/>
      <c r="V111">
        <f t="shared" ca="1" si="153"/>
        <v>8.1702876507077704</v>
      </c>
      <c r="X111" s="1" t="s">
        <v>255</v>
      </c>
      <c r="Y111" s="59">
        <f ca="1">+AD106</f>
        <v>68.204554264416089</v>
      </c>
      <c r="AA111" t="s">
        <v>244</v>
      </c>
      <c r="AH111" s="1" t="s">
        <v>255</v>
      </c>
      <c r="AI111" s="59">
        <f ca="1">+AN106</f>
        <v>66.422177181861613</v>
      </c>
      <c r="AK111" t="s">
        <v>244</v>
      </c>
      <c r="AR111" s="1" t="s">
        <v>255</v>
      </c>
      <c r="AS111" s="59">
        <f ca="1">+AX106</f>
        <v>82.857555549416773</v>
      </c>
      <c r="AU111" t="s">
        <v>244</v>
      </c>
      <c r="BB111" s="1" t="s">
        <v>255</v>
      </c>
      <c r="BC111" s="59">
        <f ca="1">+BH106</f>
        <v>94.103117202176108</v>
      </c>
      <c r="BE111" t="s">
        <v>244</v>
      </c>
      <c r="BL111" s="1" t="s">
        <v>255</v>
      </c>
      <c r="BM111" s="59">
        <f ca="1">+BR106</f>
        <v>105.28584848934968</v>
      </c>
      <c r="BO111" t="s">
        <v>244</v>
      </c>
      <c r="CA111" s="1" t="s">
        <v>255</v>
      </c>
      <c r="CB111" s="59">
        <f ca="1">+CG106</f>
        <v>79.228567783135162</v>
      </c>
      <c r="CD111" t="s">
        <v>244</v>
      </c>
      <c r="DQ111" s="250" t="s">
        <v>522</v>
      </c>
      <c r="DR111" s="232"/>
      <c r="DS111" s="293">
        <f ca="1">SUMPRODUCT(DR69:DR104,DT69:DT104)/DR106</f>
        <v>37.985917347539626</v>
      </c>
      <c r="DX111" s="250" t="s">
        <v>522</v>
      </c>
      <c r="DY111" s="232"/>
      <c r="DZ111" s="293">
        <f ca="1">SUMPRODUCT(DY69:DY104,EA69:EA104)/DY106</f>
        <v>39.74189147505848</v>
      </c>
      <c r="EC111" s="250" t="s">
        <v>522</v>
      </c>
      <c r="ED111" s="232"/>
      <c r="EE111" s="293">
        <f ca="1">SUMPRODUCT(ED69:ED104,EF69:EF104)/ED106</f>
        <v>40.106180986140906</v>
      </c>
      <c r="EH111" s="250" t="s">
        <v>522</v>
      </c>
      <c r="EI111" s="232"/>
      <c r="EJ111" s="293">
        <f ca="1">SUMPRODUCT(EI69:EI104,EK69:EK104)/EI106</f>
        <v>40.548882730147071</v>
      </c>
    </row>
    <row r="112" spans="19:141" x14ac:dyDescent="0.2">
      <c r="S112" s="28" t="s">
        <v>245</v>
      </c>
      <c r="T112" s="59">
        <v>18.5</v>
      </c>
      <c r="U112" s="59"/>
      <c r="V112">
        <f t="shared" ca="1" si="153"/>
        <v>0</v>
      </c>
      <c r="X112" s="28" t="s">
        <v>245</v>
      </c>
      <c r="Y112" s="59">
        <f ca="1">+AB106</f>
        <v>18.5</v>
      </c>
      <c r="AH112" s="28" t="s">
        <v>245</v>
      </c>
      <c r="AI112" s="59">
        <f ca="1">+AL106</f>
        <v>18</v>
      </c>
      <c r="AR112" s="28" t="s">
        <v>245</v>
      </c>
      <c r="AS112" s="59">
        <f ca="1">+AV106</f>
        <v>22.5</v>
      </c>
      <c r="BB112" s="28" t="s">
        <v>245</v>
      </c>
      <c r="BC112" s="59">
        <f ca="1">+BF106</f>
        <v>25.5</v>
      </c>
      <c r="BL112" s="28" t="s">
        <v>245</v>
      </c>
      <c r="BM112" s="59">
        <f ca="1">+BP106</f>
        <v>28.5</v>
      </c>
      <c r="CA112" s="28" t="s">
        <v>245</v>
      </c>
      <c r="CB112" s="59">
        <f ca="1">+CE106</f>
        <v>21.5</v>
      </c>
      <c r="DQ112" s="250" t="s">
        <v>523</v>
      </c>
      <c r="DR112" s="232"/>
      <c r="DS112" s="293">
        <f ca="1">SUMPRODUCT(DR69:DR104,DT69:DT104,DT69:DT104)/DR106</f>
        <v>1528.0140614933071</v>
      </c>
      <c r="DX112" s="250" t="s">
        <v>523</v>
      </c>
      <c r="DY112" s="232"/>
      <c r="DZ112" s="293">
        <f ca="1">SUMPRODUCT(DY69:DY104,EA69:EA104,EA69:EA104)/DY106</f>
        <v>1580.4476045695417</v>
      </c>
      <c r="EC112" s="250" t="s">
        <v>523</v>
      </c>
      <c r="ED112" s="232"/>
      <c r="EE112" s="293">
        <f ca="1">SUMPRODUCT(ED69:ED104,EF69:EF104,EF69:EF104)/ED106</f>
        <v>1608.5745751178092</v>
      </c>
      <c r="EH112" s="250" t="s">
        <v>523</v>
      </c>
      <c r="EI112" s="232"/>
      <c r="EJ112" s="293">
        <f ca="1">SUMPRODUCT(EI69:EI104,EK69:EK104,EK69:EK104)/EI106</f>
        <v>1644.7270241759807</v>
      </c>
    </row>
    <row r="113" spans="19:140" x14ac:dyDescent="0.2">
      <c r="S113" s="1" t="s">
        <v>256</v>
      </c>
      <c r="T113" s="59">
        <v>3.1999209762206497</v>
      </c>
      <c r="U113" s="59"/>
      <c r="V113">
        <f t="shared" ca="1" si="153"/>
        <v>0.48960628318297772</v>
      </c>
      <c r="X113" s="1" t="s">
        <v>256</v>
      </c>
      <c r="Y113" s="59">
        <f ca="1">Y109/Y108</f>
        <v>3.6895272594036275</v>
      </c>
      <c r="AH113" s="1" t="s">
        <v>256</v>
      </c>
      <c r="AI113" s="59">
        <f ca="1">AI109/AI108</f>
        <v>3.6960815489906791</v>
      </c>
      <c r="AR113" s="1" t="s">
        <v>256</v>
      </c>
      <c r="AS113" s="59">
        <f ca="1">AS109/AS108</f>
        <v>3.6747022462906087</v>
      </c>
      <c r="BB113" s="1" t="s">
        <v>256</v>
      </c>
      <c r="BC113" s="59">
        <f ca="1">BC109/BC108</f>
        <v>3.688987486885448</v>
      </c>
      <c r="BL113" s="1" t="s">
        <v>256</v>
      </c>
      <c r="BM113" s="59">
        <f ca="1">BM109/BM108</f>
        <v>3.6920962828776052</v>
      </c>
      <c r="CA113" s="1" t="s">
        <v>256</v>
      </c>
      <c r="CB113" s="59">
        <f ca="1">CB109/CB108</f>
        <v>3.6794715839825316</v>
      </c>
      <c r="DQ113" s="250" t="s">
        <v>524</v>
      </c>
      <c r="DR113" s="232"/>
      <c r="DS113" s="293">
        <f ca="1">SUMPRODUCT(DR69:DR104,DS69:DS104,DT69:DT104)/DR106</f>
        <v>1538.0172218099656</v>
      </c>
      <c r="DX113" s="250" t="s">
        <v>524</v>
      </c>
      <c r="DY113" s="232"/>
      <c r="DZ113" s="293">
        <f ca="1">SUMPRODUCT(DY69:DY104,DZ69:DZ104,EA69:EA104)/DY106</f>
        <v>1583.9399014826129</v>
      </c>
      <c r="EC113" s="250" t="s">
        <v>524</v>
      </c>
      <c r="ED113" s="232"/>
      <c r="EE113" s="293">
        <f ca="1">SUMPRODUCT(ED69:ED104,EE69:EE104,EF69:EF104)/ED106</f>
        <v>1597.170417465227</v>
      </c>
      <c r="EH113" s="250" t="s">
        <v>524</v>
      </c>
      <c r="EI113" s="232"/>
      <c r="EJ113" s="293">
        <f ca="1">SUMPRODUCT(EI69:EI104,EJ69:EJ104,EK69:EK104)/EI106</f>
        <v>1631.2810048778483</v>
      </c>
    </row>
    <row r="114" spans="19:140" x14ac:dyDescent="0.2">
      <c r="S114" s="1" t="s">
        <v>257</v>
      </c>
      <c r="T114" s="59">
        <v>450.16666666666669</v>
      </c>
      <c r="U114" s="59"/>
      <c r="V114">
        <f t="shared" ca="1" si="153"/>
        <v>0</v>
      </c>
      <c r="X114" s="1" t="s">
        <v>257</v>
      </c>
      <c r="Y114" s="59">
        <f ca="1">+AC106</f>
        <v>450.16666666666669</v>
      </c>
      <c r="AH114" s="1" t="s">
        <v>257</v>
      </c>
      <c r="AI114" s="59">
        <f ca="1">+AM106</f>
        <v>414.66666666666669</v>
      </c>
      <c r="AR114" s="1" t="s">
        <v>257</v>
      </c>
      <c r="AS114" s="59">
        <f ca="1">+AW106</f>
        <v>554.16666666666663</v>
      </c>
      <c r="BB114" s="1" t="s">
        <v>257</v>
      </c>
      <c r="BC114" s="59">
        <f ca="1">+BG106</f>
        <v>677.16666666666663</v>
      </c>
      <c r="BL114" s="1" t="s">
        <v>257</v>
      </c>
      <c r="BM114" s="59">
        <f ca="1">+BQ106</f>
        <v>824.16666666666663</v>
      </c>
      <c r="CA114" s="1" t="s">
        <v>257</v>
      </c>
      <c r="CB114" s="59">
        <f ca="1">+CF106</f>
        <v>495.5</v>
      </c>
      <c r="DQ114" s="232" t="s">
        <v>525</v>
      </c>
      <c r="DR114" s="232"/>
      <c r="DS114" s="262">
        <f ca="1">(DS113-DS109*DS111)/SQRT((DS110-DS109^2)*(DS112-DS111^2))</f>
        <v>0.2406795643087192</v>
      </c>
      <c r="DX114" s="232" t="s">
        <v>525</v>
      </c>
      <c r="DY114" s="232"/>
      <c r="DZ114" s="262">
        <f ca="1">(DZ113-DZ109*DZ111)/SQRT((DZ110-DZ109^2)*(DZ112-DZ111^2))</f>
        <v>0.130605355841733</v>
      </c>
      <c r="EC114" s="232" t="s">
        <v>525</v>
      </c>
      <c r="ED114" s="232"/>
      <c r="EE114" s="262">
        <f ca="1">(EE113-EE109*EE111)/SQRT((EE110-EE109^2)*(EE112-EE111^2))</f>
        <v>0.1856670522786546</v>
      </c>
      <c r="EH114" s="232" t="s">
        <v>525</v>
      </c>
      <c r="EI114" s="232"/>
      <c r="EJ114" s="262">
        <f ca="1">(EJ113-EJ109*EJ111)/SQRT((EJ110-EJ109^2)*(EJ112-EJ111^2))</f>
        <v>8.6952921636726258E-2</v>
      </c>
    </row>
    <row r="115" spans="19:140" x14ac:dyDescent="0.2">
      <c r="S115" s="28" t="s">
        <v>246</v>
      </c>
      <c r="T115" s="59">
        <v>342.25</v>
      </c>
      <c r="U115" s="59"/>
      <c r="V115">
        <f t="shared" ca="1" si="153"/>
        <v>0</v>
      </c>
      <c r="X115" s="28" t="s">
        <v>246</v>
      </c>
      <c r="Y115" s="59">
        <f ca="1">Y112^2</f>
        <v>342.25</v>
      </c>
      <c r="AH115" s="28" t="s">
        <v>246</v>
      </c>
      <c r="AI115" s="59">
        <f ca="1">AI112^2</f>
        <v>324</v>
      </c>
      <c r="AR115" s="28" t="s">
        <v>246</v>
      </c>
      <c r="AS115" s="59">
        <f ca="1">AS112^2</f>
        <v>506.25</v>
      </c>
      <c r="BB115" s="28" t="s">
        <v>246</v>
      </c>
      <c r="BC115" s="59">
        <f ca="1">BC112^2</f>
        <v>650.25</v>
      </c>
      <c r="BL115" s="28" t="s">
        <v>246</v>
      </c>
      <c r="BM115" s="59">
        <f ca="1">BM112^2</f>
        <v>812.25</v>
      </c>
      <c r="CA115" s="28" t="s">
        <v>246</v>
      </c>
      <c r="CB115" s="59">
        <f ca="1">CB112^2</f>
        <v>462.25</v>
      </c>
    </row>
    <row r="116" spans="19:140" x14ac:dyDescent="0.2">
      <c r="S116" s="28" t="s">
        <v>247</v>
      </c>
      <c r="T116" s="66">
        <v>7.7442028135255251E-3</v>
      </c>
      <c r="U116" s="66"/>
      <c r="V116">
        <f t="shared" ca="1" si="153"/>
        <v>-8.223276492762761E-3</v>
      </c>
      <c r="X116" s="28" t="s">
        <v>247</v>
      </c>
      <c r="Y116" s="66">
        <f ca="1">(Y111-Y113*Y112)/(Y114-Y115)</f>
        <v>-4.7907367923723557E-4</v>
      </c>
      <c r="AH116" s="28" t="s">
        <v>247</v>
      </c>
      <c r="AI116" s="66">
        <f ca="1">(AI111-AI113*AI112)/(AI114-AI115)</f>
        <v>-1.1833533084993188E-3</v>
      </c>
      <c r="AR116" s="28" t="s">
        <v>247</v>
      </c>
      <c r="AS116" s="66">
        <f ca="1">(AS111-AS113*AS112)/(AS114-AS115)</f>
        <v>3.6888001644119306E-3</v>
      </c>
      <c r="BB116" s="28" t="s">
        <v>247</v>
      </c>
      <c r="BC116" s="66">
        <f ca="1">(BC111-BC113*BC112)/(BC114-BC115)</f>
        <v>1.2607908333318472E-3</v>
      </c>
      <c r="BL116" s="28" t="s">
        <v>247</v>
      </c>
      <c r="BM116" s="66">
        <f ca="1">(BM111-BM113*BM112)/(BM114-BM115)</f>
        <v>5.1276442521334597E-3</v>
      </c>
      <c r="CA116" s="28" t="s">
        <v>247</v>
      </c>
      <c r="CB116" s="66">
        <f ca="1">(CB111-CB113*CB112)/(CB114-CB115)</f>
        <v>3.6068790228793823E-3</v>
      </c>
      <c r="DQ116" s="250" t="s">
        <v>595</v>
      </c>
      <c r="DS116" s="281">
        <f ca="1">SQRT(DS110-DS109^2)</f>
        <v>4.1965828179218061</v>
      </c>
      <c r="DX116" s="250" t="s">
        <v>595</v>
      </c>
      <c r="DZ116" s="281">
        <f ca="1">SQRT(DZ110-DZ109^2)</f>
        <v>2.7689191610037183</v>
      </c>
      <c r="EC116" s="250" t="s">
        <v>595</v>
      </c>
      <c r="EE116" s="281">
        <f ca="1">SQRT(EE110-EE109^2)</f>
        <v>2.8834606902926181</v>
      </c>
      <c r="EH116" s="250" t="s">
        <v>595</v>
      </c>
      <c r="EJ116" s="281">
        <f ca="1">SQRT(EJ110-EJ109^2)</f>
        <v>2.6780223199335724</v>
      </c>
    </row>
    <row r="117" spans="19:140" x14ac:dyDescent="0.2">
      <c r="S117" s="28" t="s">
        <v>248</v>
      </c>
      <c r="T117" s="66">
        <v>3.0566532241704274</v>
      </c>
      <c r="U117" s="66"/>
      <c r="V117">
        <f t="shared" ca="1" si="153"/>
        <v>0.64173689829908875</v>
      </c>
      <c r="X117" s="28" t="s">
        <v>248</v>
      </c>
      <c r="Y117" s="66">
        <f ca="1">Y113-Y116*Y112</f>
        <v>3.6983901224695162</v>
      </c>
      <c r="AH117" s="28" t="s">
        <v>248</v>
      </c>
      <c r="AI117" s="66">
        <f ca="1">AI113-AI116*AI112</f>
        <v>3.717381908543667</v>
      </c>
      <c r="AR117" s="28" t="s">
        <v>248</v>
      </c>
      <c r="AS117" s="66">
        <f ca="1">AS113-AS116*AS112</f>
        <v>3.5917042425913404</v>
      </c>
      <c r="BB117" s="28" t="s">
        <v>248</v>
      </c>
      <c r="BC117" s="66">
        <f ca="1">BC113-BC116*BC112</f>
        <v>3.6568373206354861</v>
      </c>
      <c r="BL117" s="28" t="s">
        <v>248</v>
      </c>
      <c r="BM117" s="66">
        <f ca="1">BM113-BM116*BM112</f>
        <v>3.5459584216918016</v>
      </c>
      <c r="CA117" s="28" t="s">
        <v>248</v>
      </c>
      <c r="CB117" s="66">
        <f ca="1">CB113-CB116*CB112</f>
        <v>3.6019236849906249</v>
      </c>
    </row>
    <row r="118" spans="19:140" x14ac:dyDescent="0.2">
      <c r="S118" t="s">
        <v>249</v>
      </c>
      <c r="T118" s="126">
        <v>9.738539163964699E-2</v>
      </c>
      <c r="U118" s="126"/>
      <c r="V118">
        <f t="shared" ca="1" si="153"/>
        <v>-0.10311778257699766</v>
      </c>
      <c r="X118" t="s">
        <v>249</v>
      </c>
      <c r="Y118" s="126">
        <f ca="1">EXP(12*Y116+Y117)/EXP(Y117)-1</f>
        <v>-5.7323909373506732E-3</v>
      </c>
      <c r="AH118" t="s">
        <v>249</v>
      </c>
      <c r="AI118" s="126">
        <f ca="1">EXP(12*AI116+AI117)/EXP(AI117)-1</f>
        <v>-1.4099891847602519E-2</v>
      </c>
      <c r="AR118" t="s">
        <v>249</v>
      </c>
      <c r="AS118" s="126">
        <f ca="1">EXP(12*AS116+AS117)/EXP(AS117)-1</f>
        <v>4.525994112568732E-2</v>
      </c>
      <c r="BB118" t="s">
        <v>249</v>
      </c>
      <c r="BC118" s="126">
        <f ca="1">EXP(12*BC116+BC117)/EXP(BC117)-1</f>
        <v>1.5244520117340787E-2</v>
      </c>
      <c r="BL118" t="s">
        <v>249</v>
      </c>
      <c r="BM118" s="126">
        <f ca="1">EXP(12*BM116+BM117)/EXP(BM117)-1</f>
        <v>6.3464240804477656E-2</v>
      </c>
      <c r="CA118" t="s">
        <v>249</v>
      </c>
      <c r="CB118" s="126">
        <f ca="1">EXP(12*CB116+CB117)/EXP(CB117)-1</f>
        <v>4.4232899376089652E-2</v>
      </c>
    </row>
    <row r="119" spans="19:140" x14ac:dyDescent="0.2">
      <c r="S119" t="s">
        <v>250</v>
      </c>
      <c r="T119" t="s">
        <v>530</v>
      </c>
      <c r="V119">
        <f t="shared" ca="1" si="153"/>
        <v>-10.299999999999999</v>
      </c>
      <c r="X119" t="s">
        <v>250</v>
      </c>
      <c r="Y119" t="str">
        <f ca="1">FIXED(Y118*100,1,TRUE)</f>
        <v>-0.6</v>
      </c>
      <c r="AH119" t="s">
        <v>250</v>
      </c>
      <c r="AI119" t="str">
        <f ca="1">FIXED(AI118*100,1,TRUE)</f>
        <v>-1.4</v>
      </c>
      <c r="AR119" t="s">
        <v>250</v>
      </c>
      <c r="AS119" t="str">
        <f ca="1">FIXED(AS118*100,1,TRUE)</f>
        <v>4.5</v>
      </c>
      <c r="BB119" t="s">
        <v>250</v>
      </c>
      <c r="BC119" t="str">
        <f ca="1">FIXED(BC118*100,1,TRUE)</f>
        <v>1.5</v>
      </c>
      <c r="BL119" t="s">
        <v>250</v>
      </c>
      <c r="BM119" t="str">
        <f ca="1">FIXED(BM118*100,1,TRUE)</f>
        <v>6.3</v>
      </c>
      <c r="CA119" t="s">
        <v>250</v>
      </c>
      <c r="CB119" t="str">
        <f ca="1">FIXED(CB118*100,1,TRUE)</f>
        <v>4.4</v>
      </c>
    </row>
    <row r="123" spans="19:140" x14ac:dyDescent="0.2">
      <c r="S123" s="515" t="s">
        <v>642</v>
      </c>
      <c r="T123" s="515"/>
      <c r="U123" s="515"/>
      <c r="V123" s="515"/>
      <c r="W123" s="515"/>
      <c r="X123" s="515"/>
      <c r="Y123" s="515"/>
      <c r="Z123" s="515"/>
      <c r="AA123" s="515"/>
      <c r="AB123" s="515"/>
      <c r="AC123" s="515"/>
      <c r="AD123" s="515"/>
      <c r="AE123" s="515"/>
      <c r="AF123" s="515"/>
      <c r="AG123" s="515"/>
      <c r="AH123" s="515" t="s">
        <v>642</v>
      </c>
      <c r="AI123" s="515"/>
      <c r="AJ123" s="515"/>
      <c r="AK123" s="515"/>
      <c r="AL123" s="515"/>
      <c r="AM123" s="515"/>
      <c r="AN123" s="515"/>
      <c r="AO123" s="515"/>
      <c r="AP123" s="515"/>
      <c r="AQ123" s="515"/>
      <c r="AR123" s="515"/>
      <c r="AS123" s="515"/>
      <c r="AT123" s="515"/>
      <c r="AU123" s="515"/>
      <c r="AV123" s="515"/>
      <c r="AW123" s="515"/>
      <c r="AX123" s="515"/>
      <c r="AY123" s="515"/>
      <c r="AZ123" s="515"/>
      <c r="BA123" s="515"/>
      <c r="BB123" s="515"/>
      <c r="BC123" s="515"/>
      <c r="BD123" s="515"/>
      <c r="BE123" s="515"/>
      <c r="BF123" s="515"/>
      <c r="BG123" s="515"/>
      <c r="BH123" s="515"/>
      <c r="BI123" s="515"/>
      <c r="BJ123" s="515"/>
      <c r="BK123" s="515"/>
      <c r="BL123" s="515"/>
      <c r="BM123" s="515"/>
      <c r="BN123" s="515"/>
      <c r="BO123" s="515"/>
      <c r="BP123" s="515"/>
      <c r="BQ123" s="515"/>
      <c r="BR123" s="515"/>
      <c r="BS123" s="515"/>
      <c r="BT123" s="515"/>
      <c r="BU123" s="515"/>
      <c r="BV123" s="515"/>
      <c r="BW123" s="515"/>
      <c r="BX123" s="515"/>
      <c r="BY123" s="515"/>
      <c r="BZ123" s="515"/>
      <c r="CA123" s="515"/>
      <c r="CB123" s="515"/>
      <c r="CC123" s="515"/>
      <c r="CD123" s="515"/>
      <c r="CE123" s="515"/>
      <c r="CF123" s="515"/>
      <c r="CG123" s="515"/>
      <c r="CH123" s="515"/>
      <c r="CI123" s="515"/>
    </row>
    <row r="125" spans="19:140" x14ac:dyDescent="0.2">
      <c r="X125" s="130" t="s">
        <v>321</v>
      </c>
      <c r="AH125" s="130" t="s">
        <v>1003</v>
      </c>
      <c r="AR125" s="130" t="s">
        <v>1004</v>
      </c>
      <c r="BB125" s="130" t="s">
        <v>1005</v>
      </c>
      <c r="BL125" s="130" t="s">
        <v>1006</v>
      </c>
      <c r="CA125" s="130" t="s">
        <v>1026</v>
      </c>
    </row>
    <row r="126" spans="19:140" x14ac:dyDescent="0.2">
      <c r="X126" s="129" t="s">
        <v>158</v>
      </c>
      <c r="AH126" s="129" t="s">
        <v>158</v>
      </c>
      <c r="AR126" s="129" t="s">
        <v>158</v>
      </c>
      <c r="BB126" s="129" t="s">
        <v>158</v>
      </c>
      <c r="BL126" s="129" t="s">
        <v>158</v>
      </c>
      <c r="CA126" s="129" t="s">
        <v>158</v>
      </c>
    </row>
    <row r="127" spans="19:140" x14ac:dyDescent="0.2">
      <c r="AC127" s="2"/>
      <c r="AD127" s="2"/>
      <c r="AE127" s="2" t="s">
        <v>253</v>
      </c>
      <c r="AF127" s="2" t="s">
        <v>251</v>
      </c>
      <c r="AM127" s="2"/>
      <c r="AN127" s="2"/>
      <c r="AO127" s="2" t="s">
        <v>253</v>
      </c>
      <c r="AP127" s="2" t="s">
        <v>251</v>
      </c>
      <c r="AW127" s="2"/>
      <c r="AX127" s="2"/>
      <c r="AY127" s="2" t="s">
        <v>253</v>
      </c>
      <c r="AZ127" s="2" t="s">
        <v>251</v>
      </c>
      <c r="BG127" s="2"/>
      <c r="BH127" s="2"/>
      <c r="BI127" s="2" t="s">
        <v>253</v>
      </c>
      <c r="BJ127" s="2" t="s">
        <v>251</v>
      </c>
      <c r="BQ127" s="2"/>
      <c r="BR127" s="2"/>
      <c r="BS127" s="2" t="s">
        <v>253</v>
      </c>
      <c r="BT127" s="2" t="s">
        <v>251</v>
      </c>
      <c r="CF127" s="2"/>
      <c r="CG127" s="2"/>
      <c r="CH127" s="2" t="s">
        <v>253</v>
      </c>
      <c r="CI127" s="2" t="s">
        <v>251</v>
      </c>
    </row>
    <row r="128" spans="19:140" x14ac:dyDescent="0.2">
      <c r="X128" s="2"/>
      <c r="Y128" s="18" t="s">
        <v>230</v>
      </c>
      <c r="Z128" s="2" t="s">
        <v>238</v>
      </c>
      <c r="AC128" s="2"/>
      <c r="AD128" s="2"/>
      <c r="AE128" s="2" t="s">
        <v>251</v>
      </c>
      <c r="AF128" s="2" t="s">
        <v>252</v>
      </c>
      <c r="AH128" s="2"/>
      <c r="AI128" s="18" t="s">
        <v>230</v>
      </c>
      <c r="AJ128" s="2" t="s">
        <v>238</v>
      </c>
      <c r="AM128" s="2"/>
      <c r="AN128" s="2"/>
      <c r="AO128" s="2" t="s">
        <v>251</v>
      </c>
      <c r="AP128" s="2" t="s">
        <v>252</v>
      </c>
      <c r="AR128" s="2"/>
      <c r="AS128" s="18" t="s">
        <v>230</v>
      </c>
      <c r="AT128" s="2" t="s">
        <v>238</v>
      </c>
      <c r="AW128" s="2"/>
      <c r="AX128" s="2"/>
      <c r="AY128" s="2" t="s">
        <v>251</v>
      </c>
      <c r="AZ128" s="2" t="s">
        <v>252</v>
      </c>
      <c r="BB128" s="2"/>
      <c r="BC128" s="18" t="s">
        <v>230</v>
      </c>
      <c r="BD128" s="2" t="s">
        <v>238</v>
      </c>
      <c r="BG128" s="2"/>
      <c r="BH128" s="2"/>
      <c r="BI128" s="2" t="s">
        <v>251</v>
      </c>
      <c r="BJ128" s="2" t="s">
        <v>252</v>
      </c>
      <c r="BL128" s="2"/>
      <c r="BM128" s="18" t="s">
        <v>230</v>
      </c>
      <c r="BN128" s="2" t="s">
        <v>238</v>
      </c>
      <c r="BQ128" s="2"/>
      <c r="BR128" s="2"/>
      <c r="BS128" s="2" t="s">
        <v>251</v>
      </c>
      <c r="BT128" s="2" t="s">
        <v>252</v>
      </c>
      <c r="BZ128" s="228" t="s">
        <v>1029</v>
      </c>
      <c r="CA128" s="2"/>
      <c r="CB128" s="18" t="s">
        <v>230</v>
      </c>
      <c r="CC128" s="2" t="s">
        <v>238</v>
      </c>
      <c r="CF128" s="2"/>
      <c r="CG128" s="2"/>
      <c r="CH128" s="2" t="s">
        <v>251</v>
      </c>
      <c r="CI128" s="2" t="s">
        <v>252</v>
      </c>
    </row>
    <row r="129" spans="24:87" x14ac:dyDescent="0.2">
      <c r="X129" s="38" t="s">
        <v>41</v>
      </c>
      <c r="Y129" s="8" t="s">
        <v>101</v>
      </c>
      <c r="Z129" s="8" t="s">
        <v>222</v>
      </c>
      <c r="AA129" s="8" t="s">
        <v>205</v>
      </c>
      <c r="AB129" s="8" t="s">
        <v>239</v>
      </c>
      <c r="AC129" s="8" t="s">
        <v>240</v>
      </c>
      <c r="AD129" s="8" t="s">
        <v>241</v>
      </c>
      <c r="AE129" s="8" t="s">
        <v>252</v>
      </c>
      <c r="AF129" s="8" t="s">
        <v>101</v>
      </c>
      <c r="AH129" s="38" t="s">
        <v>41</v>
      </c>
      <c r="AI129" s="8" t="s">
        <v>101</v>
      </c>
      <c r="AJ129" s="8" t="s">
        <v>222</v>
      </c>
      <c r="AK129" s="8" t="s">
        <v>205</v>
      </c>
      <c r="AL129" s="8" t="s">
        <v>239</v>
      </c>
      <c r="AM129" s="8" t="s">
        <v>240</v>
      </c>
      <c r="AN129" s="8" t="s">
        <v>241</v>
      </c>
      <c r="AO129" s="8" t="s">
        <v>252</v>
      </c>
      <c r="AP129" s="8" t="s">
        <v>101</v>
      </c>
      <c r="AR129" s="38" t="s">
        <v>41</v>
      </c>
      <c r="AS129" s="8" t="s">
        <v>101</v>
      </c>
      <c r="AT129" s="8" t="s">
        <v>222</v>
      </c>
      <c r="AU129" s="8" t="s">
        <v>205</v>
      </c>
      <c r="AV129" s="8" t="s">
        <v>239</v>
      </c>
      <c r="AW129" s="8" t="s">
        <v>240</v>
      </c>
      <c r="AX129" s="8" t="s">
        <v>241</v>
      </c>
      <c r="AY129" s="8" t="s">
        <v>252</v>
      </c>
      <c r="AZ129" s="8" t="s">
        <v>101</v>
      </c>
      <c r="BB129" s="38" t="s">
        <v>41</v>
      </c>
      <c r="BC129" s="8" t="s">
        <v>101</v>
      </c>
      <c r="BD129" s="8" t="s">
        <v>222</v>
      </c>
      <c r="BE129" s="8" t="s">
        <v>205</v>
      </c>
      <c r="BF129" s="8" t="s">
        <v>239</v>
      </c>
      <c r="BG129" s="8" t="s">
        <v>240</v>
      </c>
      <c r="BH129" s="8" t="s">
        <v>241</v>
      </c>
      <c r="BI129" s="8" t="s">
        <v>252</v>
      </c>
      <c r="BJ129" s="8" t="s">
        <v>101</v>
      </c>
      <c r="BL129" s="38" t="s">
        <v>41</v>
      </c>
      <c r="BM129" s="8" t="s">
        <v>101</v>
      </c>
      <c r="BN129" s="8" t="s">
        <v>222</v>
      </c>
      <c r="BO129" s="8" t="s">
        <v>205</v>
      </c>
      <c r="BP129" s="8" t="s">
        <v>239</v>
      </c>
      <c r="BQ129" s="8" t="s">
        <v>240</v>
      </c>
      <c r="BR129" s="8" t="s">
        <v>241</v>
      </c>
      <c r="BS129" s="8" t="s">
        <v>252</v>
      </c>
      <c r="BT129" s="8" t="s">
        <v>101</v>
      </c>
      <c r="BZ129" s="8" t="s">
        <v>1030</v>
      </c>
      <c r="CA129" s="38" t="s">
        <v>41</v>
      </c>
      <c r="CB129" s="8" t="s">
        <v>101</v>
      </c>
      <c r="CC129" s="8" t="s">
        <v>222</v>
      </c>
      <c r="CD129" s="8" t="s">
        <v>205</v>
      </c>
      <c r="CE129" s="8" t="s">
        <v>239</v>
      </c>
      <c r="CF129" s="8" t="s">
        <v>240</v>
      </c>
      <c r="CG129" s="8" t="s">
        <v>241</v>
      </c>
      <c r="CH129" s="8" t="s">
        <v>252</v>
      </c>
      <c r="CI129" s="8" t="s">
        <v>101</v>
      </c>
    </row>
    <row r="131" spans="24:87" x14ac:dyDescent="0.2">
      <c r="X131" s="121">
        <f>+X7</f>
        <v>44287</v>
      </c>
      <c r="Y131" s="73">
        <f>+Y7</f>
        <v>35.869891317541402</v>
      </c>
      <c r="Z131" s="15">
        <f>IF(Y131=0,0,LN(Y131))</f>
        <v>3.5798982616411177</v>
      </c>
      <c r="AA131" s="98">
        <f>IF(Z131&gt;0,1,0)</f>
        <v>1</v>
      </c>
      <c r="AB131" s="128">
        <f>IF(AA131&gt;0,1,0)</f>
        <v>1</v>
      </c>
      <c r="AC131" s="128">
        <f>AB131^2</f>
        <v>1</v>
      </c>
      <c r="AD131" s="15">
        <f>AB131*Z131</f>
        <v>3.5798982616411177</v>
      </c>
      <c r="AE131" s="127">
        <f ca="1">Y$54*$V131+Y$55</f>
        <v>3.6983901224695162</v>
      </c>
      <c r="AF131" s="127">
        <f ca="1">EXP(AE131)</f>
        <v>40.382241539248106</v>
      </c>
      <c r="AH131" s="121">
        <f t="shared" ref="AH131:AH166" si="154">X7</f>
        <v>44287</v>
      </c>
      <c r="AI131" s="73">
        <f>+T7</f>
        <v>0</v>
      </c>
      <c r="AJ131" s="15">
        <f>IF(AI131=0,0,LN(AI131))</f>
        <v>0</v>
      </c>
      <c r="AK131" s="98">
        <f>IF(AJ131&gt;0,1,0)</f>
        <v>0</v>
      </c>
      <c r="AL131" s="128">
        <f>IF(AK131&gt;0,1,0)</f>
        <v>0</v>
      </c>
      <c r="AM131" s="128">
        <f>AL131^2</f>
        <v>0</v>
      </c>
      <c r="AN131" s="15">
        <f>AL131*AJ131</f>
        <v>0</v>
      </c>
      <c r="AO131" s="127">
        <f ca="1">AI$54*$V131+AI$55</f>
        <v>3.717381908543667</v>
      </c>
      <c r="AP131" s="127">
        <f ca="1">EXP(AO131)</f>
        <v>41.156501448997759</v>
      </c>
      <c r="AR131" s="121">
        <f>+$AH131</f>
        <v>44287</v>
      </c>
      <c r="AS131" s="131">
        <v>0</v>
      </c>
      <c r="AT131" s="15">
        <f>IF(AS131=0,0,LN(AS131))</f>
        <v>0</v>
      </c>
      <c r="AU131" s="98">
        <f>IF(AT131&gt;0,1,0)</f>
        <v>0</v>
      </c>
      <c r="AV131" s="128">
        <f>IF(AU131&gt;0,1,0)</f>
        <v>0</v>
      </c>
      <c r="AW131" s="128">
        <f>AV131^2</f>
        <v>0</v>
      </c>
      <c r="AX131" s="15">
        <f>AV131*AT131</f>
        <v>0</v>
      </c>
      <c r="AY131" s="127">
        <f ca="1">AS$54*$V131+AS$55</f>
        <v>3.5917042425913404</v>
      </c>
      <c r="AZ131" s="127">
        <f t="shared" ref="AZ131:AZ166" ca="1" si="155">EXP(AY131)</f>
        <v>36.295880231733982</v>
      </c>
      <c r="BB131" s="121">
        <f>+$AH131</f>
        <v>44287</v>
      </c>
      <c r="BC131" s="131">
        <v>0</v>
      </c>
      <c r="BD131" s="15">
        <f>IF(BC131=0,0,LN(BC131))</f>
        <v>0</v>
      </c>
      <c r="BE131" s="98">
        <f>IF(BD131&gt;0,1,0)</f>
        <v>0</v>
      </c>
      <c r="BF131" s="128">
        <f>IF(BE131&gt;0,1,0)</f>
        <v>0</v>
      </c>
      <c r="BG131" s="128">
        <f>BF131^2</f>
        <v>0</v>
      </c>
      <c r="BH131" s="15">
        <f>BF131*BD131</f>
        <v>0</v>
      </c>
      <c r="BI131" s="127">
        <f ca="1">BC$54*$V131+BC$55</f>
        <v>3.6568373206354861</v>
      </c>
      <c r="BJ131" s="127">
        <f t="shared" ref="BJ131:BJ148" ca="1" si="156">EXP(BI131)</f>
        <v>38.738631055505664</v>
      </c>
      <c r="BL131" s="121">
        <f>+$AH131</f>
        <v>44287</v>
      </c>
      <c r="BM131" s="131">
        <v>0</v>
      </c>
      <c r="BN131" s="15">
        <f>IF(BM131=0,0,LN(BM131))</f>
        <v>0</v>
      </c>
      <c r="BO131" s="98">
        <f>IF(BN131&gt;0,1,0)</f>
        <v>0</v>
      </c>
      <c r="BP131" s="128">
        <f>IF(BO131&gt;0,1,0)</f>
        <v>0</v>
      </c>
      <c r="BQ131" s="128">
        <f>BP131^2</f>
        <v>0</v>
      </c>
      <c r="BR131" s="15">
        <f>BP131*BN131</f>
        <v>0</v>
      </c>
      <c r="BS131" s="127">
        <f ca="1">BM$54*$V131+BM$55</f>
        <v>3.5459584216918016</v>
      </c>
      <c r="BT131" s="127">
        <f t="shared" ref="BT131:BT148" ca="1" si="157">EXP(BS131)</f>
        <v>34.672900682698888</v>
      </c>
      <c r="BZ131" s="583">
        <f>IF(OR(CA131&lt;BX$12,CA131&gt;BX$13),0,1)</f>
        <v>0</v>
      </c>
      <c r="CA131" s="121">
        <f>+$AH131</f>
        <v>44287</v>
      </c>
      <c r="CB131" s="127">
        <f>+BZ131*T7</f>
        <v>0</v>
      </c>
      <c r="CC131" s="15">
        <f>IF(CB131=0,0,LN(CB131))</f>
        <v>0</v>
      </c>
      <c r="CD131" s="98">
        <f>IF(CC131&gt;0,1,0)</f>
        <v>0</v>
      </c>
      <c r="CE131" s="128">
        <f>IF(CD131&gt;0,1,0)</f>
        <v>0</v>
      </c>
      <c r="CF131" s="128">
        <f>CE131^2</f>
        <v>0</v>
      </c>
      <c r="CG131" s="15">
        <f>CE131*CC131</f>
        <v>0</v>
      </c>
      <c r="CH131" s="127">
        <f ca="1">CB$54*$V131+CB$55</f>
        <v>3.6019236849906249</v>
      </c>
      <c r="CI131" s="127">
        <f t="shared" ref="CI131:CI148" ca="1" si="158">EXP(CH131)</f>
        <v>36.66870567845703</v>
      </c>
    </row>
    <row r="132" spans="24:87" x14ac:dyDescent="0.2">
      <c r="X132" s="121">
        <f t="shared" ref="X132:Y166" si="159">+X8</f>
        <v>44317</v>
      </c>
      <c r="Y132" s="73">
        <f t="shared" si="159"/>
        <v>36.591966235234068</v>
      </c>
      <c r="Z132" s="15">
        <f t="shared" ref="Z132:Z166" si="160">IF(Y132=0,0,LN(Y132))</f>
        <v>3.5998287145437202</v>
      </c>
      <c r="AA132" s="98">
        <f t="shared" ref="AA132:AA166" si="161">IF(Z132&gt;0,1,0)</f>
        <v>1</v>
      </c>
      <c r="AB132" s="128">
        <f>IF(AA132&gt;0,2,0)</f>
        <v>2</v>
      </c>
      <c r="AC132" s="128">
        <f t="shared" ref="AC132:AC166" si="162">AB132^2</f>
        <v>4</v>
      </c>
      <c r="AD132" s="15">
        <f t="shared" ref="AD132:AD166" si="163">AB132*Z132</f>
        <v>7.1996574290874404</v>
      </c>
      <c r="AE132" s="127">
        <f t="shared" ref="AE132:AE166" ca="1" si="164">Y$54*$V132+Y$55</f>
        <v>3.6983901224695162</v>
      </c>
      <c r="AF132" s="127">
        <f t="shared" ref="AF132:AF166" ca="1" si="165">EXP(AE132)</f>
        <v>40.382241539248106</v>
      </c>
      <c r="AH132" s="121">
        <f t="shared" si="154"/>
        <v>44317</v>
      </c>
      <c r="AI132" s="73">
        <f t="shared" ref="AI132:AI164" si="166">+T8</f>
        <v>0</v>
      </c>
      <c r="AJ132" s="15">
        <f t="shared" ref="AJ132:AJ166" si="167">IF(AI132=0,0,LN(AI132))</f>
        <v>0</v>
      </c>
      <c r="AK132" s="98">
        <f t="shared" ref="AK132:AK166" si="168">IF(AJ132&gt;0,1,0)</f>
        <v>0</v>
      </c>
      <c r="AL132" s="128">
        <f>IF(AK132&gt;0,2,0)</f>
        <v>0</v>
      </c>
      <c r="AM132" s="128">
        <f t="shared" ref="AM132:AM166" si="169">AL132^2</f>
        <v>0</v>
      </c>
      <c r="AN132" s="15">
        <f t="shared" ref="AN132:AN166" si="170">AL132*AJ132</f>
        <v>0</v>
      </c>
      <c r="AO132" s="127">
        <f t="shared" ref="AO132:AO166" ca="1" si="171">AI$54*$V132+AI$55</f>
        <v>3.717381908543667</v>
      </c>
      <c r="AP132" s="127">
        <f ca="1">EXP(AO132)</f>
        <v>41.156501448997759</v>
      </c>
      <c r="AR132" s="121">
        <f t="shared" ref="AR132:AR166" si="172">+$AH132</f>
        <v>44317</v>
      </c>
      <c r="AS132" s="131">
        <v>0</v>
      </c>
      <c r="AT132" s="15">
        <f t="shared" ref="AT132:AT166" si="173">IF(AS132=0,0,LN(AS132))</f>
        <v>0</v>
      </c>
      <c r="AU132" s="98">
        <f t="shared" ref="AU132:AU166" si="174">IF(AT132&gt;0,1,0)</f>
        <v>0</v>
      </c>
      <c r="AV132" s="128">
        <f>IF(AU132&gt;0,2,0)</f>
        <v>0</v>
      </c>
      <c r="AW132" s="128">
        <f t="shared" ref="AW132:AW166" si="175">AV132^2</f>
        <v>0</v>
      </c>
      <c r="AX132" s="15">
        <f t="shared" ref="AX132:AX166" si="176">AV132*AT132</f>
        <v>0</v>
      </c>
      <c r="AY132" s="127">
        <f t="shared" ref="AY132:AY166" ca="1" si="177">AS$54*$V132+AS$55</f>
        <v>3.5917042425913404</v>
      </c>
      <c r="AZ132" s="127">
        <f t="shared" ca="1" si="155"/>
        <v>36.295880231733982</v>
      </c>
      <c r="BB132" s="121">
        <f t="shared" ref="BB132:BB166" si="178">+$AH132</f>
        <v>44317</v>
      </c>
      <c r="BC132" s="131">
        <v>0</v>
      </c>
      <c r="BD132" s="15">
        <f t="shared" ref="BD132:BD166" si="179">IF(BC132=0,0,LN(BC132))</f>
        <v>0</v>
      </c>
      <c r="BE132" s="98">
        <f t="shared" ref="BE132:BE166" si="180">IF(BD132&gt;0,1,0)</f>
        <v>0</v>
      </c>
      <c r="BF132" s="128">
        <f>IF(BE132&gt;0,2,0)</f>
        <v>0</v>
      </c>
      <c r="BG132" s="128">
        <f t="shared" ref="BG132:BG166" si="181">BF132^2</f>
        <v>0</v>
      </c>
      <c r="BH132" s="15">
        <f t="shared" ref="BH132:BH166" si="182">BF132*BD132</f>
        <v>0</v>
      </c>
      <c r="BI132" s="127">
        <f t="shared" ref="BI132:BI166" ca="1" si="183">BC$54*$V132+BC$55</f>
        <v>3.6568373206354861</v>
      </c>
      <c r="BJ132" s="127">
        <f t="shared" ca="1" si="156"/>
        <v>38.738631055505664</v>
      </c>
      <c r="BL132" s="121">
        <f t="shared" ref="BL132:BL166" si="184">+$AH132</f>
        <v>44317</v>
      </c>
      <c r="BM132" s="131">
        <v>0</v>
      </c>
      <c r="BN132" s="15">
        <f t="shared" ref="BN132:BN166" si="185">IF(BM132=0,0,LN(BM132))</f>
        <v>0</v>
      </c>
      <c r="BO132" s="98">
        <f t="shared" ref="BO132:BO166" si="186">IF(BN132&gt;0,1,0)</f>
        <v>0</v>
      </c>
      <c r="BP132" s="128">
        <f>IF(BO132&gt;0,2,0)</f>
        <v>0</v>
      </c>
      <c r="BQ132" s="128">
        <f t="shared" ref="BQ132:BQ166" si="187">BP132^2</f>
        <v>0</v>
      </c>
      <c r="BR132" s="15">
        <f t="shared" ref="BR132:BR166" si="188">BP132*BN132</f>
        <v>0</v>
      </c>
      <c r="BS132" s="127">
        <f t="shared" ref="BS132:BS166" ca="1" si="189">BM$54*$V132+BM$55</f>
        <v>3.5459584216918016</v>
      </c>
      <c r="BT132" s="127">
        <f t="shared" ca="1" si="157"/>
        <v>34.672900682698888</v>
      </c>
      <c r="BZ132" s="583">
        <f t="shared" ref="BZ132:BZ166" si="190">IF(OR(CA132&lt;BX$12,CA132&gt;BX$13),0,1)</f>
        <v>0</v>
      </c>
      <c r="CA132" s="121">
        <f t="shared" ref="CA132:CA166" si="191">+$AH132</f>
        <v>44317</v>
      </c>
      <c r="CB132" s="127">
        <f t="shared" ref="CB132:CB166" si="192">+BZ132*T8</f>
        <v>0</v>
      </c>
      <c r="CC132" s="15">
        <f t="shared" ref="CC132:CC166" si="193">IF(CB132=0,0,LN(CB132))</f>
        <v>0</v>
      </c>
      <c r="CD132" s="98">
        <f t="shared" ref="CD132:CD166" si="194">IF(CC132&gt;0,1,0)</f>
        <v>0</v>
      </c>
      <c r="CE132" s="128">
        <f>IF(CD132&gt;0,2,0)</f>
        <v>0</v>
      </c>
      <c r="CF132" s="128">
        <f t="shared" ref="CF132:CF166" si="195">CE132^2</f>
        <v>0</v>
      </c>
      <c r="CG132" s="15">
        <f t="shared" ref="CG132:CG166" si="196">CE132*CC132</f>
        <v>0</v>
      </c>
      <c r="CH132" s="127">
        <f t="shared" ref="CH132:CH166" ca="1" si="197">CB$54*$V132+CB$55</f>
        <v>3.6019236849906249</v>
      </c>
      <c r="CI132" s="127">
        <f t="shared" ca="1" si="158"/>
        <v>36.66870567845703</v>
      </c>
    </row>
    <row r="133" spans="24:87" x14ac:dyDescent="0.2">
      <c r="X133" s="121">
        <f t="shared" si="159"/>
        <v>44348</v>
      </c>
      <c r="Y133" s="73">
        <f t="shared" si="159"/>
        <v>38.790531392615186</v>
      </c>
      <c r="Z133" s="15">
        <f t="shared" si="160"/>
        <v>3.6581761805747268</v>
      </c>
      <c r="AA133" s="98">
        <f t="shared" si="161"/>
        <v>1</v>
      </c>
      <c r="AB133" s="128">
        <f>IF(AA133&gt;0,3,0)</f>
        <v>3</v>
      </c>
      <c r="AC133" s="128">
        <f t="shared" si="162"/>
        <v>9</v>
      </c>
      <c r="AD133" s="15">
        <f t="shared" si="163"/>
        <v>10.97452854172418</v>
      </c>
      <c r="AE133" s="127">
        <f t="shared" ca="1" si="164"/>
        <v>3.6983901224695162</v>
      </c>
      <c r="AF133" s="127">
        <f t="shared" ca="1" si="165"/>
        <v>40.382241539248106</v>
      </c>
      <c r="AH133" s="121">
        <f t="shared" si="154"/>
        <v>44348</v>
      </c>
      <c r="AI133" s="73">
        <f t="shared" si="166"/>
        <v>0</v>
      </c>
      <c r="AJ133" s="15">
        <f t="shared" si="167"/>
        <v>0</v>
      </c>
      <c r="AK133" s="98">
        <f t="shared" si="168"/>
        <v>0</v>
      </c>
      <c r="AL133" s="128">
        <f>IF(AK133&gt;0,3,0)</f>
        <v>0</v>
      </c>
      <c r="AM133" s="128">
        <f t="shared" si="169"/>
        <v>0</v>
      </c>
      <c r="AN133" s="15">
        <f t="shared" si="170"/>
        <v>0</v>
      </c>
      <c r="AO133" s="127">
        <f t="shared" ca="1" si="171"/>
        <v>3.717381908543667</v>
      </c>
      <c r="AP133" s="127">
        <f ca="1">EXP(AO133)</f>
        <v>41.156501448997759</v>
      </c>
      <c r="AR133" s="121">
        <f t="shared" si="172"/>
        <v>44348</v>
      </c>
      <c r="AS133" s="131">
        <v>0</v>
      </c>
      <c r="AT133" s="15">
        <f t="shared" si="173"/>
        <v>0</v>
      </c>
      <c r="AU133" s="98">
        <f t="shared" si="174"/>
        <v>0</v>
      </c>
      <c r="AV133" s="128">
        <f>IF(AU133&gt;0,3,0)</f>
        <v>0</v>
      </c>
      <c r="AW133" s="128">
        <f t="shared" si="175"/>
        <v>0</v>
      </c>
      <c r="AX133" s="15">
        <f t="shared" si="176"/>
        <v>0</v>
      </c>
      <c r="AY133" s="127">
        <f t="shared" ca="1" si="177"/>
        <v>3.5917042425913404</v>
      </c>
      <c r="AZ133" s="127">
        <f t="shared" ca="1" si="155"/>
        <v>36.295880231733982</v>
      </c>
      <c r="BB133" s="121">
        <f t="shared" si="178"/>
        <v>44348</v>
      </c>
      <c r="BC133" s="131">
        <v>0</v>
      </c>
      <c r="BD133" s="15">
        <f t="shared" si="179"/>
        <v>0</v>
      </c>
      <c r="BE133" s="98">
        <f t="shared" si="180"/>
        <v>0</v>
      </c>
      <c r="BF133" s="128">
        <f>IF(BE133&gt;0,3,0)</f>
        <v>0</v>
      </c>
      <c r="BG133" s="128">
        <f t="shared" si="181"/>
        <v>0</v>
      </c>
      <c r="BH133" s="15">
        <f t="shared" si="182"/>
        <v>0</v>
      </c>
      <c r="BI133" s="127">
        <f t="shared" ca="1" si="183"/>
        <v>3.6568373206354861</v>
      </c>
      <c r="BJ133" s="127">
        <f t="shared" ca="1" si="156"/>
        <v>38.738631055505664</v>
      </c>
      <c r="BL133" s="121">
        <f t="shared" si="184"/>
        <v>44348</v>
      </c>
      <c r="BM133" s="131">
        <v>0</v>
      </c>
      <c r="BN133" s="15">
        <f t="shared" si="185"/>
        <v>0</v>
      </c>
      <c r="BO133" s="98">
        <f t="shared" si="186"/>
        <v>0</v>
      </c>
      <c r="BP133" s="128">
        <f>IF(BO133&gt;0,3,0)</f>
        <v>0</v>
      </c>
      <c r="BQ133" s="128">
        <f t="shared" si="187"/>
        <v>0</v>
      </c>
      <c r="BR133" s="15">
        <f t="shared" si="188"/>
        <v>0</v>
      </c>
      <c r="BS133" s="127">
        <f t="shared" ca="1" si="189"/>
        <v>3.5459584216918016</v>
      </c>
      <c r="BT133" s="127">
        <f t="shared" ca="1" si="157"/>
        <v>34.672900682698888</v>
      </c>
      <c r="BZ133" s="583">
        <f t="shared" si="190"/>
        <v>0</v>
      </c>
      <c r="CA133" s="121">
        <f t="shared" si="191"/>
        <v>44348</v>
      </c>
      <c r="CB133" s="127">
        <f t="shared" si="192"/>
        <v>0</v>
      </c>
      <c r="CC133" s="15">
        <f t="shared" si="193"/>
        <v>0</v>
      </c>
      <c r="CD133" s="98">
        <f t="shared" si="194"/>
        <v>0</v>
      </c>
      <c r="CE133" s="128">
        <f>IF(CD133&gt;0,3,0)</f>
        <v>0</v>
      </c>
      <c r="CF133" s="128">
        <f t="shared" si="195"/>
        <v>0</v>
      </c>
      <c r="CG133" s="15">
        <f t="shared" si="196"/>
        <v>0</v>
      </c>
      <c r="CH133" s="127">
        <f t="shared" ca="1" si="197"/>
        <v>3.6019236849906249</v>
      </c>
      <c r="CI133" s="127">
        <f t="shared" ca="1" si="158"/>
        <v>36.66870567845703</v>
      </c>
    </row>
    <row r="134" spans="24:87" x14ac:dyDescent="0.2">
      <c r="X134" s="121">
        <f t="shared" si="159"/>
        <v>44378</v>
      </c>
      <c r="Y134" s="73">
        <f t="shared" si="159"/>
        <v>40.350388620093234</v>
      </c>
      <c r="Z134" s="15">
        <f t="shared" si="160"/>
        <v>3.6976010258986545</v>
      </c>
      <c r="AA134" s="98">
        <f t="shared" si="161"/>
        <v>1</v>
      </c>
      <c r="AB134" s="128">
        <f>IF(AA134&gt;0,4,0)</f>
        <v>4</v>
      </c>
      <c r="AC134" s="128">
        <f t="shared" si="162"/>
        <v>16</v>
      </c>
      <c r="AD134" s="15">
        <f t="shared" si="163"/>
        <v>14.790404103594618</v>
      </c>
      <c r="AE134" s="127">
        <f t="shared" ca="1" si="164"/>
        <v>3.6983901224695162</v>
      </c>
      <c r="AF134" s="127">
        <f t="shared" ca="1" si="165"/>
        <v>40.382241539248106</v>
      </c>
      <c r="AH134" s="121">
        <f t="shared" si="154"/>
        <v>44378</v>
      </c>
      <c r="AI134" s="73">
        <f t="shared" si="166"/>
        <v>42.898571251676138</v>
      </c>
      <c r="AJ134" s="15">
        <f t="shared" si="167"/>
        <v>3.7588385212226423</v>
      </c>
      <c r="AK134" s="98">
        <f t="shared" si="168"/>
        <v>1</v>
      </c>
      <c r="AL134" s="128">
        <f>IF(AK134&gt;0,4,0)</f>
        <v>4</v>
      </c>
      <c r="AM134" s="128">
        <f t="shared" si="169"/>
        <v>16</v>
      </c>
      <c r="AN134" s="15">
        <f t="shared" si="170"/>
        <v>15.035354084890569</v>
      </c>
      <c r="AO134" s="127">
        <f t="shared" ca="1" si="171"/>
        <v>3.717381908543667</v>
      </c>
      <c r="AP134" s="127">
        <f t="shared" ref="AP134:AP166" ca="1" si="198">EXP(AO134)</f>
        <v>41.156501448997759</v>
      </c>
      <c r="AR134" s="121">
        <f t="shared" si="172"/>
        <v>44378</v>
      </c>
      <c r="AS134" s="131">
        <v>0</v>
      </c>
      <c r="AT134" s="15">
        <f t="shared" si="173"/>
        <v>0</v>
      </c>
      <c r="AU134" s="98">
        <f t="shared" si="174"/>
        <v>0</v>
      </c>
      <c r="AV134" s="128">
        <f>IF(AU134&gt;0,4,0)</f>
        <v>0</v>
      </c>
      <c r="AW134" s="128">
        <f t="shared" si="175"/>
        <v>0</v>
      </c>
      <c r="AX134" s="15">
        <f t="shared" si="176"/>
        <v>0</v>
      </c>
      <c r="AY134" s="127">
        <f t="shared" ca="1" si="177"/>
        <v>3.5917042425913404</v>
      </c>
      <c r="AZ134" s="127">
        <f t="shared" ca="1" si="155"/>
        <v>36.295880231733982</v>
      </c>
      <c r="BB134" s="121">
        <f t="shared" si="178"/>
        <v>44378</v>
      </c>
      <c r="BC134" s="131">
        <v>0</v>
      </c>
      <c r="BD134" s="15">
        <f t="shared" si="179"/>
        <v>0</v>
      </c>
      <c r="BE134" s="98">
        <f t="shared" si="180"/>
        <v>0</v>
      </c>
      <c r="BF134" s="128">
        <f>IF(BE134&gt;0,4,0)</f>
        <v>0</v>
      </c>
      <c r="BG134" s="128">
        <f t="shared" si="181"/>
        <v>0</v>
      </c>
      <c r="BH134" s="15">
        <f t="shared" si="182"/>
        <v>0</v>
      </c>
      <c r="BI134" s="127">
        <f t="shared" ca="1" si="183"/>
        <v>3.6568373206354861</v>
      </c>
      <c r="BJ134" s="127">
        <f t="shared" ca="1" si="156"/>
        <v>38.738631055505664</v>
      </c>
      <c r="BL134" s="121">
        <f t="shared" si="184"/>
        <v>44378</v>
      </c>
      <c r="BM134" s="131">
        <v>0</v>
      </c>
      <c r="BN134" s="15">
        <f t="shared" si="185"/>
        <v>0</v>
      </c>
      <c r="BO134" s="98">
        <f t="shared" si="186"/>
        <v>0</v>
      </c>
      <c r="BP134" s="128">
        <f>IF(BO134&gt;0,4,0)</f>
        <v>0</v>
      </c>
      <c r="BQ134" s="128">
        <f t="shared" si="187"/>
        <v>0</v>
      </c>
      <c r="BR134" s="15">
        <f t="shared" si="188"/>
        <v>0</v>
      </c>
      <c r="BS134" s="127">
        <f t="shared" ca="1" si="189"/>
        <v>3.5459584216918016</v>
      </c>
      <c r="BT134" s="127">
        <f t="shared" ca="1" si="157"/>
        <v>34.672900682698888</v>
      </c>
      <c r="BZ134" s="583">
        <f t="shared" si="190"/>
        <v>0</v>
      </c>
      <c r="CA134" s="121">
        <f t="shared" si="191"/>
        <v>44378</v>
      </c>
      <c r="CB134" s="127">
        <f t="shared" si="192"/>
        <v>0</v>
      </c>
      <c r="CC134" s="15">
        <f t="shared" si="193"/>
        <v>0</v>
      </c>
      <c r="CD134" s="98">
        <f t="shared" si="194"/>
        <v>0</v>
      </c>
      <c r="CE134" s="128">
        <f>IF(CD134&gt;0,4,0)</f>
        <v>0</v>
      </c>
      <c r="CF134" s="128">
        <f t="shared" si="195"/>
        <v>0</v>
      </c>
      <c r="CG134" s="15">
        <f t="shared" si="196"/>
        <v>0</v>
      </c>
      <c r="CH134" s="127">
        <f t="shared" ca="1" si="197"/>
        <v>3.6019236849906249</v>
      </c>
      <c r="CI134" s="127">
        <f t="shared" ca="1" si="158"/>
        <v>36.66870567845703</v>
      </c>
    </row>
    <row r="135" spans="24:87" x14ac:dyDescent="0.2">
      <c r="X135" s="121">
        <f t="shared" si="159"/>
        <v>44409</v>
      </c>
      <c r="Y135" s="73">
        <f t="shared" si="159"/>
        <v>47.798624963803547</v>
      </c>
      <c r="Z135" s="15">
        <f t="shared" si="160"/>
        <v>3.8669968726360238</v>
      </c>
      <c r="AA135" s="98">
        <f t="shared" si="161"/>
        <v>1</v>
      </c>
      <c r="AB135" s="128">
        <f>IF(AA135&gt;0,5,0)</f>
        <v>5</v>
      </c>
      <c r="AC135" s="128">
        <f t="shared" si="162"/>
        <v>25</v>
      </c>
      <c r="AD135" s="15">
        <f t="shared" si="163"/>
        <v>19.334984363180119</v>
      </c>
      <c r="AE135" s="127">
        <f t="shared" ca="1" si="164"/>
        <v>3.6983901224695162</v>
      </c>
      <c r="AF135" s="127">
        <f t="shared" ca="1" si="165"/>
        <v>40.382241539248106</v>
      </c>
      <c r="AH135" s="121">
        <f t="shared" si="154"/>
        <v>44409</v>
      </c>
      <c r="AI135" s="73">
        <f t="shared" si="166"/>
        <v>44.671127653088661</v>
      </c>
      <c r="AJ135" s="15">
        <f t="shared" si="167"/>
        <v>3.7993273791261859</v>
      </c>
      <c r="AK135" s="98">
        <f t="shared" si="168"/>
        <v>1</v>
      </c>
      <c r="AL135" s="128">
        <f>IF(AK135&gt;0,5,0)</f>
        <v>5</v>
      </c>
      <c r="AM135" s="128">
        <f t="shared" si="169"/>
        <v>25</v>
      </c>
      <c r="AN135" s="15">
        <f t="shared" si="170"/>
        <v>18.996636895630928</v>
      </c>
      <c r="AO135" s="127">
        <f t="shared" ca="1" si="171"/>
        <v>3.717381908543667</v>
      </c>
      <c r="AP135" s="127">
        <f t="shared" ca="1" si="198"/>
        <v>41.156501448997759</v>
      </c>
      <c r="AR135" s="121">
        <f t="shared" si="172"/>
        <v>44409</v>
      </c>
      <c r="AS135" s="131">
        <v>0</v>
      </c>
      <c r="AT135" s="15">
        <f t="shared" si="173"/>
        <v>0</v>
      </c>
      <c r="AU135" s="98">
        <f t="shared" si="174"/>
        <v>0</v>
      </c>
      <c r="AV135" s="128">
        <f>IF(AU135&gt;0,5,0)</f>
        <v>0</v>
      </c>
      <c r="AW135" s="128">
        <f t="shared" si="175"/>
        <v>0</v>
      </c>
      <c r="AX135" s="15">
        <f t="shared" si="176"/>
        <v>0</v>
      </c>
      <c r="AY135" s="127">
        <f t="shared" ca="1" si="177"/>
        <v>3.5917042425913404</v>
      </c>
      <c r="AZ135" s="127">
        <f t="shared" ca="1" si="155"/>
        <v>36.295880231733982</v>
      </c>
      <c r="BB135" s="121">
        <f t="shared" si="178"/>
        <v>44409</v>
      </c>
      <c r="BC135" s="131">
        <v>0</v>
      </c>
      <c r="BD135" s="15">
        <f t="shared" si="179"/>
        <v>0</v>
      </c>
      <c r="BE135" s="98">
        <f t="shared" si="180"/>
        <v>0</v>
      </c>
      <c r="BF135" s="128">
        <f>IF(BE135&gt;0,5,0)</f>
        <v>0</v>
      </c>
      <c r="BG135" s="128">
        <f t="shared" si="181"/>
        <v>0</v>
      </c>
      <c r="BH135" s="15">
        <f t="shared" si="182"/>
        <v>0</v>
      </c>
      <c r="BI135" s="127">
        <f t="shared" ca="1" si="183"/>
        <v>3.6568373206354861</v>
      </c>
      <c r="BJ135" s="127">
        <f t="shared" ca="1" si="156"/>
        <v>38.738631055505664</v>
      </c>
      <c r="BL135" s="121">
        <f t="shared" si="184"/>
        <v>44409</v>
      </c>
      <c r="BM135" s="131">
        <v>0</v>
      </c>
      <c r="BN135" s="15">
        <f t="shared" si="185"/>
        <v>0</v>
      </c>
      <c r="BO135" s="98">
        <f t="shared" si="186"/>
        <v>0</v>
      </c>
      <c r="BP135" s="128">
        <f>IF(BO135&gt;0,5,0)</f>
        <v>0</v>
      </c>
      <c r="BQ135" s="128">
        <f t="shared" si="187"/>
        <v>0</v>
      </c>
      <c r="BR135" s="15">
        <f t="shared" si="188"/>
        <v>0</v>
      </c>
      <c r="BS135" s="127">
        <f t="shared" ca="1" si="189"/>
        <v>3.5459584216918016</v>
      </c>
      <c r="BT135" s="127">
        <f t="shared" ca="1" si="157"/>
        <v>34.672900682698888</v>
      </c>
      <c r="BZ135" s="583">
        <f t="shared" si="190"/>
        <v>0</v>
      </c>
      <c r="CA135" s="121">
        <f t="shared" si="191"/>
        <v>44409</v>
      </c>
      <c r="CB135" s="127">
        <f t="shared" si="192"/>
        <v>0</v>
      </c>
      <c r="CC135" s="15">
        <f t="shared" si="193"/>
        <v>0</v>
      </c>
      <c r="CD135" s="98">
        <f t="shared" si="194"/>
        <v>0</v>
      </c>
      <c r="CE135" s="128">
        <f>IF(CD135&gt;0,5,0)</f>
        <v>0</v>
      </c>
      <c r="CF135" s="128">
        <f t="shared" si="195"/>
        <v>0</v>
      </c>
      <c r="CG135" s="15">
        <f t="shared" si="196"/>
        <v>0</v>
      </c>
      <c r="CH135" s="127">
        <f t="shared" ca="1" si="197"/>
        <v>3.6019236849906249</v>
      </c>
      <c r="CI135" s="127">
        <f t="shared" ca="1" si="158"/>
        <v>36.66870567845703</v>
      </c>
    </row>
    <row r="136" spans="24:87" x14ac:dyDescent="0.2">
      <c r="X136" s="121">
        <f t="shared" si="159"/>
        <v>44440</v>
      </c>
      <c r="Y136" s="73">
        <f t="shared" si="159"/>
        <v>46.237790728679677</v>
      </c>
      <c r="Z136" s="15">
        <f t="shared" si="160"/>
        <v>3.8337974448636962</v>
      </c>
      <c r="AA136" s="98">
        <f t="shared" si="161"/>
        <v>1</v>
      </c>
      <c r="AB136" s="128">
        <f>IF(AA136&gt;0,6,0)</f>
        <v>6</v>
      </c>
      <c r="AC136" s="128">
        <f t="shared" si="162"/>
        <v>36</v>
      </c>
      <c r="AD136" s="15">
        <f t="shared" si="163"/>
        <v>23.002784669182176</v>
      </c>
      <c r="AE136" s="127">
        <f t="shared" ca="1" si="164"/>
        <v>3.6983901224695162</v>
      </c>
      <c r="AF136" s="127">
        <f t="shared" ca="1" si="165"/>
        <v>40.382241539248106</v>
      </c>
      <c r="AH136" s="121">
        <f t="shared" si="154"/>
        <v>44440</v>
      </c>
      <c r="AI136" s="73">
        <f t="shared" si="166"/>
        <v>46.367390379341394</v>
      </c>
      <c r="AJ136" s="15">
        <f t="shared" si="167"/>
        <v>3.8365964186083779</v>
      </c>
      <c r="AK136" s="98">
        <f t="shared" si="168"/>
        <v>1</v>
      </c>
      <c r="AL136" s="128">
        <f>IF(AK136&gt;0,6,0)</f>
        <v>6</v>
      </c>
      <c r="AM136" s="128">
        <f t="shared" si="169"/>
        <v>36</v>
      </c>
      <c r="AN136" s="15">
        <f t="shared" si="170"/>
        <v>23.019578511650266</v>
      </c>
      <c r="AO136" s="127">
        <f t="shared" ca="1" si="171"/>
        <v>3.717381908543667</v>
      </c>
      <c r="AP136" s="127">
        <f t="shared" ca="1" si="198"/>
        <v>41.156501448997759</v>
      </c>
      <c r="AR136" s="121">
        <f t="shared" si="172"/>
        <v>44440</v>
      </c>
      <c r="AS136" s="131">
        <v>0</v>
      </c>
      <c r="AT136" s="15">
        <f t="shared" si="173"/>
        <v>0</v>
      </c>
      <c r="AU136" s="98">
        <f t="shared" si="174"/>
        <v>0</v>
      </c>
      <c r="AV136" s="128">
        <f>IF(AU136&gt;0,6,0)</f>
        <v>0</v>
      </c>
      <c r="AW136" s="128">
        <f t="shared" si="175"/>
        <v>0</v>
      </c>
      <c r="AX136" s="15">
        <f t="shared" si="176"/>
        <v>0</v>
      </c>
      <c r="AY136" s="127">
        <f t="shared" ca="1" si="177"/>
        <v>3.5917042425913404</v>
      </c>
      <c r="AZ136" s="127">
        <f t="shared" ca="1" si="155"/>
        <v>36.295880231733982</v>
      </c>
      <c r="BB136" s="121">
        <f t="shared" si="178"/>
        <v>44440</v>
      </c>
      <c r="BC136" s="131">
        <v>0</v>
      </c>
      <c r="BD136" s="15">
        <f t="shared" si="179"/>
        <v>0</v>
      </c>
      <c r="BE136" s="98">
        <f t="shared" si="180"/>
        <v>0</v>
      </c>
      <c r="BF136" s="128">
        <f>IF(BE136&gt;0,6,0)</f>
        <v>0</v>
      </c>
      <c r="BG136" s="128">
        <f t="shared" si="181"/>
        <v>0</v>
      </c>
      <c r="BH136" s="15">
        <f t="shared" si="182"/>
        <v>0</v>
      </c>
      <c r="BI136" s="127">
        <f t="shared" ca="1" si="183"/>
        <v>3.6568373206354861</v>
      </c>
      <c r="BJ136" s="127">
        <f t="shared" ca="1" si="156"/>
        <v>38.738631055505664</v>
      </c>
      <c r="BL136" s="121">
        <f t="shared" si="184"/>
        <v>44440</v>
      </c>
      <c r="BM136" s="131">
        <v>0</v>
      </c>
      <c r="BN136" s="15">
        <f t="shared" si="185"/>
        <v>0</v>
      </c>
      <c r="BO136" s="98">
        <f t="shared" si="186"/>
        <v>0</v>
      </c>
      <c r="BP136" s="128">
        <f>IF(BO136&gt;0,6,0)</f>
        <v>0</v>
      </c>
      <c r="BQ136" s="128">
        <f t="shared" si="187"/>
        <v>0</v>
      </c>
      <c r="BR136" s="15">
        <f t="shared" si="188"/>
        <v>0</v>
      </c>
      <c r="BS136" s="127">
        <f t="shared" ca="1" si="189"/>
        <v>3.5459584216918016</v>
      </c>
      <c r="BT136" s="127">
        <f t="shared" ca="1" si="157"/>
        <v>34.672900682698888</v>
      </c>
      <c r="BZ136" s="583">
        <f t="shared" si="190"/>
        <v>0</v>
      </c>
      <c r="CA136" s="121">
        <f t="shared" si="191"/>
        <v>44440</v>
      </c>
      <c r="CB136" s="127">
        <f t="shared" si="192"/>
        <v>0</v>
      </c>
      <c r="CC136" s="15">
        <f t="shared" si="193"/>
        <v>0</v>
      </c>
      <c r="CD136" s="98">
        <f t="shared" si="194"/>
        <v>0</v>
      </c>
      <c r="CE136" s="128">
        <f>IF(CD136&gt;0,6,0)</f>
        <v>0</v>
      </c>
      <c r="CF136" s="128">
        <f t="shared" si="195"/>
        <v>0</v>
      </c>
      <c r="CG136" s="15">
        <f t="shared" si="196"/>
        <v>0</v>
      </c>
      <c r="CH136" s="127">
        <f t="shared" ca="1" si="197"/>
        <v>3.6019236849906249</v>
      </c>
      <c r="CI136" s="127">
        <f t="shared" ca="1" si="158"/>
        <v>36.66870567845703</v>
      </c>
    </row>
    <row r="137" spans="24:87" x14ac:dyDescent="0.2">
      <c r="X137" s="121">
        <f t="shared" si="159"/>
        <v>44470</v>
      </c>
      <c r="Y137" s="73">
        <f t="shared" si="159"/>
        <v>47.622125569631088</v>
      </c>
      <c r="Z137" s="15">
        <f t="shared" si="160"/>
        <v>3.8632974761320886</v>
      </c>
      <c r="AA137" s="98">
        <f t="shared" si="161"/>
        <v>1</v>
      </c>
      <c r="AB137" s="128">
        <f>IF(AA137&gt;0,7,0)</f>
        <v>7</v>
      </c>
      <c r="AC137" s="128">
        <f t="shared" si="162"/>
        <v>49</v>
      </c>
      <c r="AD137" s="15">
        <f t="shared" si="163"/>
        <v>27.043082332924619</v>
      </c>
      <c r="AE137" s="127">
        <f t="shared" ca="1" si="164"/>
        <v>3.6983901224695162</v>
      </c>
      <c r="AF137" s="127">
        <f t="shared" ca="1" si="165"/>
        <v>40.382241539248106</v>
      </c>
      <c r="AH137" s="121">
        <f t="shared" si="154"/>
        <v>44470</v>
      </c>
      <c r="AI137" s="73">
        <f t="shared" si="166"/>
        <v>45.107662972008903</v>
      </c>
      <c r="AJ137" s="15">
        <f t="shared" si="167"/>
        <v>3.8090521427630053</v>
      </c>
      <c r="AK137" s="98">
        <f t="shared" si="168"/>
        <v>1</v>
      </c>
      <c r="AL137" s="128">
        <f>IF(AK137&gt;0,7,0)</f>
        <v>7</v>
      </c>
      <c r="AM137" s="128">
        <f t="shared" si="169"/>
        <v>49</v>
      </c>
      <c r="AN137" s="15">
        <f t="shared" si="170"/>
        <v>26.663364999341038</v>
      </c>
      <c r="AO137" s="127">
        <f t="shared" ca="1" si="171"/>
        <v>3.717381908543667</v>
      </c>
      <c r="AP137" s="127">
        <f t="shared" ca="1" si="198"/>
        <v>41.156501448997759</v>
      </c>
      <c r="AR137" s="121">
        <f t="shared" si="172"/>
        <v>44470</v>
      </c>
      <c r="AS137" s="131">
        <v>0</v>
      </c>
      <c r="AT137" s="15">
        <f t="shared" si="173"/>
        <v>0</v>
      </c>
      <c r="AU137" s="98">
        <f t="shared" si="174"/>
        <v>0</v>
      </c>
      <c r="AV137" s="128">
        <f>IF(AU137&gt;0,7,0)</f>
        <v>0</v>
      </c>
      <c r="AW137" s="128">
        <f t="shared" si="175"/>
        <v>0</v>
      </c>
      <c r="AX137" s="15">
        <f t="shared" si="176"/>
        <v>0</v>
      </c>
      <c r="AY137" s="127">
        <f t="shared" ca="1" si="177"/>
        <v>3.5917042425913404</v>
      </c>
      <c r="AZ137" s="127">
        <f t="shared" ca="1" si="155"/>
        <v>36.295880231733982</v>
      </c>
      <c r="BB137" s="121">
        <f t="shared" si="178"/>
        <v>44470</v>
      </c>
      <c r="BC137" s="131">
        <v>0</v>
      </c>
      <c r="BD137" s="15">
        <f t="shared" si="179"/>
        <v>0</v>
      </c>
      <c r="BE137" s="98">
        <f t="shared" si="180"/>
        <v>0</v>
      </c>
      <c r="BF137" s="128">
        <f>IF(BE137&gt;0,7,0)</f>
        <v>0</v>
      </c>
      <c r="BG137" s="128">
        <f t="shared" si="181"/>
        <v>0</v>
      </c>
      <c r="BH137" s="15">
        <f t="shared" si="182"/>
        <v>0</v>
      </c>
      <c r="BI137" s="127">
        <f t="shared" ca="1" si="183"/>
        <v>3.6568373206354861</v>
      </c>
      <c r="BJ137" s="127">
        <f t="shared" ca="1" si="156"/>
        <v>38.738631055505664</v>
      </c>
      <c r="BL137" s="121">
        <f t="shared" si="184"/>
        <v>44470</v>
      </c>
      <c r="BM137" s="131">
        <v>0</v>
      </c>
      <c r="BN137" s="15">
        <f t="shared" si="185"/>
        <v>0</v>
      </c>
      <c r="BO137" s="98">
        <f t="shared" si="186"/>
        <v>0</v>
      </c>
      <c r="BP137" s="128">
        <f>IF(BO137&gt;0,7,0)</f>
        <v>0</v>
      </c>
      <c r="BQ137" s="128">
        <f t="shared" si="187"/>
        <v>0</v>
      </c>
      <c r="BR137" s="15">
        <f t="shared" si="188"/>
        <v>0</v>
      </c>
      <c r="BS137" s="127">
        <f t="shared" ca="1" si="189"/>
        <v>3.5459584216918016</v>
      </c>
      <c r="BT137" s="127">
        <f t="shared" ca="1" si="157"/>
        <v>34.672900682698888</v>
      </c>
      <c r="BZ137" s="583">
        <f t="shared" si="190"/>
        <v>0</v>
      </c>
      <c r="CA137" s="121">
        <f t="shared" si="191"/>
        <v>44470</v>
      </c>
      <c r="CB137" s="127">
        <f t="shared" si="192"/>
        <v>0</v>
      </c>
      <c r="CC137" s="15">
        <f t="shared" si="193"/>
        <v>0</v>
      </c>
      <c r="CD137" s="98">
        <f t="shared" si="194"/>
        <v>0</v>
      </c>
      <c r="CE137" s="128">
        <f>IF(CD137&gt;0,7,0)</f>
        <v>0</v>
      </c>
      <c r="CF137" s="128">
        <f t="shared" si="195"/>
        <v>0</v>
      </c>
      <c r="CG137" s="15">
        <f t="shared" si="196"/>
        <v>0</v>
      </c>
      <c r="CH137" s="127">
        <f t="shared" ca="1" si="197"/>
        <v>3.6019236849906249</v>
      </c>
      <c r="CI137" s="127">
        <f t="shared" ca="1" si="158"/>
        <v>36.66870567845703</v>
      </c>
    </row>
    <row r="138" spans="24:87" x14ac:dyDescent="0.2">
      <c r="X138" s="121">
        <f t="shared" si="159"/>
        <v>44501</v>
      </c>
      <c r="Y138" s="73">
        <f t="shared" si="159"/>
        <v>47.227304643709218</v>
      </c>
      <c r="Z138" s="15">
        <f t="shared" si="160"/>
        <v>3.8549722135458833</v>
      </c>
      <c r="AA138" s="98">
        <f t="shared" si="161"/>
        <v>1</v>
      </c>
      <c r="AB138" s="128">
        <f>IF(AA138&gt;0,8,0)</f>
        <v>8</v>
      </c>
      <c r="AC138" s="128">
        <f t="shared" si="162"/>
        <v>64</v>
      </c>
      <c r="AD138" s="15">
        <f t="shared" si="163"/>
        <v>30.839777708367066</v>
      </c>
      <c r="AE138" s="127">
        <f t="shared" ca="1" si="164"/>
        <v>3.6983901224695162</v>
      </c>
      <c r="AF138" s="127">
        <f t="shared" ca="1" si="165"/>
        <v>40.382241539248106</v>
      </c>
      <c r="AH138" s="121">
        <f t="shared" si="154"/>
        <v>44501</v>
      </c>
      <c r="AI138" s="73">
        <f t="shared" si="166"/>
        <v>42.336241369951502</v>
      </c>
      <c r="AJ138" s="15">
        <f t="shared" si="167"/>
        <v>3.745643489209554</v>
      </c>
      <c r="AK138" s="98">
        <f t="shared" si="168"/>
        <v>1</v>
      </c>
      <c r="AL138" s="128">
        <f>IF(AK138&gt;0,8,0)</f>
        <v>8</v>
      </c>
      <c r="AM138" s="128">
        <f t="shared" si="169"/>
        <v>64</v>
      </c>
      <c r="AN138" s="15">
        <f t="shared" si="170"/>
        <v>29.965147913676432</v>
      </c>
      <c r="AO138" s="127">
        <f t="shared" ca="1" si="171"/>
        <v>3.717381908543667</v>
      </c>
      <c r="AP138" s="127">
        <f t="shared" ca="1" si="198"/>
        <v>41.156501448997759</v>
      </c>
      <c r="AR138" s="121">
        <f t="shared" si="172"/>
        <v>44501</v>
      </c>
      <c r="AS138" s="131">
        <v>0</v>
      </c>
      <c r="AT138" s="15">
        <f t="shared" si="173"/>
        <v>0</v>
      </c>
      <c r="AU138" s="98">
        <f t="shared" si="174"/>
        <v>0</v>
      </c>
      <c r="AV138" s="128">
        <f>IF(AU138&gt;0,8,0)</f>
        <v>0</v>
      </c>
      <c r="AW138" s="128">
        <f t="shared" si="175"/>
        <v>0</v>
      </c>
      <c r="AX138" s="15">
        <f t="shared" si="176"/>
        <v>0</v>
      </c>
      <c r="AY138" s="127">
        <f t="shared" ca="1" si="177"/>
        <v>3.5917042425913404</v>
      </c>
      <c r="AZ138" s="127">
        <f t="shared" ca="1" si="155"/>
        <v>36.295880231733982</v>
      </c>
      <c r="BB138" s="121">
        <f t="shared" si="178"/>
        <v>44501</v>
      </c>
      <c r="BC138" s="131">
        <v>0</v>
      </c>
      <c r="BD138" s="15">
        <f t="shared" si="179"/>
        <v>0</v>
      </c>
      <c r="BE138" s="98">
        <f t="shared" si="180"/>
        <v>0</v>
      </c>
      <c r="BF138" s="128">
        <f>IF(BE138&gt;0,8,0)</f>
        <v>0</v>
      </c>
      <c r="BG138" s="128">
        <f t="shared" si="181"/>
        <v>0</v>
      </c>
      <c r="BH138" s="15">
        <f t="shared" si="182"/>
        <v>0</v>
      </c>
      <c r="BI138" s="127">
        <f t="shared" ca="1" si="183"/>
        <v>3.6568373206354861</v>
      </c>
      <c r="BJ138" s="127">
        <f t="shared" ca="1" si="156"/>
        <v>38.738631055505664</v>
      </c>
      <c r="BL138" s="121">
        <f t="shared" si="184"/>
        <v>44501</v>
      </c>
      <c r="BM138" s="131">
        <v>0</v>
      </c>
      <c r="BN138" s="15">
        <f t="shared" si="185"/>
        <v>0</v>
      </c>
      <c r="BO138" s="98">
        <f t="shared" si="186"/>
        <v>0</v>
      </c>
      <c r="BP138" s="128">
        <f>IF(BO138&gt;0,8,0)</f>
        <v>0</v>
      </c>
      <c r="BQ138" s="128">
        <f t="shared" si="187"/>
        <v>0</v>
      </c>
      <c r="BR138" s="15">
        <f t="shared" si="188"/>
        <v>0</v>
      </c>
      <c r="BS138" s="127">
        <f t="shared" ca="1" si="189"/>
        <v>3.5459584216918016</v>
      </c>
      <c r="BT138" s="127">
        <f t="shared" ca="1" si="157"/>
        <v>34.672900682698888</v>
      </c>
      <c r="BZ138" s="583">
        <f t="shared" si="190"/>
        <v>0</v>
      </c>
      <c r="CA138" s="121">
        <f t="shared" si="191"/>
        <v>44501</v>
      </c>
      <c r="CB138" s="127">
        <f t="shared" si="192"/>
        <v>0</v>
      </c>
      <c r="CC138" s="15">
        <f t="shared" si="193"/>
        <v>0</v>
      </c>
      <c r="CD138" s="98">
        <f t="shared" si="194"/>
        <v>0</v>
      </c>
      <c r="CE138" s="128">
        <f>IF(CD138&gt;0,8,0)</f>
        <v>0</v>
      </c>
      <c r="CF138" s="128">
        <f t="shared" si="195"/>
        <v>0</v>
      </c>
      <c r="CG138" s="15">
        <f t="shared" si="196"/>
        <v>0</v>
      </c>
      <c r="CH138" s="127">
        <f t="shared" ca="1" si="197"/>
        <v>3.6019236849906249</v>
      </c>
      <c r="CI138" s="127">
        <f t="shared" ca="1" si="158"/>
        <v>36.66870567845703</v>
      </c>
    </row>
    <row r="139" spans="24:87" x14ac:dyDescent="0.2">
      <c r="X139" s="121">
        <f t="shared" si="159"/>
        <v>44531</v>
      </c>
      <c r="Y139" s="73">
        <f t="shared" si="159"/>
        <v>48.96810775013158</v>
      </c>
      <c r="Z139" s="15">
        <f t="shared" si="160"/>
        <v>3.8911692239656333</v>
      </c>
      <c r="AA139" s="98">
        <f t="shared" si="161"/>
        <v>1</v>
      </c>
      <c r="AB139" s="128">
        <f>IF(AA139&gt;0,9,0)</f>
        <v>9</v>
      </c>
      <c r="AC139" s="128">
        <f t="shared" si="162"/>
        <v>81</v>
      </c>
      <c r="AD139" s="15">
        <f t="shared" si="163"/>
        <v>35.020523015690699</v>
      </c>
      <c r="AE139" s="127">
        <f t="shared" ca="1" si="164"/>
        <v>3.6983901224695162</v>
      </c>
      <c r="AF139" s="127">
        <f t="shared" ca="1" si="165"/>
        <v>40.382241539248106</v>
      </c>
      <c r="AH139" s="121">
        <f t="shared" si="154"/>
        <v>44531</v>
      </c>
      <c r="AI139" s="73">
        <f t="shared" si="166"/>
        <v>41.137631121262963</v>
      </c>
      <c r="AJ139" s="15">
        <f t="shared" si="167"/>
        <v>3.7169233016545449</v>
      </c>
      <c r="AK139" s="98">
        <f t="shared" si="168"/>
        <v>1</v>
      </c>
      <c r="AL139" s="128">
        <f>IF(AK139&gt;0,9,0)</f>
        <v>9</v>
      </c>
      <c r="AM139" s="128">
        <f t="shared" si="169"/>
        <v>81</v>
      </c>
      <c r="AN139" s="15">
        <f t="shared" si="170"/>
        <v>33.452309714890902</v>
      </c>
      <c r="AO139" s="127">
        <f t="shared" ca="1" si="171"/>
        <v>3.717381908543667</v>
      </c>
      <c r="AP139" s="127">
        <f t="shared" ca="1" si="198"/>
        <v>41.156501448997759</v>
      </c>
      <c r="AR139" s="121">
        <f t="shared" si="172"/>
        <v>44531</v>
      </c>
      <c r="AS139" s="131">
        <v>0</v>
      </c>
      <c r="AT139" s="15">
        <f t="shared" si="173"/>
        <v>0</v>
      </c>
      <c r="AU139" s="98">
        <f t="shared" si="174"/>
        <v>0</v>
      </c>
      <c r="AV139" s="128">
        <f>IF(AU139&gt;0,9,0)</f>
        <v>0</v>
      </c>
      <c r="AW139" s="128">
        <f t="shared" si="175"/>
        <v>0</v>
      </c>
      <c r="AX139" s="15">
        <f t="shared" si="176"/>
        <v>0</v>
      </c>
      <c r="AY139" s="127">
        <f t="shared" ca="1" si="177"/>
        <v>3.5917042425913404</v>
      </c>
      <c r="AZ139" s="127">
        <f t="shared" ca="1" si="155"/>
        <v>36.295880231733982</v>
      </c>
      <c r="BB139" s="121">
        <f t="shared" si="178"/>
        <v>44531</v>
      </c>
      <c r="BC139" s="131">
        <v>0</v>
      </c>
      <c r="BD139" s="15">
        <f t="shared" si="179"/>
        <v>0</v>
      </c>
      <c r="BE139" s="98">
        <f t="shared" si="180"/>
        <v>0</v>
      </c>
      <c r="BF139" s="128">
        <f>IF(BE139&gt;0,9,0)</f>
        <v>0</v>
      </c>
      <c r="BG139" s="128">
        <f t="shared" si="181"/>
        <v>0</v>
      </c>
      <c r="BH139" s="15">
        <f t="shared" si="182"/>
        <v>0</v>
      </c>
      <c r="BI139" s="127">
        <f t="shared" ca="1" si="183"/>
        <v>3.6568373206354861</v>
      </c>
      <c r="BJ139" s="127">
        <f t="shared" ca="1" si="156"/>
        <v>38.738631055505664</v>
      </c>
      <c r="BL139" s="121">
        <f t="shared" si="184"/>
        <v>44531</v>
      </c>
      <c r="BM139" s="131">
        <v>0</v>
      </c>
      <c r="BN139" s="15">
        <f t="shared" si="185"/>
        <v>0</v>
      </c>
      <c r="BO139" s="98">
        <f t="shared" si="186"/>
        <v>0</v>
      </c>
      <c r="BP139" s="128">
        <f>IF(BO139&gt;0,9,0)</f>
        <v>0</v>
      </c>
      <c r="BQ139" s="128">
        <f t="shared" si="187"/>
        <v>0</v>
      </c>
      <c r="BR139" s="15">
        <f t="shared" si="188"/>
        <v>0</v>
      </c>
      <c r="BS139" s="127">
        <f t="shared" ca="1" si="189"/>
        <v>3.5459584216918016</v>
      </c>
      <c r="BT139" s="127">
        <f t="shared" ca="1" si="157"/>
        <v>34.672900682698888</v>
      </c>
      <c r="BZ139" s="583">
        <f t="shared" si="190"/>
        <v>0</v>
      </c>
      <c r="CA139" s="121">
        <f t="shared" si="191"/>
        <v>44531</v>
      </c>
      <c r="CB139" s="127">
        <f t="shared" si="192"/>
        <v>0</v>
      </c>
      <c r="CC139" s="15">
        <f t="shared" si="193"/>
        <v>0</v>
      </c>
      <c r="CD139" s="98">
        <f t="shared" si="194"/>
        <v>0</v>
      </c>
      <c r="CE139" s="128">
        <f>IF(CD139&gt;0,9,0)</f>
        <v>0</v>
      </c>
      <c r="CF139" s="128">
        <f t="shared" si="195"/>
        <v>0</v>
      </c>
      <c r="CG139" s="15">
        <f t="shared" si="196"/>
        <v>0</v>
      </c>
      <c r="CH139" s="127">
        <f t="shared" ca="1" si="197"/>
        <v>3.6019236849906249</v>
      </c>
      <c r="CI139" s="127">
        <f t="shared" ca="1" si="158"/>
        <v>36.66870567845703</v>
      </c>
    </row>
    <row r="140" spans="24:87" x14ac:dyDescent="0.2">
      <c r="X140" s="121">
        <f t="shared" si="159"/>
        <v>44562</v>
      </c>
      <c r="Y140" s="73">
        <f t="shared" si="159"/>
        <v>32.792024176098245</v>
      </c>
      <c r="Z140" s="15">
        <f t="shared" si="160"/>
        <v>3.4901853204577491</v>
      </c>
      <c r="AA140" s="98">
        <f t="shared" si="161"/>
        <v>1</v>
      </c>
      <c r="AB140" s="128">
        <f>IF(AA140&gt;0,10,0)</f>
        <v>10</v>
      </c>
      <c r="AC140" s="128">
        <f t="shared" si="162"/>
        <v>100</v>
      </c>
      <c r="AD140" s="15">
        <f t="shared" si="163"/>
        <v>34.901853204577492</v>
      </c>
      <c r="AE140" s="127">
        <f t="shared" ca="1" si="164"/>
        <v>3.6983901224695162</v>
      </c>
      <c r="AF140" s="127">
        <f t="shared" ca="1" si="165"/>
        <v>40.382241539248106</v>
      </c>
      <c r="AH140" s="121">
        <f t="shared" si="154"/>
        <v>44562</v>
      </c>
      <c r="AI140" s="73">
        <f t="shared" si="166"/>
        <v>39.443743177339329</v>
      </c>
      <c r="AJ140" s="15">
        <f t="shared" si="167"/>
        <v>3.6748754333784901</v>
      </c>
      <c r="AK140" s="98">
        <f t="shared" si="168"/>
        <v>1</v>
      </c>
      <c r="AL140" s="128">
        <f>IF(AK140&gt;0,10,0)</f>
        <v>10</v>
      </c>
      <c r="AM140" s="128">
        <f t="shared" si="169"/>
        <v>100</v>
      </c>
      <c r="AN140" s="15">
        <f t="shared" si="170"/>
        <v>36.748754333784902</v>
      </c>
      <c r="AO140" s="127">
        <f t="shared" ca="1" si="171"/>
        <v>3.717381908543667</v>
      </c>
      <c r="AP140" s="127">
        <f t="shared" ca="1" si="198"/>
        <v>41.156501448997759</v>
      </c>
      <c r="AR140" s="121">
        <f t="shared" si="172"/>
        <v>44562</v>
      </c>
      <c r="AS140" s="131">
        <v>0</v>
      </c>
      <c r="AT140" s="15">
        <f t="shared" si="173"/>
        <v>0</v>
      </c>
      <c r="AU140" s="98">
        <f t="shared" si="174"/>
        <v>0</v>
      </c>
      <c r="AV140" s="128">
        <f>IF(AU140&gt;0,10,0)</f>
        <v>0</v>
      </c>
      <c r="AW140" s="128">
        <f t="shared" si="175"/>
        <v>0</v>
      </c>
      <c r="AX140" s="15">
        <f t="shared" si="176"/>
        <v>0</v>
      </c>
      <c r="AY140" s="127">
        <f t="shared" ca="1" si="177"/>
        <v>3.5917042425913404</v>
      </c>
      <c r="AZ140" s="127">
        <f t="shared" ca="1" si="155"/>
        <v>36.295880231733982</v>
      </c>
      <c r="BB140" s="121">
        <f t="shared" si="178"/>
        <v>44562</v>
      </c>
      <c r="BC140" s="131">
        <v>0</v>
      </c>
      <c r="BD140" s="15">
        <f t="shared" si="179"/>
        <v>0</v>
      </c>
      <c r="BE140" s="98">
        <f t="shared" si="180"/>
        <v>0</v>
      </c>
      <c r="BF140" s="128">
        <f>IF(BE140&gt;0,10,0)</f>
        <v>0</v>
      </c>
      <c r="BG140" s="128">
        <f t="shared" si="181"/>
        <v>0</v>
      </c>
      <c r="BH140" s="15">
        <f t="shared" si="182"/>
        <v>0</v>
      </c>
      <c r="BI140" s="127">
        <f t="shared" ca="1" si="183"/>
        <v>3.6568373206354861</v>
      </c>
      <c r="BJ140" s="127">
        <f t="shared" ca="1" si="156"/>
        <v>38.738631055505664</v>
      </c>
      <c r="BL140" s="121">
        <f t="shared" si="184"/>
        <v>44562</v>
      </c>
      <c r="BM140" s="131">
        <v>0</v>
      </c>
      <c r="BN140" s="15">
        <f t="shared" si="185"/>
        <v>0</v>
      </c>
      <c r="BO140" s="98">
        <f t="shared" si="186"/>
        <v>0</v>
      </c>
      <c r="BP140" s="128">
        <f>IF(BO140&gt;0,10,0)</f>
        <v>0</v>
      </c>
      <c r="BQ140" s="128">
        <f t="shared" si="187"/>
        <v>0</v>
      </c>
      <c r="BR140" s="15">
        <f t="shared" si="188"/>
        <v>0</v>
      </c>
      <c r="BS140" s="127">
        <f t="shared" ca="1" si="189"/>
        <v>3.5459584216918016</v>
      </c>
      <c r="BT140" s="127">
        <f t="shared" ca="1" si="157"/>
        <v>34.672900682698888</v>
      </c>
      <c r="BZ140" s="583">
        <f t="shared" si="190"/>
        <v>0</v>
      </c>
      <c r="CA140" s="121">
        <f t="shared" si="191"/>
        <v>44562</v>
      </c>
      <c r="CB140" s="127">
        <f t="shared" si="192"/>
        <v>0</v>
      </c>
      <c r="CC140" s="15">
        <f t="shared" si="193"/>
        <v>0</v>
      </c>
      <c r="CD140" s="98">
        <f t="shared" si="194"/>
        <v>0</v>
      </c>
      <c r="CE140" s="128">
        <f>IF(CD140&gt;0,10,0)</f>
        <v>0</v>
      </c>
      <c r="CF140" s="128">
        <f t="shared" si="195"/>
        <v>0</v>
      </c>
      <c r="CG140" s="15">
        <f t="shared" si="196"/>
        <v>0</v>
      </c>
      <c r="CH140" s="127">
        <f t="shared" ca="1" si="197"/>
        <v>3.6019236849906249</v>
      </c>
      <c r="CI140" s="127">
        <f t="shared" ca="1" si="158"/>
        <v>36.66870567845703</v>
      </c>
    </row>
    <row r="141" spans="24:87" x14ac:dyDescent="0.2">
      <c r="X141" s="121">
        <f t="shared" si="159"/>
        <v>44593</v>
      </c>
      <c r="Y141" s="73">
        <f t="shared" si="159"/>
        <v>31.17009535145916</v>
      </c>
      <c r="Z141" s="15">
        <f t="shared" si="160"/>
        <v>3.4394591528524994</v>
      </c>
      <c r="AA141" s="98">
        <f t="shared" si="161"/>
        <v>1</v>
      </c>
      <c r="AB141" s="128">
        <f>IF(AA141&gt;0,11,0)</f>
        <v>11</v>
      </c>
      <c r="AC141" s="128">
        <f t="shared" si="162"/>
        <v>121</v>
      </c>
      <c r="AD141" s="15">
        <f t="shared" si="163"/>
        <v>37.834050681377491</v>
      </c>
      <c r="AE141" s="127">
        <f t="shared" ca="1" si="164"/>
        <v>3.6983901224695162</v>
      </c>
      <c r="AF141" s="127">
        <f t="shared" ca="1" si="165"/>
        <v>40.382241539248106</v>
      </c>
      <c r="AH141" s="121">
        <f t="shared" si="154"/>
        <v>44593</v>
      </c>
      <c r="AI141" s="73">
        <f t="shared" si="166"/>
        <v>38.10935860967416</v>
      </c>
      <c r="AJ141" s="15">
        <f t="shared" si="167"/>
        <v>3.6404598847697049</v>
      </c>
      <c r="AK141" s="98">
        <f t="shared" si="168"/>
        <v>1</v>
      </c>
      <c r="AL141" s="128">
        <f>IF(AK141&gt;0,11,0)</f>
        <v>11</v>
      </c>
      <c r="AM141" s="128">
        <f t="shared" si="169"/>
        <v>121</v>
      </c>
      <c r="AN141" s="15">
        <f t="shared" si="170"/>
        <v>40.045058732466757</v>
      </c>
      <c r="AO141" s="127">
        <f t="shared" ca="1" si="171"/>
        <v>3.717381908543667</v>
      </c>
      <c r="AP141" s="127">
        <f t="shared" ca="1" si="198"/>
        <v>41.156501448997759</v>
      </c>
      <c r="AR141" s="121">
        <f t="shared" si="172"/>
        <v>44593</v>
      </c>
      <c r="AS141" s="73">
        <f>+AI141</f>
        <v>38.10935860967416</v>
      </c>
      <c r="AT141" s="15">
        <f t="shared" si="173"/>
        <v>3.6404598847697049</v>
      </c>
      <c r="AU141" s="98">
        <f t="shared" si="174"/>
        <v>1</v>
      </c>
      <c r="AV141" s="128">
        <f>IF(AU141&gt;0,11,0)</f>
        <v>11</v>
      </c>
      <c r="AW141" s="128">
        <f t="shared" si="175"/>
        <v>121</v>
      </c>
      <c r="AX141" s="15">
        <f t="shared" si="176"/>
        <v>40.045058732466757</v>
      </c>
      <c r="AY141" s="127">
        <f t="shared" ca="1" si="177"/>
        <v>3.5917042425913404</v>
      </c>
      <c r="AZ141" s="127">
        <f t="shared" ca="1" si="155"/>
        <v>36.295880231733982</v>
      </c>
      <c r="BB141" s="121">
        <f t="shared" si="178"/>
        <v>44593</v>
      </c>
      <c r="BC141" s="131">
        <v>0</v>
      </c>
      <c r="BD141" s="15">
        <f t="shared" si="179"/>
        <v>0</v>
      </c>
      <c r="BE141" s="98">
        <f t="shared" si="180"/>
        <v>0</v>
      </c>
      <c r="BF141" s="128">
        <f>IF(BE141&gt;0,11,0)</f>
        <v>0</v>
      </c>
      <c r="BG141" s="128">
        <f t="shared" si="181"/>
        <v>0</v>
      </c>
      <c r="BH141" s="15">
        <f t="shared" si="182"/>
        <v>0</v>
      </c>
      <c r="BI141" s="127">
        <f t="shared" ca="1" si="183"/>
        <v>3.6568373206354861</v>
      </c>
      <c r="BJ141" s="127">
        <f t="shared" ca="1" si="156"/>
        <v>38.738631055505664</v>
      </c>
      <c r="BL141" s="121">
        <f t="shared" si="184"/>
        <v>44593</v>
      </c>
      <c r="BM141" s="131">
        <v>0</v>
      </c>
      <c r="BN141" s="15">
        <f t="shared" si="185"/>
        <v>0</v>
      </c>
      <c r="BO141" s="98">
        <f t="shared" si="186"/>
        <v>0</v>
      </c>
      <c r="BP141" s="128">
        <f>IF(BO141&gt;0,11,0)</f>
        <v>0</v>
      </c>
      <c r="BQ141" s="128">
        <f t="shared" si="187"/>
        <v>0</v>
      </c>
      <c r="BR141" s="15">
        <f t="shared" si="188"/>
        <v>0</v>
      </c>
      <c r="BS141" s="127">
        <f t="shared" ca="1" si="189"/>
        <v>3.5459584216918016</v>
      </c>
      <c r="BT141" s="127">
        <f t="shared" ca="1" si="157"/>
        <v>34.672900682698888</v>
      </c>
      <c r="BZ141" s="583">
        <f t="shared" si="190"/>
        <v>0</v>
      </c>
      <c r="CA141" s="121">
        <f t="shared" si="191"/>
        <v>44593</v>
      </c>
      <c r="CB141" s="127">
        <f t="shared" si="192"/>
        <v>0</v>
      </c>
      <c r="CC141" s="15">
        <f t="shared" si="193"/>
        <v>0</v>
      </c>
      <c r="CD141" s="98">
        <f t="shared" si="194"/>
        <v>0</v>
      </c>
      <c r="CE141" s="128">
        <f>IF(CD141&gt;0,11,0)</f>
        <v>0</v>
      </c>
      <c r="CF141" s="128">
        <f t="shared" si="195"/>
        <v>0</v>
      </c>
      <c r="CG141" s="15">
        <f t="shared" si="196"/>
        <v>0</v>
      </c>
      <c r="CH141" s="127">
        <f t="shared" ca="1" si="197"/>
        <v>3.6019236849906249</v>
      </c>
      <c r="CI141" s="127">
        <f t="shared" ca="1" si="158"/>
        <v>36.66870567845703</v>
      </c>
    </row>
    <row r="142" spans="24:87" x14ac:dyDescent="0.2">
      <c r="X142" s="121">
        <f t="shared" si="159"/>
        <v>44621</v>
      </c>
      <c r="Y142" s="73">
        <f t="shared" si="159"/>
        <v>39.046129236548509</v>
      </c>
      <c r="Z142" s="15">
        <f t="shared" si="160"/>
        <v>3.6647437481088572</v>
      </c>
      <c r="AA142" s="98">
        <f t="shared" si="161"/>
        <v>1</v>
      </c>
      <c r="AB142" s="128">
        <f>IF(AA142&gt;0,12,0)</f>
        <v>12</v>
      </c>
      <c r="AC142" s="128">
        <f t="shared" si="162"/>
        <v>144</v>
      </c>
      <c r="AD142" s="15">
        <f t="shared" si="163"/>
        <v>43.976924977306282</v>
      </c>
      <c r="AE142" s="127">
        <f t="shared" ca="1" si="164"/>
        <v>3.6983901224695162</v>
      </c>
      <c r="AF142" s="127">
        <f t="shared" ca="1" si="165"/>
        <v>40.382241539248106</v>
      </c>
      <c r="AH142" s="121">
        <f t="shared" si="154"/>
        <v>44621</v>
      </c>
      <c r="AI142" s="73">
        <f t="shared" si="166"/>
        <v>36.512545900430929</v>
      </c>
      <c r="AJ142" s="15">
        <f t="shared" si="167"/>
        <v>3.5976559248286031</v>
      </c>
      <c r="AK142" s="98">
        <f t="shared" si="168"/>
        <v>1</v>
      </c>
      <c r="AL142" s="128">
        <f>IF(AK142&gt;0,12,0)</f>
        <v>12</v>
      </c>
      <c r="AM142" s="128">
        <f t="shared" si="169"/>
        <v>144</v>
      </c>
      <c r="AN142" s="15">
        <f t="shared" si="170"/>
        <v>43.171871097943239</v>
      </c>
      <c r="AO142" s="127">
        <f t="shared" ca="1" si="171"/>
        <v>3.717381908543667</v>
      </c>
      <c r="AP142" s="127">
        <f t="shared" ca="1" si="198"/>
        <v>41.156501448997759</v>
      </c>
      <c r="AR142" s="121">
        <f t="shared" si="172"/>
        <v>44621</v>
      </c>
      <c r="AS142" s="73">
        <f t="shared" ref="AS142:AS164" si="199">+AI142</f>
        <v>36.512545900430929</v>
      </c>
      <c r="AT142" s="15">
        <f t="shared" si="173"/>
        <v>3.5976559248286031</v>
      </c>
      <c r="AU142" s="98">
        <f t="shared" si="174"/>
        <v>1</v>
      </c>
      <c r="AV142" s="128">
        <f>IF(AU142&gt;0,12,0)</f>
        <v>12</v>
      </c>
      <c r="AW142" s="128">
        <f t="shared" si="175"/>
        <v>144</v>
      </c>
      <c r="AX142" s="15">
        <f t="shared" si="176"/>
        <v>43.171871097943239</v>
      </c>
      <c r="AY142" s="127">
        <f t="shared" ca="1" si="177"/>
        <v>3.5917042425913404</v>
      </c>
      <c r="AZ142" s="127">
        <f t="shared" ca="1" si="155"/>
        <v>36.295880231733982</v>
      </c>
      <c r="BB142" s="121">
        <f t="shared" si="178"/>
        <v>44621</v>
      </c>
      <c r="BC142" s="131">
        <v>0</v>
      </c>
      <c r="BD142" s="15">
        <f t="shared" si="179"/>
        <v>0</v>
      </c>
      <c r="BE142" s="98">
        <f t="shared" si="180"/>
        <v>0</v>
      </c>
      <c r="BF142" s="128">
        <f>IF(BE142&gt;0,12,0)</f>
        <v>0</v>
      </c>
      <c r="BG142" s="128">
        <f t="shared" si="181"/>
        <v>0</v>
      </c>
      <c r="BH142" s="15">
        <f t="shared" si="182"/>
        <v>0</v>
      </c>
      <c r="BI142" s="127">
        <f t="shared" ca="1" si="183"/>
        <v>3.6568373206354861</v>
      </c>
      <c r="BJ142" s="127">
        <f t="shared" ca="1" si="156"/>
        <v>38.738631055505664</v>
      </c>
      <c r="BL142" s="121">
        <f t="shared" si="184"/>
        <v>44621</v>
      </c>
      <c r="BM142" s="131">
        <v>0</v>
      </c>
      <c r="BN142" s="15">
        <f t="shared" si="185"/>
        <v>0</v>
      </c>
      <c r="BO142" s="98">
        <f t="shared" si="186"/>
        <v>0</v>
      </c>
      <c r="BP142" s="128">
        <f>IF(BO142&gt;0,12,0)</f>
        <v>0</v>
      </c>
      <c r="BQ142" s="128">
        <f t="shared" si="187"/>
        <v>0</v>
      </c>
      <c r="BR142" s="15">
        <f t="shared" si="188"/>
        <v>0</v>
      </c>
      <c r="BS142" s="127">
        <f t="shared" ca="1" si="189"/>
        <v>3.5459584216918016</v>
      </c>
      <c r="BT142" s="127">
        <f t="shared" ca="1" si="157"/>
        <v>34.672900682698888</v>
      </c>
      <c r="BZ142" s="583">
        <f t="shared" si="190"/>
        <v>1</v>
      </c>
      <c r="CA142" s="121">
        <f t="shared" si="191"/>
        <v>44621</v>
      </c>
      <c r="CB142" s="127">
        <f t="shared" si="192"/>
        <v>36.512545900430929</v>
      </c>
      <c r="CC142" s="15">
        <f t="shared" si="193"/>
        <v>3.5976559248286031</v>
      </c>
      <c r="CD142" s="98">
        <f t="shared" si="194"/>
        <v>1</v>
      </c>
      <c r="CE142" s="128">
        <f>IF(CD142&gt;0,12,0)</f>
        <v>12</v>
      </c>
      <c r="CF142" s="128">
        <f t="shared" si="195"/>
        <v>144</v>
      </c>
      <c r="CG142" s="15">
        <f t="shared" si="196"/>
        <v>43.171871097943239</v>
      </c>
      <c r="CH142" s="127">
        <f t="shared" ca="1" si="197"/>
        <v>3.6019236849906249</v>
      </c>
      <c r="CI142" s="127">
        <f t="shared" ca="1" si="158"/>
        <v>36.66870567845703</v>
      </c>
    </row>
    <row r="143" spans="24:87" x14ac:dyDescent="0.2">
      <c r="X143" s="121">
        <f t="shared" si="159"/>
        <v>44652</v>
      </c>
      <c r="Y143" s="73">
        <f t="shared" si="159"/>
        <v>37.458797906089245</v>
      </c>
      <c r="Z143" s="15">
        <f t="shared" si="160"/>
        <v>3.6232416064340205</v>
      </c>
      <c r="AA143" s="98">
        <f t="shared" si="161"/>
        <v>1</v>
      </c>
      <c r="AB143" s="128">
        <f>IF(AA143&gt;0,13,0)</f>
        <v>13</v>
      </c>
      <c r="AC143" s="128">
        <f t="shared" si="162"/>
        <v>169</v>
      </c>
      <c r="AD143" s="15">
        <f t="shared" si="163"/>
        <v>47.102140883642264</v>
      </c>
      <c r="AE143" s="127">
        <f t="shared" ca="1" si="164"/>
        <v>3.6983901224695162</v>
      </c>
      <c r="AF143" s="127">
        <f t="shared" ca="1" si="165"/>
        <v>40.382241539248106</v>
      </c>
      <c r="AH143" s="121">
        <f t="shared" si="154"/>
        <v>44652</v>
      </c>
      <c r="AI143" s="73">
        <f t="shared" si="166"/>
        <v>37.378242455124273</v>
      </c>
      <c r="AJ143" s="15">
        <f t="shared" si="167"/>
        <v>3.621088782600038</v>
      </c>
      <c r="AK143" s="98">
        <f t="shared" si="168"/>
        <v>1</v>
      </c>
      <c r="AL143" s="128">
        <f>IF(AK143&gt;0,13,0)</f>
        <v>13</v>
      </c>
      <c r="AM143" s="128">
        <f t="shared" si="169"/>
        <v>169</v>
      </c>
      <c r="AN143" s="15">
        <f t="shared" si="170"/>
        <v>47.074154173800494</v>
      </c>
      <c r="AO143" s="127">
        <f t="shared" ca="1" si="171"/>
        <v>3.717381908543667</v>
      </c>
      <c r="AP143" s="127">
        <f t="shared" ca="1" si="198"/>
        <v>41.156501448997759</v>
      </c>
      <c r="AR143" s="121">
        <f t="shared" si="172"/>
        <v>44652</v>
      </c>
      <c r="AS143" s="73">
        <f>+AI143</f>
        <v>37.378242455124273</v>
      </c>
      <c r="AT143" s="15">
        <f t="shared" si="173"/>
        <v>3.621088782600038</v>
      </c>
      <c r="AU143" s="98">
        <f t="shared" si="174"/>
        <v>1</v>
      </c>
      <c r="AV143" s="128">
        <f>IF(AU143&gt;0,13,0)</f>
        <v>13</v>
      </c>
      <c r="AW143" s="128">
        <f t="shared" si="175"/>
        <v>169</v>
      </c>
      <c r="AX143" s="15">
        <f t="shared" si="176"/>
        <v>47.074154173800494</v>
      </c>
      <c r="AY143" s="127">
        <f t="shared" ca="1" si="177"/>
        <v>3.5917042425913404</v>
      </c>
      <c r="AZ143" s="127">
        <f t="shared" ca="1" si="155"/>
        <v>36.295880231733982</v>
      </c>
      <c r="BB143" s="121">
        <f t="shared" si="178"/>
        <v>44652</v>
      </c>
      <c r="BC143" s="131">
        <v>0</v>
      </c>
      <c r="BD143" s="15">
        <f t="shared" si="179"/>
        <v>0</v>
      </c>
      <c r="BE143" s="98">
        <f t="shared" si="180"/>
        <v>0</v>
      </c>
      <c r="BF143" s="128">
        <f>IF(BE143&gt;0,13,0)</f>
        <v>0</v>
      </c>
      <c r="BG143" s="128">
        <f t="shared" si="181"/>
        <v>0</v>
      </c>
      <c r="BH143" s="15">
        <f t="shared" si="182"/>
        <v>0</v>
      </c>
      <c r="BI143" s="127">
        <f t="shared" ca="1" si="183"/>
        <v>3.6568373206354861</v>
      </c>
      <c r="BJ143" s="127">
        <f t="shared" ca="1" si="156"/>
        <v>38.738631055505664</v>
      </c>
      <c r="BL143" s="121">
        <f t="shared" si="184"/>
        <v>44652</v>
      </c>
      <c r="BM143" s="131">
        <v>0</v>
      </c>
      <c r="BN143" s="15">
        <f t="shared" si="185"/>
        <v>0</v>
      </c>
      <c r="BO143" s="98">
        <f t="shared" si="186"/>
        <v>0</v>
      </c>
      <c r="BP143" s="128">
        <f>IF(BO143&gt;0,13,0)</f>
        <v>0</v>
      </c>
      <c r="BQ143" s="128">
        <f t="shared" si="187"/>
        <v>0</v>
      </c>
      <c r="BR143" s="15">
        <f t="shared" si="188"/>
        <v>0</v>
      </c>
      <c r="BS143" s="127">
        <f t="shared" ca="1" si="189"/>
        <v>3.5459584216918016</v>
      </c>
      <c r="BT143" s="127">
        <f t="shared" ca="1" si="157"/>
        <v>34.672900682698888</v>
      </c>
      <c r="BZ143" s="583">
        <f t="shared" si="190"/>
        <v>1</v>
      </c>
      <c r="CA143" s="121">
        <f t="shared" si="191"/>
        <v>44652</v>
      </c>
      <c r="CB143" s="127">
        <f t="shared" si="192"/>
        <v>37.378242455124273</v>
      </c>
      <c r="CC143" s="15">
        <f t="shared" si="193"/>
        <v>3.621088782600038</v>
      </c>
      <c r="CD143" s="98">
        <f t="shared" si="194"/>
        <v>1</v>
      </c>
      <c r="CE143" s="128">
        <f>IF(CD143&gt;0,13,0)</f>
        <v>13</v>
      </c>
      <c r="CF143" s="128">
        <f t="shared" si="195"/>
        <v>169</v>
      </c>
      <c r="CG143" s="15">
        <f t="shared" si="196"/>
        <v>47.074154173800494</v>
      </c>
      <c r="CH143" s="127">
        <f t="shared" ca="1" si="197"/>
        <v>3.6019236849906249</v>
      </c>
      <c r="CI143" s="127">
        <f t="shared" ca="1" si="158"/>
        <v>36.66870567845703</v>
      </c>
    </row>
    <row r="144" spans="24:87" x14ac:dyDescent="0.2">
      <c r="X144" s="121">
        <f t="shared" si="159"/>
        <v>44682</v>
      </c>
      <c r="Y144" s="73">
        <f t="shared" si="159"/>
        <v>39.220997237718201</v>
      </c>
      <c r="Z144" s="15">
        <f t="shared" si="160"/>
        <v>3.6692122472098156</v>
      </c>
      <c r="AA144" s="98">
        <f t="shared" si="161"/>
        <v>1</v>
      </c>
      <c r="AB144" s="128">
        <f>IF(AA144&gt;0,14,0)</f>
        <v>14</v>
      </c>
      <c r="AC144" s="128">
        <f t="shared" si="162"/>
        <v>196</v>
      </c>
      <c r="AD144" s="15">
        <f t="shared" si="163"/>
        <v>51.368971460937416</v>
      </c>
      <c r="AE144" s="127">
        <f t="shared" ca="1" si="164"/>
        <v>3.6983901224695162</v>
      </c>
      <c r="AF144" s="127">
        <f t="shared" ca="1" si="165"/>
        <v>40.382241539248106</v>
      </c>
      <c r="AH144" s="121">
        <f t="shared" si="154"/>
        <v>44682</v>
      </c>
      <c r="AI144" s="73">
        <f t="shared" si="166"/>
        <v>39.635451324897012</v>
      </c>
      <c r="AJ144" s="15">
        <f t="shared" si="167"/>
        <v>3.6797239532533528</v>
      </c>
      <c r="AK144" s="98">
        <f t="shared" si="168"/>
        <v>1</v>
      </c>
      <c r="AL144" s="128">
        <f>IF(AK144&gt;0,14,0)</f>
        <v>14</v>
      </c>
      <c r="AM144" s="128">
        <f t="shared" si="169"/>
        <v>196</v>
      </c>
      <c r="AN144" s="15">
        <f t="shared" si="170"/>
        <v>51.516135345546942</v>
      </c>
      <c r="AO144" s="127">
        <f t="shared" ca="1" si="171"/>
        <v>3.717381908543667</v>
      </c>
      <c r="AP144" s="127">
        <f t="shared" ca="1" si="198"/>
        <v>41.156501448997759</v>
      </c>
      <c r="AR144" s="121">
        <f t="shared" si="172"/>
        <v>44682</v>
      </c>
      <c r="AS144" s="73">
        <f t="shared" si="199"/>
        <v>39.635451324897012</v>
      </c>
      <c r="AT144" s="15">
        <f t="shared" si="173"/>
        <v>3.6797239532533528</v>
      </c>
      <c r="AU144" s="98">
        <f t="shared" si="174"/>
        <v>1</v>
      </c>
      <c r="AV144" s="128">
        <f>IF(AU144&gt;0,14,0)</f>
        <v>14</v>
      </c>
      <c r="AW144" s="128">
        <f t="shared" si="175"/>
        <v>196</v>
      </c>
      <c r="AX144" s="15">
        <f t="shared" si="176"/>
        <v>51.516135345546942</v>
      </c>
      <c r="AY144" s="127">
        <f t="shared" ca="1" si="177"/>
        <v>3.5917042425913404</v>
      </c>
      <c r="AZ144" s="127">
        <f t="shared" ca="1" si="155"/>
        <v>36.295880231733982</v>
      </c>
      <c r="BB144" s="121">
        <f t="shared" si="178"/>
        <v>44682</v>
      </c>
      <c r="BC144" s="131">
        <v>0</v>
      </c>
      <c r="BD144" s="15">
        <f t="shared" si="179"/>
        <v>0</v>
      </c>
      <c r="BE144" s="98">
        <f t="shared" si="180"/>
        <v>0</v>
      </c>
      <c r="BF144" s="128">
        <f>IF(BE144&gt;0,14,0)</f>
        <v>0</v>
      </c>
      <c r="BG144" s="128">
        <f t="shared" si="181"/>
        <v>0</v>
      </c>
      <c r="BH144" s="15">
        <f t="shared" si="182"/>
        <v>0</v>
      </c>
      <c r="BI144" s="127">
        <f t="shared" ca="1" si="183"/>
        <v>3.6568373206354861</v>
      </c>
      <c r="BJ144" s="127">
        <f t="shared" ca="1" si="156"/>
        <v>38.738631055505664</v>
      </c>
      <c r="BL144" s="121">
        <f t="shared" si="184"/>
        <v>44682</v>
      </c>
      <c r="BM144" s="131">
        <v>0</v>
      </c>
      <c r="BN144" s="15">
        <f t="shared" si="185"/>
        <v>0</v>
      </c>
      <c r="BO144" s="98">
        <f t="shared" si="186"/>
        <v>0</v>
      </c>
      <c r="BP144" s="128">
        <f>IF(BO144&gt;0,14,0)</f>
        <v>0</v>
      </c>
      <c r="BQ144" s="128">
        <f t="shared" si="187"/>
        <v>0</v>
      </c>
      <c r="BR144" s="15">
        <f t="shared" si="188"/>
        <v>0</v>
      </c>
      <c r="BS144" s="127">
        <f t="shared" ca="1" si="189"/>
        <v>3.5459584216918016</v>
      </c>
      <c r="BT144" s="127">
        <f t="shared" ca="1" si="157"/>
        <v>34.672900682698888</v>
      </c>
      <c r="BZ144" s="583">
        <f t="shared" si="190"/>
        <v>1</v>
      </c>
      <c r="CA144" s="121">
        <f t="shared" si="191"/>
        <v>44682</v>
      </c>
      <c r="CB144" s="127">
        <f t="shared" si="192"/>
        <v>39.635451324897012</v>
      </c>
      <c r="CC144" s="15">
        <f t="shared" si="193"/>
        <v>3.6797239532533528</v>
      </c>
      <c r="CD144" s="98">
        <f t="shared" si="194"/>
        <v>1</v>
      </c>
      <c r="CE144" s="128">
        <f>IF(CD144&gt;0,14,0)</f>
        <v>14</v>
      </c>
      <c r="CF144" s="128">
        <f t="shared" si="195"/>
        <v>196</v>
      </c>
      <c r="CG144" s="15">
        <f t="shared" si="196"/>
        <v>51.516135345546942</v>
      </c>
      <c r="CH144" s="127">
        <f t="shared" ca="1" si="197"/>
        <v>3.6019236849906249</v>
      </c>
      <c r="CI144" s="127">
        <f t="shared" ca="1" si="158"/>
        <v>36.66870567845703</v>
      </c>
    </row>
    <row r="145" spans="24:87" x14ac:dyDescent="0.2">
      <c r="X145" s="121">
        <f t="shared" si="159"/>
        <v>44713</v>
      </c>
      <c r="Y145" s="73">
        <f t="shared" si="159"/>
        <v>39.387231494672243</v>
      </c>
      <c r="Z145" s="15">
        <f t="shared" si="160"/>
        <v>3.6734416900413627</v>
      </c>
      <c r="AA145" s="98">
        <f t="shared" si="161"/>
        <v>1</v>
      </c>
      <c r="AB145" s="128">
        <f>IF(AA145&gt;0,15,0)</f>
        <v>15</v>
      </c>
      <c r="AC145" s="128">
        <f t="shared" si="162"/>
        <v>225</v>
      </c>
      <c r="AD145" s="15">
        <f t="shared" si="163"/>
        <v>55.101625350620438</v>
      </c>
      <c r="AE145" s="127">
        <f t="shared" ca="1" si="164"/>
        <v>3.6983901224695162</v>
      </c>
      <c r="AF145" s="127">
        <f t="shared" ca="1" si="165"/>
        <v>40.382241539248106</v>
      </c>
      <c r="AH145" s="121">
        <f t="shared" si="154"/>
        <v>44713</v>
      </c>
      <c r="AI145" s="73">
        <f t="shared" si="166"/>
        <v>39.925626777122076</v>
      </c>
      <c r="AJ145" s="15">
        <f t="shared" si="167"/>
        <v>3.6870183928412712</v>
      </c>
      <c r="AK145" s="98">
        <f t="shared" si="168"/>
        <v>1</v>
      </c>
      <c r="AL145" s="128">
        <f>IF(AK145&gt;0,15,0)</f>
        <v>15</v>
      </c>
      <c r="AM145" s="128">
        <f t="shared" si="169"/>
        <v>225</v>
      </c>
      <c r="AN145" s="15">
        <f t="shared" si="170"/>
        <v>55.305275892619065</v>
      </c>
      <c r="AO145" s="127">
        <f t="shared" ca="1" si="171"/>
        <v>3.717381908543667</v>
      </c>
      <c r="AP145" s="127">
        <f t="shared" ca="1" si="198"/>
        <v>41.156501448997759</v>
      </c>
      <c r="AR145" s="121">
        <f t="shared" si="172"/>
        <v>44713</v>
      </c>
      <c r="AS145" s="73">
        <f t="shared" si="199"/>
        <v>39.925626777122076</v>
      </c>
      <c r="AT145" s="15">
        <f t="shared" si="173"/>
        <v>3.6870183928412712</v>
      </c>
      <c r="AU145" s="98">
        <f t="shared" si="174"/>
        <v>1</v>
      </c>
      <c r="AV145" s="128">
        <f>IF(AU145&gt;0,15,0)</f>
        <v>15</v>
      </c>
      <c r="AW145" s="128">
        <f t="shared" si="175"/>
        <v>225</v>
      </c>
      <c r="AX145" s="15">
        <f t="shared" si="176"/>
        <v>55.305275892619065</v>
      </c>
      <c r="AY145" s="127">
        <f t="shared" ca="1" si="177"/>
        <v>3.5917042425913404</v>
      </c>
      <c r="AZ145" s="127">
        <f t="shared" ca="1" si="155"/>
        <v>36.295880231733982</v>
      </c>
      <c r="BB145" s="121">
        <f t="shared" si="178"/>
        <v>44713</v>
      </c>
      <c r="BC145" s="131">
        <v>0</v>
      </c>
      <c r="BD145" s="15">
        <f t="shared" si="179"/>
        <v>0</v>
      </c>
      <c r="BE145" s="98">
        <f t="shared" si="180"/>
        <v>0</v>
      </c>
      <c r="BF145" s="128">
        <f>IF(BE145&gt;0,15,0)</f>
        <v>0</v>
      </c>
      <c r="BG145" s="128">
        <f t="shared" si="181"/>
        <v>0</v>
      </c>
      <c r="BH145" s="15">
        <f t="shared" si="182"/>
        <v>0</v>
      </c>
      <c r="BI145" s="127">
        <f t="shared" ca="1" si="183"/>
        <v>3.6568373206354861</v>
      </c>
      <c r="BJ145" s="127">
        <f t="shared" ca="1" si="156"/>
        <v>38.738631055505664</v>
      </c>
      <c r="BL145" s="121">
        <f t="shared" si="184"/>
        <v>44713</v>
      </c>
      <c r="BM145" s="131">
        <v>0</v>
      </c>
      <c r="BN145" s="15">
        <f t="shared" si="185"/>
        <v>0</v>
      </c>
      <c r="BO145" s="98">
        <f t="shared" si="186"/>
        <v>0</v>
      </c>
      <c r="BP145" s="128">
        <f>IF(BO145&gt;0,15,0)</f>
        <v>0</v>
      </c>
      <c r="BQ145" s="128">
        <f t="shared" si="187"/>
        <v>0</v>
      </c>
      <c r="BR145" s="15">
        <f t="shared" si="188"/>
        <v>0</v>
      </c>
      <c r="BS145" s="127">
        <f t="shared" ca="1" si="189"/>
        <v>3.5459584216918016</v>
      </c>
      <c r="BT145" s="127">
        <f t="shared" ca="1" si="157"/>
        <v>34.672900682698888</v>
      </c>
      <c r="BZ145" s="583">
        <f t="shared" si="190"/>
        <v>1</v>
      </c>
      <c r="CA145" s="121">
        <f t="shared" si="191"/>
        <v>44713</v>
      </c>
      <c r="CB145" s="127">
        <f t="shared" si="192"/>
        <v>39.925626777122076</v>
      </c>
      <c r="CC145" s="15">
        <f t="shared" si="193"/>
        <v>3.6870183928412712</v>
      </c>
      <c r="CD145" s="98">
        <f t="shared" si="194"/>
        <v>1</v>
      </c>
      <c r="CE145" s="128">
        <f>IF(CD145&gt;0,15,0)</f>
        <v>15</v>
      </c>
      <c r="CF145" s="128">
        <f t="shared" si="195"/>
        <v>225</v>
      </c>
      <c r="CG145" s="15">
        <f t="shared" si="196"/>
        <v>55.305275892619065</v>
      </c>
      <c r="CH145" s="127">
        <f t="shared" ca="1" si="197"/>
        <v>3.6019236849906249</v>
      </c>
      <c r="CI145" s="127">
        <f t="shared" ca="1" si="158"/>
        <v>36.66870567845703</v>
      </c>
    </row>
    <row r="146" spans="24:87" x14ac:dyDescent="0.2">
      <c r="X146" s="121">
        <f t="shared" si="159"/>
        <v>44743</v>
      </c>
      <c r="Y146" s="73">
        <f t="shared" si="159"/>
        <v>37.986203504258292</v>
      </c>
      <c r="Z146" s="15">
        <f t="shared" si="160"/>
        <v>3.6372230281246725</v>
      </c>
      <c r="AA146" s="98">
        <f t="shared" si="161"/>
        <v>1</v>
      </c>
      <c r="AB146" s="128">
        <f>IF(AA146&gt;0,16,0)</f>
        <v>16</v>
      </c>
      <c r="AC146" s="128">
        <f t="shared" si="162"/>
        <v>256</v>
      </c>
      <c r="AD146" s="15">
        <f t="shared" si="163"/>
        <v>58.195568449994759</v>
      </c>
      <c r="AE146" s="127">
        <f t="shared" ca="1" si="164"/>
        <v>3.6983901224695162</v>
      </c>
      <c r="AF146" s="127">
        <f t="shared" ca="1" si="165"/>
        <v>40.382241539248106</v>
      </c>
      <c r="AH146" s="121">
        <f t="shared" si="154"/>
        <v>44743</v>
      </c>
      <c r="AI146" s="73">
        <f t="shared" si="166"/>
        <v>40.596193967224536</v>
      </c>
      <c r="AJ146" s="15">
        <f t="shared" si="167"/>
        <v>3.7036743175637405</v>
      </c>
      <c r="AK146" s="98">
        <f t="shared" si="168"/>
        <v>1</v>
      </c>
      <c r="AL146" s="128">
        <f>IF(AK146&gt;0,16,0)</f>
        <v>16</v>
      </c>
      <c r="AM146" s="128">
        <f t="shared" si="169"/>
        <v>256</v>
      </c>
      <c r="AN146" s="15">
        <f t="shared" si="170"/>
        <v>59.258789081019849</v>
      </c>
      <c r="AO146" s="127">
        <f t="shared" ca="1" si="171"/>
        <v>3.717381908543667</v>
      </c>
      <c r="AP146" s="127">
        <f t="shared" ca="1" si="198"/>
        <v>41.156501448997759</v>
      </c>
      <c r="AR146" s="121">
        <f t="shared" si="172"/>
        <v>44743</v>
      </c>
      <c r="AS146" s="73">
        <f t="shared" si="199"/>
        <v>40.596193967224536</v>
      </c>
      <c r="AT146" s="15">
        <f t="shared" si="173"/>
        <v>3.7036743175637405</v>
      </c>
      <c r="AU146" s="98">
        <f t="shared" si="174"/>
        <v>1</v>
      </c>
      <c r="AV146" s="128">
        <f>IF(AU146&gt;0,16,0)</f>
        <v>16</v>
      </c>
      <c r="AW146" s="128">
        <f t="shared" si="175"/>
        <v>256</v>
      </c>
      <c r="AX146" s="15">
        <f t="shared" si="176"/>
        <v>59.258789081019849</v>
      </c>
      <c r="AY146" s="127">
        <f t="shared" ca="1" si="177"/>
        <v>3.5917042425913404</v>
      </c>
      <c r="AZ146" s="127">
        <f t="shared" ca="1" si="155"/>
        <v>36.295880231733982</v>
      </c>
      <c r="BB146" s="121">
        <f t="shared" si="178"/>
        <v>44743</v>
      </c>
      <c r="BC146" s="131">
        <v>0</v>
      </c>
      <c r="BD146" s="15">
        <f t="shared" si="179"/>
        <v>0</v>
      </c>
      <c r="BE146" s="98">
        <f t="shared" si="180"/>
        <v>0</v>
      </c>
      <c r="BF146" s="128">
        <f>IF(BE146&gt;0,16,0)</f>
        <v>0</v>
      </c>
      <c r="BG146" s="128">
        <f t="shared" si="181"/>
        <v>0</v>
      </c>
      <c r="BH146" s="15">
        <f t="shared" si="182"/>
        <v>0</v>
      </c>
      <c r="BI146" s="127">
        <f t="shared" ca="1" si="183"/>
        <v>3.6568373206354861</v>
      </c>
      <c r="BJ146" s="127">
        <f t="shared" ca="1" si="156"/>
        <v>38.738631055505664</v>
      </c>
      <c r="BL146" s="121">
        <f t="shared" si="184"/>
        <v>44743</v>
      </c>
      <c r="BM146" s="131">
        <v>0</v>
      </c>
      <c r="BN146" s="15">
        <f t="shared" si="185"/>
        <v>0</v>
      </c>
      <c r="BO146" s="98">
        <f t="shared" si="186"/>
        <v>0</v>
      </c>
      <c r="BP146" s="128">
        <f>IF(BO146&gt;0,16,0)</f>
        <v>0</v>
      </c>
      <c r="BQ146" s="128">
        <f t="shared" si="187"/>
        <v>0</v>
      </c>
      <c r="BR146" s="15">
        <f t="shared" si="188"/>
        <v>0</v>
      </c>
      <c r="BS146" s="127">
        <f t="shared" ca="1" si="189"/>
        <v>3.5459584216918016</v>
      </c>
      <c r="BT146" s="127">
        <f t="shared" ca="1" si="157"/>
        <v>34.672900682698888</v>
      </c>
      <c r="BZ146" s="583">
        <f t="shared" si="190"/>
        <v>1</v>
      </c>
      <c r="CA146" s="121">
        <f t="shared" si="191"/>
        <v>44743</v>
      </c>
      <c r="CB146" s="127">
        <f t="shared" si="192"/>
        <v>40.596193967224536</v>
      </c>
      <c r="CC146" s="15">
        <f t="shared" si="193"/>
        <v>3.7036743175637405</v>
      </c>
      <c r="CD146" s="98">
        <f t="shared" si="194"/>
        <v>1</v>
      </c>
      <c r="CE146" s="128">
        <f>IF(CD146&gt;0,16,0)</f>
        <v>16</v>
      </c>
      <c r="CF146" s="128">
        <f t="shared" si="195"/>
        <v>256</v>
      </c>
      <c r="CG146" s="15">
        <f t="shared" si="196"/>
        <v>59.258789081019849</v>
      </c>
      <c r="CH146" s="127">
        <f t="shared" ca="1" si="197"/>
        <v>3.6019236849906249</v>
      </c>
      <c r="CI146" s="127">
        <f t="shared" ca="1" si="158"/>
        <v>36.66870567845703</v>
      </c>
    </row>
    <row r="147" spans="24:87" x14ac:dyDescent="0.2">
      <c r="X147" s="121">
        <f t="shared" si="159"/>
        <v>44774</v>
      </c>
      <c r="Y147" s="73">
        <f t="shared" si="159"/>
        <v>44.71334857009554</v>
      </c>
      <c r="Z147" s="15">
        <f t="shared" si="160"/>
        <v>3.8002720827689416</v>
      </c>
      <c r="AA147" s="98">
        <f t="shared" si="161"/>
        <v>1</v>
      </c>
      <c r="AB147" s="128">
        <f>IF(AA147&gt;0,17,0)</f>
        <v>17</v>
      </c>
      <c r="AC147" s="128">
        <f t="shared" si="162"/>
        <v>289</v>
      </c>
      <c r="AD147" s="15">
        <f t="shared" si="163"/>
        <v>64.604625407072007</v>
      </c>
      <c r="AE147" s="127">
        <f t="shared" ca="1" si="164"/>
        <v>3.6983901224695162</v>
      </c>
      <c r="AF147" s="127">
        <f t="shared" ca="1" si="165"/>
        <v>40.382241539248106</v>
      </c>
      <c r="AH147" s="121">
        <f t="shared" si="154"/>
        <v>44774</v>
      </c>
      <c r="AI147" s="73">
        <f t="shared" si="166"/>
        <v>40.608172475026038</v>
      </c>
      <c r="AJ147" s="15">
        <f t="shared" si="167"/>
        <v>3.7039693388393982</v>
      </c>
      <c r="AK147" s="98">
        <f t="shared" si="168"/>
        <v>1</v>
      </c>
      <c r="AL147" s="128">
        <f>IF(AK147&gt;0,17,0)</f>
        <v>17</v>
      </c>
      <c r="AM147" s="128">
        <f t="shared" si="169"/>
        <v>289</v>
      </c>
      <c r="AN147" s="15">
        <f t="shared" si="170"/>
        <v>62.967478760269771</v>
      </c>
      <c r="AO147" s="127">
        <f t="shared" ca="1" si="171"/>
        <v>3.717381908543667</v>
      </c>
      <c r="AP147" s="127">
        <f t="shared" ca="1" si="198"/>
        <v>41.156501448997759</v>
      </c>
      <c r="AR147" s="121">
        <f t="shared" si="172"/>
        <v>44774</v>
      </c>
      <c r="AS147" s="73">
        <f t="shared" si="199"/>
        <v>40.608172475026038</v>
      </c>
      <c r="AT147" s="15">
        <f t="shared" si="173"/>
        <v>3.7039693388393982</v>
      </c>
      <c r="AU147" s="98">
        <f t="shared" si="174"/>
        <v>1</v>
      </c>
      <c r="AV147" s="128">
        <f>IF(AU147&gt;0,17,0)</f>
        <v>17</v>
      </c>
      <c r="AW147" s="128">
        <f t="shared" si="175"/>
        <v>289</v>
      </c>
      <c r="AX147" s="15">
        <f t="shared" si="176"/>
        <v>62.967478760269771</v>
      </c>
      <c r="AY147" s="127">
        <f t="shared" ca="1" si="177"/>
        <v>3.5917042425913404</v>
      </c>
      <c r="AZ147" s="127">
        <f t="shared" ca="1" si="155"/>
        <v>36.295880231733982</v>
      </c>
      <c r="BB147" s="121">
        <f t="shared" si="178"/>
        <v>44774</v>
      </c>
      <c r="BC147" s="73">
        <f>+AI147</f>
        <v>40.608172475026038</v>
      </c>
      <c r="BD147" s="15">
        <f t="shared" si="179"/>
        <v>3.7039693388393982</v>
      </c>
      <c r="BE147" s="98">
        <f t="shared" si="180"/>
        <v>1</v>
      </c>
      <c r="BF147" s="128">
        <f>IF(BE147&gt;0,17,0)</f>
        <v>17</v>
      </c>
      <c r="BG147" s="128">
        <f t="shared" si="181"/>
        <v>289</v>
      </c>
      <c r="BH147" s="15">
        <f t="shared" si="182"/>
        <v>62.967478760269771</v>
      </c>
      <c r="BI147" s="127">
        <f t="shared" ca="1" si="183"/>
        <v>3.6568373206354861</v>
      </c>
      <c r="BJ147" s="127">
        <f t="shared" ca="1" si="156"/>
        <v>38.738631055505664</v>
      </c>
      <c r="BL147" s="121">
        <f t="shared" si="184"/>
        <v>44774</v>
      </c>
      <c r="BM147" s="131">
        <v>0</v>
      </c>
      <c r="BN147" s="15">
        <f t="shared" si="185"/>
        <v>0</v>
      </c>
      <c r="BO147" s="98">
        <f t="shared" si="186"/>
        <v>0</v>
      </c>
      <c r="BP147" s="128">
        <f>IF(BO147&gt;0,17,0)</f>
        <v>0</v>
      </c>
      <c r="BQ147" s="128">
        <f t="shared" si="187"/>
        <v>0</v>
      </c>
      <c r="BR147" s="15">
        <f t="shared" si="188"/>
        <v>0</v>
      </c>
      <c r="BS147" s="127">
        <f t="shared" ca="1" si="189"/>
        <v>3.5459584216918016</v>
      </c>
      <c r="BT147" s="127">
        <f t="shared" ca="1" si="157"/>
        <v>34.672900682698888</v>
      </c>
      <c r="BZ147" s="583">
        <f t="shared" si="190"/>
        <v>1</v>
      </c>
      <c r="CA147" s="121">
        <f t="shared" si="191"/>
        <v>44774</v>
      </c>
      <c r="CB147" s="127">
        <f t="shared" si="192"/>
        <v>40.608172475026038</v>
      </c>
      <c r="CC147" s="15">
        <f t="shared" si="193"/>
        <v>3.7039693388393982</v>
      </c>
      <c r="CD147" s="98">
        <f t="shared" si="194"/>
        <v>1</v>
      </c>
      <c r="CE147" s="128">
        <f>IF(CD147&gt;0,17,0)</f>
        <v>17</v>
      </c>
      <c r="CF147" s="128">
        <f t="shared" si="195"/>
        <v>289</v>
      </c>
      <c r="CG147" s="15">
        <f t="shared" si="196"/>
        <v>62.967478760269771</v>
      </c>
      <c r="CH147" s="127">
        <f t="shared" ca="1" si="197"/>
        <v>3.6019236849906249</v>
      </c>
      <c r="CI147" s="127">
        <f t="shared" ca="1" si="158"/>
        <v>36.66870567845703</v>
      </c>
    </row>
    <row r="148" spans="24:87" x14ac:dyDescent="0.2">
      <c r="X148" s="121">
        <f t="shared" si="159"/>
        <v>44805</v>
      </c>
      <c r="Y148" s="73">
        <f t="shared" si="159"/>
        <v>40.787181949898923</v>
      </c>
      <c r="Z148" s="15">
        <f t="shared" si="160"/>
        <v>3.7083678641544102</v>
      </c>
      <c r="AA148" s="98">
        <f t="shared" si="161"/>
        <v>1</v>
      </c>
      <c r="AB148" s="128">
        <f>IF(AA148&gt;0,18,0)</f>
        <v>18</v>
      </c>
      <c r="AC148" s="128">
        <f t="shared" si="162"/>
        <v>324</v>
      </c>
      <c r="AD148" s="15">
        <f t="shared" si="163"/>
        <v>66.750621554779386</v>
      </c>
      <c r="AE148" s="127">
        <f t="shared" ca="1" si="164"/>
        <v>3.6983901224695162</v>
      </c>
      <c r="AF148" s="127">
        <f t="shared" ca="1" si="165"/>
        <v>40.382241539248106</v>
      </c>
      <c r="AH148" s="121">
        <f t="shared" si="154"/>
        <v>44805</v>
      </c>
      <c r="AI148" s="73">
        <f t="shared" si="166"/>
        <v>40.702829389673809</v>
      </c>
      <c r="AJ148" s="15">
        <f t="shared" si="167"/>
        <v>3.7062976082060768</v>
      </c>
      <c r="AK148" s="98">
        <f t="shared" si="168"/>
        <v>1</v>
      </c>
      <c r="AL148" s="128">
        <f>IF(AK148&gt;0,18,0)</f>
        <v>18</v>
      </c>
      <c r="AM148" s="128">
        <f t="shared" si="169"/>
        <v>324</v>
      </c>
      <c r="AN148" s="15">
        <f t="shared" si="170"/>
        <v>66.713356947709386</v>
      </c>
      <c r="AO148" s="127">
        <f t="shared" ca="1" si="171"/>
        <v>3.717381908543667</v>
      </c>
      <c r="AP148" s="127">
        <f t="shared" ca="1" si="198"/>
        <v>41.156501448997759</v>
      </c>
      <c r="AR148" s="121">
        <f t="shared" si="172"/>
        <v>44805</v>
      </c>
      <c r="AS148" s="73">
        <f t="shared" si="199"/>
        <v>40.702829389673809</v>
      </c>
      <c r="AT148" s="15">
        <f t="shared" si="173"/>
        <v>3.7062976082060768</v>
      </c>
      <c r="AU148" s="98">
        <f t="shared" si="174"/>
        <v>1</v>
      </c>
      <c r="AV148" s="128">
        <f>IF(AU148&gt;0,18,0)</f>
        <v>18</v>
      </c>
      <c r="AW148" s="128">
        <f t="shared" si="175"/>
        <v>324</v>
      </c>
      <c r="AX148" s="15">
        <f t="shared" si="176"/>
        <v>66.713356947709386</v>
      </c>
      <c r="AY148" s="127">
        <f t="shared" ca="1" si="177"/>
        <v>3.5917042425913404</v>
      </c>
      <c r="AZ148" s="127">
        <f t="shared" ca="1" si="155"/>
        <v>36.295880231733982</v>
      </c>
      <c r="BB148" s="121">
        <f t="shared" si="178"/>
        <v>44805</v>
      </c>
      <c r="BC148" s="73">
        <f t="shared" ref="BC148:BC164" si="200">+AI148</f>
        <v>40.702829389673809</v>
      </c>
      <c r="BD148" s="15">
        <f t="shared" si="179"/>
        <v>3.7062976082060768</v>
      </c>
      <c r="BE148" s="98">
        <f t="shared" si="180"/>
        <v>1</v>
      </c>
      <c r="BF148" s="128">
        <f>IF(BE148&gt;0,18,0)</f>
        <v>18</v>
      </c>
      <c r="BG148" s="128">
        <f t="shared" si="181"/>
        <v>324</v>
      </c>
      <c r="BH148" s="15">
        <f t="shared" si="182"/>
        <v>66.713356947709386</v>
      </c>
      <c r="BI148" s="127">
        <f t="shared" ca="1" si="183"/>
        <v>3.6568373206354861</v>
      </c>
      <c r="BJ148" s="127">
        <f t="shared" ca="1" si="156"/>
        <v>38.738631055505664</v>
      </c>
      <c r="BL148" s="121">
        <f t="shared" si="184"/>
        <v>44805</v>
      </c>
      <c r="BM148" s="131">
        <v>0</v>
      </c>
      <c r="BN148" s="15">
        <f t="shared" si="185"/>
        <v>0</v>
      </c>
      <c r="BO148" s="98">
        <f t="shared" si="186"/>
        <v>0</v>
      </c>
      <c r="BP148" s="128">
        <f>IF(BO148&gt;0,18,0)</f>
        <v>0</v>
      </c>
      <c r="BQ148" s="128">
        <f t="shared" si="187"/>
        <v>0</v>
      </c>
      <c r="BR148" s="15">
        <f t="shared" si="188"/>
        <v>0</v>
      </c>
      <c r="BS148" s="127">
        <f t="shared" ca="1" si="189"/>
        <v>3.5459584216918016</v>
      </c>
      <c r="BT148" s="127">
        <f t="shared" ca="1" si="157"/>
        <v>34.672900682698888</v>
      </c>
      <c r="BZ148" s="583">
        <f t="shared" si="190"/>
        <v>1</v>
      </c>
      <c r="CA148" s="121">
        <f t="shared" si="191"/>
        <v>44805</v>
      </c>
      <c r="CB148" s="127">
        <f t="shared" si="192"/>
        <v>40.702829389673809</v>
      </c>
      <c r="CC148" s="15">
        <f t="shared" si="193"/>
        <v>3.7062976082060768</v>
      </c>
      <c r="CD148" s="98">
        <f t="shared" si="194"/>
        <v>1</v>
      </c>
      <c r="CE148" s="128">
        <f>IF(CD148&gt;0,18,0)</f>
        <v>18</v>
      </c>
      <c r="CF148" s="128">
        <f t="shared" si="195"/>
        <v>324</v>
      </c>
      <c r="CG148" s="15">
        <f t="shared" si="196"/>
        <v>66.713356947709386</v>
      </c>
      <c r="CH148" s="127">
        <f t="shared" ca="1" si="197"/>
        <v>3.6019236849906249</v>
      </c>
      <c r="CI148" s="127">
        <f t="shared" ca="1" si="158"/>
        <v>36.66870567845703</v>
      </c>
    </row>
    <row r="149" spans="24:87" x14ac:dyDescent="0.2">
      <c r="X149" s="121">
        <f t="shared" si="159"/>
        <v>44835</v>
      </c>
      <c r="Y149" s="73">
        <f t="shared" si="159"/>
        <v>41.482201046704006</v>
      </c>
      <c r="Z149" s="15">
        <f t="shared" si="160"/>
        <v>3.725264444795974</v>
      </c>
      <c r="AA149" s="98">
        <f t="shared" si="161"/>
        <v>1</v>
      </c>
      <c r="AB149" s="128">
        <f>IF(AA149&gt;0,19,0)</f>
        <v>19</v>
      </c>
      <c r="AC149" s="128">
        <f t="shared" si="162"/>
        <v>361</v>
      </c>
      <c r="AD149" s="15">
        <f t="shared" si="163"/>
        <v>70.780024451123509</v>
      </c>
      <c r="AE149" s="127">
        <f t="shared" ca="1" si="164"/>
        <v>3.6983901224695162</v>
      </c>
      <c r="AF149" s="127">
        <f t="shared" ca="1" si="165"/>
        <v>40.382241539248106</v>
      </c>
      <c r="AH149" s="121">
        <f t="shared" si="154"/>
        <v>44835</v>
      </c>
      <c r="AI149" s="73">
        <f t="shared" si="166"/>
        <v>40.114725285484759</v>
      </c>
      <c r="AJ149" s="15">
        <f t="shared" si="167"/>
        <v>3.6917434810077907</v>
      </c>
      <c r="AK149" s="98">
        <f t="shared" si="168"/>
        <v>1</v>
      </c>
      <c r="AL149" s="128">
        <f>IF(AK149&gt;0,19,0)</f>
        <v>19</v>
      </c>
      <c r="AM149" s="128">
        <f t="shared" si="169"/>
        <v>361</v>
      </c>
      <c r="AN149" s="15">
        <f t="shared" si="170"/>
        <v>70.143126139148023</v>
      </c>
      <c r="AO149" s="127">
        <f t="shared" ca="1" si="171"/>
        <v>3.717381908543667</v>
      </c>
      <c r="AP149" s="127">
        <f t="shared" ca="1" si="198"/>
        <v>41.156501448997759</v>
      </c>
      <c r="AR149" s="121">
        <f t="shared" si="172"/>
        <v>44835</v>
      </c>
      <c r="AS149" s="73">
        <f t="shared" si="199"/>
        <v>40.114725285484759</v>
      </c>
      <c r="AT149" s="15">
        <f t="shared" si="173"/>
        <v>3.6917434810077907</v>
      </c>
      <c r="AU149" s="98">
        <f t="shared" si="174"/>
        <v>1</v>
      </c>
      <c r="AV149" s="128">
        <f>IF(AU149&gt;0,19,0)</f>
        <v>19</v>
      </c>
      <c r="AW149" s="128">
        <f t="shared" si="175"/>
        <v>361</v>
      </c>
      <c r="AX149" s="15">
        <f t="shared" si="176"/>
        <v>70.143126139148023</v>
      </c>
      <c r="AY149" s="127">
        <f t="shared" ca="1" si="177"/>
        <v>3.5917042425913404</v>
      </c>
      <c r="AZ149" s="127">
        <f t="shared" ca="1" si="155"/>
        <v>36.295880231733982</v>
      </c>
      <c r="BB149" s="121">
        <f t="shared" si="178"/>
        <v>44835</v>
      </c>
      <c r="BC149" s="73">
        <f>+AI149</f>
        <v>40.114725285484759</v>
      </c>
      <c r="BD149" s="15">
        <f t="shared" si="179"/>
        <v>3.6917434810077907</v>
      </c>
      <c r="BE149" s="98">
        <f t="shared" si="180"/>
        <v>1</v>
      </c>
      <c r="BF149" s="128">
        <f>IF(BE149&gt;0,19,0)</f>
        <v>19</v>
      </c>
      <c r="BG149" s="128">
        <f t="shared" si="181"/>
        <v>361</v>
      </c>
      <c r="BH149" s="15">
        <f t="shared" si="182"/>
        <v>70.143126139148023</v>
      </c>
      <c r="BI149" s="127">
        <f t="shared" ca="1" si="183"/>
        <v>3.6568373206354861</v>
      </c>
      <c r="BJ149" s="127">
        <f ca="1">EXP(BI149)</f>
        <v>38.738631055505664</v>
      </c>
      <c r="BL149" s="121">
        <f t="shared" si="184"/>
        <v>44835</v>
      </c>
      <c r="BM149" s="131">
        <v>0</v>
      </c>
      <c r="BN149" s="15">
        <f t="shared" si="185"/>
        <v>0</v>
      </c>
      <c r="BO149" s="98">
        <f t="shared" si="186"/>
        <v>0</v>
      </c>
      <c r="BP149" s="128">
        <f>IF(BO149&gt;0,19,0)</f>
        <v>0</v>
      </c>
      <c r="BQ149" s="128">
        <f t="shared" si="187"/>
        <v>0</v>
      </c>
      <c r="BR149" s="15">
        <f t="shared" si="188"/>
        <v>0</v>
      </c>
      <c r="BS149" s="127">
        <f t="shared" ca="1" si="189"/>
        <v>3.5459584216918016</v>
      </c>
      <c r="BT149" s="127">
        <f ca="1">EXP(BS149)</f>
        <v>34.672900682698888</v>
      </c>
      <c r="BZ149" s="583">
        <f t="shared" si="190"/>
        <v>1</v>
      </c>
      <c r="CA149" s="121">
        <f t="shared" si="191"/>
        <v>44835</v>
      </c>
      <c r="CB149" s="127">
        <f t="shared" si="192"/>
        <v>40.114725285484759</v>
      </c>
      <c r="CC149" s="15">
        <f t="shared" si="193"/>
        <v>3.6917434810077907</v>
      </c>
      <c r="CD149" s="98">
        <f t="shared" si="194"/>
        <v>1</v>
      </c>
      <c r="CE149" s="128">
        <f>IF(CD149&gt;0,19,0)</f>
        <v>19</v>
      </c>
      <c r="CF149" s="128">
        <f t="shared" si="195"/>
        <v>361</v>
      </c>
      <c r="CG149" s="15">
        <f t="shared" si="196"/>
        <v>70.143126139148023</v>
      </c>
      <c r="CH149" s="127">
        <f t="shared" ca="1" si="197"/>
        <v>3.6019236849906249</v>
      </c>
      <c r="CI149" s="127">
        <f ca="1">EXP(CH149)</f>
        <v>36.66870567845703</v>
      </c>
    </row>
    <row r="150" spans="24:87" x14ac:dyDescent="0.2">
      <c r="X150" s="121">
        <f t="shared" si="159"/>
        <v>44866</v>
      </c>
      <c r="Y150" s="73">
        <f t="shared" si="159"/>
        <v>39.292868284527216</v>
      </c>
      <c r="Z150" s="15">
        <f t="shared" si="160"/>
        <v>3.6710430338207054</v>
      </c>
      <c r="AA150" s="98">
        <f t="shared" si="161"/>
        <v>1</v>
      </c>
      <c r="AB150" s="128">
        <f>IF(AA150&gt;0,20,0)</f>
        <v>20</v>
      </c>
      <c r="AC150" s="128">
        <f t="shared" si="162"/>
        <v>400</v>
      </c>
      <c r="AD150" s="15">
        <f t="shared" si="163"/>
        <v>73.420860676414108</v>
      </c>
      <c r="AE150" s="127">
        <f t="shared" ca="1" si="164"/>
        <v>3.6983901224695162</v>
      </c>
      <c r="AF150" s="127">
        <f t="shared" ca="1" si="165"/>
        <v>40.382241539248106</v>
      </c>
      <c r="AH150" s="121">
        <f t="shared" si="154"/>
        <v>44866</v>
      </c>
      <c r="AI150" s="73">
        <f t="shared" si="166"/>
        <v>38.594257188957094</v>
      </c>
      <c r="AJ150" s="15">
        <f t="shared" si="167"/>
        <v>3.6531034879141586</v>
      </c>
      <c r="AK150" s="98">
        <f t="shared" si="168"/>
        <v>1</v>
      </c>
      <c r="AL150" s="128">
        <f>IF(AK150&gt;0,20,0)</f>
        <v>20</v>
      </c>
      <c r="AM150" s="128">
        <f t="shared" si="169"/>
        <v>400</v>
      </c>
      <c r="AN150" s="15">
        <f t="shared" si="170"/>
        <v>73.062069758283172</v>
      </c>
      <c r="AO150" s="127">
        <f t="shared" ca="1" si="171"/>
        <v>3.717381908543667</v>
      </c>
      <c r="AP150" s="127">
        <f t="shared" ca="1" si="198"/>
        <v>41.156501448997759</v>
      </c>
      <c r="AR150" s="121">
        <f t="shared" si="172"/>
        <v>44866</v>
      </c>
      <c r="AS150" s="73">
        <f t="shared" si="199"/>
        <v>38.594257188957094</v>
      </c>
      <c r="AT150" s="15">
        <f t="shared" si="173"/>
        <v>3.6531034879141586</v>
      </c>
      <c r="AU150" s="98">
        <f t="shared" si="174"/>
        <v>1</v>
      </c>
      <c r="AV150" s="128">
        <f>IF(AU150&gt;0,20,0)</f>
        <v>20</v>
      </c>
      <c r="AW150" s="128">
        <f t="shared" si="175"/>
        <v>400</v>
      </c>
      <c r="AX150" s="15">
        <f t="shared" si="176"/>
        <v>73.062069758283172</v>
      </c>
      <c r="AY150" s="127">
        <f t="shared" ca="1" si="177"/>
        <v>3.5917042425913404</v>
      </c>
      <c r="AZ150" s="127">
        <f t="shared" ca="1" si="155"/>
        <v>36.295880231733982</v>
      </c>
      <c r="BB150" s="121">
        <f t="shared" si="178"/>
        <v>44866</v>
      </c>
      <c r="BC150" s="73">
        <f t="shared" si="200"/>
        <v>38.594257188957094</v>
      </c>
      <c r="BD150" s="15">
        <f t="shared" si="179"/>
        <v>3.6531034879141586</v>
      </c>
      <c r="BE150" s="98">
        <f t="shared" si="180"/>
        <v>1</v>
      </c>
      <c r="BF150" s="128">
        <f>IF(BE150&gt;0,20,0)</f>
        <v>20</v>
      </c>
      <c r="BG150" s="128">
        <f t="shared" si="181"/>
        <v>400</v>
      </c>
      <c r="BH150" s="15">
        <f t="shared" si="182"/>
        <v>73.062069758283172</v>
      </c>
      <c r="BI150" s="127">
        <f t="shared" ca="1" si="183"/>
        <v>3.6568373206354861</v>
      </c>
      <c r="BJ150" s="127">
        <f t="shared" ref="BJ150:BJ166" ca="1" si="201">EXP(BI150)</f>
        <v>38.738631055505664</v>
      </c>
      <c r="BL150" s="121">
        <f t="shared" si="184"/>
        <v>44866</v>
      </c>
      <c r="BM150" s="131">
        <v>0</v>
      </c>
      <c r="BN150" s="15">
        <f t="shared" si="185"/>
        <v>0</v>
      </c>
      <c r="BO150" s="98">
        <f t="shared" si="186"/>
        <v>0</v>
      </c>
      <c r="BP150" s="128">
        <f>IF(BO150&gt;0,20,0)</f>
        <v>0</v>
      </c>
      <c r="BQ150" s="128">
        <f t="shared" si="187"/>
        <v>0</v>
      </c>
      <c r="BR150" s="15">
        <f t="shared" si="188"/>
        <v>0</v>
      </c>
      <c r="BS150" s="127">
        <f t="shared" ca="1" si="189"/>
        <v>3.5459584216918016</v>
      </c>
      <c r="BT150" s="127">
        <f t="shared" ref="BT150:BT166" ca="1" si="202">EXP(BS150)</f>
        <v>34.672900682698888</v>
      </c>
      <c r="BZ150" s="583">
        <f t="shared" si="190"/>
        <v>1</v>
      </c>
      <c r="CA150" s="121">
        <f t="shared" si="191"/>
        <v>44866</v>
      </c>
      <c r="CB150" s="127">
        <f t="shared" si="192"/>
        <v>38.594257188957094</v>
      </c>
      <c r="CC150" s="15">
        <f t="shared" si="193"/>
        <v>3.6531034879141586</v>
      </c>
      <c r="CD150" s="98">
        <f t="shared" si="194"/>
        <v>1</v>
      </c>
      <c r="CE150" s="128">
        <f>IF(CD150&gt;0,20,0)</f>
        <v>20</v>
      </c>
      <c r="CF150" s="128">
        <f t="shared" si="195"/>
        <v>400</v>
      </c>
      <c r="CG150" s="15">
        <f t="shared" si="196"/>
        <v>73.062069758283172</v>
      </c>
      <c r="CH150" s="127">
        <f t="shared" ca="1" si="197"/>
        <v>3.6019236849906249</v>
      </c>
      <c r="CI150" s="127">
        <f t="shared" ref="CI150:CI166" ca="1" si="203">EXP(CH150)</f>
        <v>36.66870567845703</v>
      </c>
    </row>
    <row r="151" spans="24:87" x14ac:dyDescent="0.2">
      <c r="X151" s="121">
        <f t="shared" si="159"/>
        <v>44896</v>
      </c>
      <c r="Y151" s="73">
        <f t="shared" si="159"/>
        <v>39.955172982558864</v>
      </c>
      <c r="Z151" s="15">
        <f t="shared" si="160"/>
        <v>3.6877581502516397</v>
      </c>
      <c r="AA151" s="98">
        <f t="shared" si="161"/>
        <v>1</v>
      </c>
      <c r="AB151" s="128">
        <f>IF(AA151&gt;0,21,0)</f>
        <v>21</v>
      </c>
      <c r="AC151" s="128">
        <f t="shared" si="162"/>
        <v>441</v>
      </c>
      <c r="AD151" s="15">
        <f t="shared" si="163"/>
        <v>77.442921155284438</v>
      </c>
      <c r="AE151" s="127">
        <f t="shared" ca="1" si="164"/>
        <v>3.6983901224695162</v>
      </c>
      <c r="AF151" s="127">
        <f t="shared" ca="1" si="165"/>
        <v>40.382241539248106</v>
      </c>
      <c r="AH151" s="121">
        <f t="shared" si="154"/>
        <v>44896</v>
      </c>
      <c r="AI151" s="73">
        <f t="shared" si="166"/>
        <v>39.008408370093626</v>
      </c>
      <c r="AJ151" s="15">
        <f t="shared" si="167"/>
        <v>3.6637772221246419</v>
      </c>
      <c r="AK151" s="98">
        <f t="shared" si="168"/>
        <v>1</v>
      </c>
      <c r="AL151" s="128">
        <f>IF(AK151&gt;0,21,0)</f>
        <v>21</v>
      </c>
      <c r="AM151" s="128">
        <f t="shared" si="169"/>
        <v>441</v>
      </c>
      <c r="AN151" s="15">
        <f t="shared" si="170"/>
        <v>76.939321664617481</v>
      </c>
      <c r="AO151" s="127">
        <f t="shared" ca="1" si="171"/>
        <v>3.717381908543667</v>
      </c>
      <c r="AP151" s="127">
        <f t="shared" ca="1" si="198"/>
        <v>41.156501448997759</v>
      </c>
      <c r="AR151" s="121">
        <f t="shared" si="172"/>
        <v>44896</v>
      </c>
      <c r="AS151" s="73">
        <f t="shared" si="199"/>
        <v>39.008408370093626</v>
      </c>
      <c r="AT151" s="15">
        <f t="shared" si="173"/>
        <v>3.6637772221246419</v>
      </c>
      <c r="AU151" s="98">
        <f t="shared" si="174"/>
        <v>1</v>
      </c>
      <c r="AV151" s="128">
        <f>IF(AU151&gt;0,21,0)</f>
        <v>21</v>
      </c>
      <c r="AW151" s="128">
        <f t="shared" si="175"/>
        <v>441</v>
      </c>
      <c r="AX151" s="15">
        <f t="shared" si="176"/>
        <v>76.939321664617481</v>
      </c>
      <c r="AY151" s="127">
        <f t="shared" ca="1" si="177"/>
        <v>3.5917042425913404</v>
      </c>
      <c r="AZ151" s="127">
        <f t="shared" ca="1" si="155"/>
        <v>36.295880231733982</v>
      </c>
      <c r="BB151" s="121">
        <f t="shared" si="178"/>
        <v>44896</v>
      </c>
      <c r="BC151" s="73">
        <f t="shared" si="200"/>
        <v>39.008408370093626</v>
      </c>
      <c r="BD151" s="15">
        <f t="shared" si="179"/>
        <v>3.6637772221246419</v>
      </c>
      <c r="BE151" s="98">
        <f t="shared" si="180"/>
        <v>1</v>
      </c>
      <c r="BF151" s="128">
        <f>IF(BE151&gt;0,21,0)</f>
        <v>21</v>
      </c>
      <c r="BG151" s="128">
        <f t="shared" si="181"/>
        <v>441</v>
      </c>
      <c r="BH151" s="15">
        <f t="shared" si="182"/>
        <v>76.939321664617481</v>
      </c>
      <c r="BI151" s="127">
        <f t="shared" ca="1" si="183"/>
        <v>3.6568373206354861</v>
      </c>
      <c r="BJ151" s="127">
        <f t="shared" ca="1" si="201"/>
        <v>38.738631055505664</v>
      </c>
      <c r="BL151" s="121">
        <f t="shared" si="184"/>
        <v>44896</v>
      </c>
      <c r="BM151" s="131">
        <v>0</v>
      </c>
      <c r="BN151" s="15">
        <f t="shared" si="185"/>
        <v>0</v>
      </c>
      <c r="BO151" s="98">
        <f t="shared" si="186"/>
        <v>0</v>
      </c>
      <c r="BP151" s="128">
        <f>IF(BO151&gt;0,21,0)</f>
        <v>0</v>
      </c>
      <c r="BQ151" s="128">
        <f t="shared" si="187"/>
        <v>0</v>
      </c>
      <c r="BR151" s="15">
        <f t="shared" si="188"/>
        <v>0</v>
      </c>
      <c r="BS151" s="127">
        <f t="shared" ca="1" si="189"/>
        <v>3.5459584216918016</v>
      </c>
      <c r="BT151" s="127">
        <f t="shared" ca="1" si="202"/>
        <v>34.672900682698888</v>
      </c>
      <c r="BZ151" s="583">
        <f t="shared" si="190"/>
        <v>1</v>
      </c>
      <c r="CA151" s="121">
        <f t="shared" si="191"/>
        <v>44896</v>
      </c>
      <c r="CB151" s="127">
        <f t="shared" si="192"/>
        <v>39.008408370093626</v>
      </c>
      <c r="CC151" s="15">
        <f t="shared" si="193"/>
        <v>3.6637772221246419</v>
      </c>
      <c r="CD151" s="98">
        <f t="shared" si="194"/>
        <v>1</v>
      </c>
      <c r="CE151" s="128">
        <f>IF(CD151&gt;0,21,0)</f>
        <v>21</v>
      </c>
      <c r="CF151" s="128">
        <f t="shared" si="195"/>
        <v>441</v>
      </c>
      <c r="CG151" s="15">
        <f t="shared" si="196"/>
        <v>76.939321664617481</v>
      </c>
      <c r="CH151" s="127">
        <f t="shared" ca="1" si="197"/>
        <v>3.6019236849906249</v>
      </c>
      <c r="CI151" s="127">
        <f t="shared" ca="1" si="203"/>
        <v>36.66870567845703</v>
      </c>
    </row>
    <row r="152" spans="24:87" x14ac:dyDescent="0.2">
      <c r="X152" s="121">
        <f t="shared" si="159"/>
        <v>44927</v>
      </c>
      <c r="Y152" s="73">
        <f t="shared" si="159"/>
        <v>34.457578879124007</v>
      </c>
      <c r="Z152" s="15">
        <f t="shared" si="160"/>
        <v>3.539728969755251</v>
      </c>
      <c r="AA152" s="98">
        <f t="shared" si="161"/>
        <v>1</v>
      </c>
      <c r="AB152" s="128">
        <f>IF(AA152&gt;0,22,0)</f>
        <v>22</v>
      </c>
      <c r="AC152" s="128">
        <f t="shared" si="162"/>
        <v>484</v>
      </c>
      <c r="AD152" s="15">
        <f t="shared" si="163"/>
        <v>77.874037334615522</v>
      </c>
      <c r="AE152" s="127">
        <f t="shared" ca="1" si="164"/>
        <v>3.6983901224695162</v>
      </c>
      <c r="AF152" s="127">
        <f t="shared" ca="1" si="165"/>
        <v>40.382241539248106</v>
      </c>
      <c r="AH152" s="121">
        <f t="shared" si="154"/>
        <v>44927</v>
      </c>
      <c r="AI152" s="73">
        <f t="shared" ca="1" si="166"/>
        <v>38.091926906136003</v>
      </c>
      <c r="AJ152" s="15">
        <f t="shared" ca="1" si="167"/>
        <v>3.640002367452924</v>
      </c>
      <c r="AK152" s="98">
        <f t="shared" ca="1" si="168"/>
        <v>1</v>
      </c>
      <c r="AL152" s="128">
        <f ca="1">IF(AK152&gt;0,22,0)</f>
        <v>22</v>
      </c>
      <c r="AM152" s="128">
        <f t="shared" ca="1" si="169"/>
        <v>484</v>
      </c>
      <c r="AN152" s="15">
        <f t="shared" ca="1" si="170"/>
        <v>80.080052083964333</v>
      </c>
      <c r="AO152" s="127">
        <f t="shared" ca="1" si="171"/>
        <v>3.717381908543667</v>
      </c>
      <c r="AP152" s="127">
        <f t="shared" ca="1" si="198"/>
        <v>41.156501448997759</v>
      </c>
      <c r="AR152" s="121">
        <f t="shared" si="172"/>
        <v>44927</v>
      </c>
      <c r="AS152" s="73">
        <f t="shared" ca="1" si="199"/>
        <v>38.091926906136003</v>
      </c>
      <c r="AT152" s="15">
        <f t="shared" ca="1" si="173"/>
        <v>3.640002367452924</v>
      </c>
      <c r="AU152" s="98">
        <f t="shared" ca="1" si="174"/>
        <v>1</v>
      </c>
      <c r="AV152" s="128">
        <f ca="1">IF(AU152&gt;0,22,0)</f>
        <v>22</v>
      </c>
      <c r="AW152" s="128">
        <f t="shared" ca="1" si="175"/>
        <v>484</v>
      </c>
      <c r="AX152" s="15">
        <f t="shared" ca="1" si="176"/>
        <v>80.080052083964333</v>
      </c>
      <c r="AY152" s="127">
        <f t="shared" ca="1" si="177"/>
        <v>3.5917042425913404</v>
      </c>
      <c r="AZ152" s="127">
        <f t="shared" ca="1" si="155"/>
        <v>36.295880231733982</v>
      </c>
      <c r="BB152" s="121">
        <f t="shared" si="178"/>
        <v>44927</v>
      </c>
      <c r="BC152" s="73">
        <f t="shared" ca="1" si="200"/>
        <v>38.091926906136003</v>
      </c>
      <c r="BD152" s="15">
        <f t="shared" ca="1" si="179"/>
        <v>3.640002367452924</v>
      </c>
      <c r="BE152" s="98">
        <f t="shared" ca="1" si="180"/>
        <v>1</v>
      </c>
      <c r="BF152" s="128">
        <f ca="1">IF(BE152&gt;0,22,0)</f>
        <v>22</v>
      </c>
      <c r="BG152" s="128">
        <f t="shared" ca="1" si="181"/>
        <v>484</v>
      </c>
      <c r="BH152" s="15">
        <f t="shared" ca="1" si="182"/>
        <v>80.080052083964333</v>
      </c>
      <c r="BI152" s="127">
        <f t="shared" ca="1" si="183"/>
        <v>3.6568373206354861</v>
      </c>
      <c r="BJ152" s="127">
        <f t="shared" ca="1" si="201"/>
        <v>38.738631055505664</v>
      </c>
      <c r="BL152" s="121">
        <f t="shared" si="184"/>
        <v>44927</v>
      </c>
      <c r="BM152" s="131">
        <v>0</v>
      </c>
      <c r="BN152" s="15">
        <f t="shared" si="185"/>
        <v>0</v>
      </c>
      <c r="BO152" s="98">
        <f t="shared" si="186"/>
        <v>0</v>
      </c>
      <c r="BP152" s="128">
        <f>IF(BO152&gt;0,22,0)</f>
        <v>0</v>
      </c>
      <c r="BQ152" s="128">
        <f t="shared" si="187"/>
        <v>0</v>
      </c>
      <c r="BR152" s="15">
        <f t="shared" si="188"/>
        <v>0</v>
      </c>
      <c r="BS152" s="127">
        <f t="shared" ca="1" si="189"/>
        <v>3.5459584216918016</v>
      </c>
      <c r="BT152" s="127">
        <f t="shared" ca="1" si="202"/>
        <v>34.672900682698888</v>
      </c>
      <c r="BZ152" s="583">
        <f t="shared" si="190"/>
        <v>1</v>
      </c>
      <c r="CA152" s="121">
        <f t="shared" si="191"/>
        <v>44927</v>
      </c>
      <c r="CB152" s="127">
        <f t="shared" ca="1" si="192"/>
        <v>38.091926906136003</v>
      </c>
      <c r="CC152" s="15">
        <f t="shared" ca="1" si="193"/>
        <v>3.640002367452924</v>
      </c>
      <c r="CD152" s="98">
        <f t="shared" ca="1" si="194"/>
        <v>1</v>
      </c>
      <c r="CE152" s="128">
        <f ca="1">IF(CD152&gt;0,22,0)</f>
        <v>22</v>
      </c>
      <c r="CF152" s="128">
        <f t="shared" ca="1" si="195"/>
        <v>484</v>
      </c>
      <c r="CG152" s="15">
        <f t="shared" ca="1" si="196"/>
        <v>80.080052083964333</v>
      </c>
      <c r="CH152" s="127">
        <f t="shared" ca="1" si="197"/>
        <v>3.6019236849906249</v>
      </c>
      <c r="CI152" s="127">
        <f t="shared" ca="1" si="203"/>
        <v>36.66870567845703</v>
      </c>
    </row>
    <row r="153" spans="24:87" x14ac:dyDescent="0.2">
      <c r="X153" s="121">
        <f t="shared" si="159"/>
        <v>44958</v>
      </c>
      <c r="Y153" s="73">
        <f t="shared" si="159"/>
        <v>35.59053999092955</v>
      </c>
      <c r="Z153" s="15">
        <f t="shared" si="160"/>
        <v>3.5720798719534885</v>
      </c>
      <c r="AA153" s="98">
        <f t="shared" si="161"/>
        <v>1</v>
      </c>
      <c r="AB153" s="128">
        <f>IF(AA153&gt;0,23,0)</f>
        <v>23</v>
      </c>
      <c r="AC153" s="128">
        <f t="shared" si="162"/>
        <v>529</v>
      </c>
      <c r="AD153" s="15">
        <f t="shared" si="163"/>
        <v>82.157837054930241</v>
      </c>
      <c r="AE153" s="127">
        <f t="shared" ca="1" si="164"/>
        <v>3.6983901224695162</v>
      </c>
      <c r="AF153" s="127">
        <f t="shared" ca="1" si="165"/>
        <v>40.382241539248106</v>
      </c>
      <c r="AH153" s="121">
        <f t="shared" si="154"/>
        <v>44958</v>
      </c>
      <c r="AI153" s="73">
        <f t="shared" ca="1" si="166"/>
        <v>38.251779489981921</v>
      </c>
      <c r="AJ153" s="15">
        <f t="shared" ca="1" si="167"/>
        <v>3.6441900818043078</v>
      </c>
      <c r="AK153" s="98">
        <f t="shared" ca="1" si="168"/>
        <v>1</v>
      </c>
      <c r="AL153" s="128">
        <f ca="1">IF(AK153&gt;0,23,0)</f>
        <v>23</v>
      </c>
      <c r="AM153" s="128">
        <f t="shared" ca="1" si="169"/>
        <v>529</v>
      </c>
      <c r="AN153" s="15">
        <f t="shared" ca="1" si="170"/>
        <v>83.81637188149908</v>
      </c>
      <c r="AO153" s="127">
        <f t="shared" ca="1" si="171"/>
        <v>3.717381908543667</v>
      </c>
      <c r="AP153" s="127">
        <f t="shared" ca="1" si="198"/>
        <v>41.156501448997759</v>
      </c>
      <c r="AR153" s="121">
        <f t="shared" si="172"/>
        <v>44958</v>
      </c>
      <c r="AS153" s="73">
        <f t="shared" ca="1" si="199"/>
        <v>38.251779489981921</v>
      </c>
      <c r="AT153" s="15">
        <f t="shared" ca="1" si="173"/>
        <v>3.6441900818043078</v>
      </c>
      <c r="AU153" s="98">
        <f t="shared" ca="1" si="174"/>
        <v>1</v>
      </c>
      <c r="AV153" s="128">
        <f ca="1">IF(AU153&gt;0,23,0)</f>
        <v>23</v>
      </c>
      <c r="AW153" s="128">
        <f t="shared" ca="1" si="175"/>
        <v>529</v>
      </c>
      <c r="AX153" s="15">
        <f t="shared" ca="1" si="176"/>
        <v>83.81637188149908</v>
      </c>
      <c r="AY153" s="127">
        <f t="shared" ca="1" si="177"/>
        <v>3.5917042425913404</v>
      </c>
      <c r="AZ153" s="127">
        <f t="shared" ca="1" si="155"/>
        <v>36.295880231733982</v>
      </c>
      <c r="BB153" s="121">
        <f t="shared" si="178"/>
        <v>44958</v>
      </c>
      <c r="BC153" s="73">
        <f t="shared" ca="1" si="200"/>
        <v>38.251779489981921</v>
      </c>
      <c r="BD153" s="15">
        <f t="shared" ca="1" si="179"/>
        <v>3.6441900818043078</v>
      </c>
      <c r="BE153" s="98">
        <f t="shared" ca="1" si="180"/>
        <v>1</v>
      </c>
      <c r="BF153" s="128">
        <f ca="1">IF(BE153&gt;0,23,0)</f>
        <v>23</v>
      </c>
      <c r="BG153" s="128">
        <f t="shared" ca="1" si="181"/>
        <v>529</v>
      </c>
      <c r="BH153" s="15">
        <f t="shared" ca="1" si="182"/>
        <v>83.81637188149908</v>
      </c>
      <c r="BI153" s="127">
        <f t="shared" ca="1" si="183"/>
        <v>3.6568373206354861</v>
      </c>
      <c r="BJ153" s="127">
        <f t="shared" ca="1" si="201"/>
        <v>38.738631055505664</v>
      </c>
      <c r="BL153" s="121">
        <f t="shared" si="184"/>
        <v>44958</v>
      </c>
      <c r="BM153" s="73">
        <f ca="1">+AI153</f>
        <v>38.251779489981921</v>
      </c>
      <c r="BN153" s="15">
        <f t="shared" ca="1" si="185"/>
        <v>3.6441900818043078</v>
      </c>
      <c r="BO153" s="98">
        <f t="shared" ca="1" si="186"/>
        <v>1</v>
      </c>
      <c r="BP153" s="128">
        <f ca="1">IF(BO153&gt;0,23,0)</f>
        <v>23</v>
      </c>
      <c r="BQ153" s="128">
        <f t="shared" ca="1" si="187"/>
        <v>529</v>
      </c>
      <c r="BR153" s="15">
        <f t="shared" ca="1" si="188"/>
        <v>83.81637188149908</v>
      </c>
      <c r="BS153" s="127">
        <f t="shared" ca="1" si="189"/>
        <v>3.5459584216918016</v>
      </c>
      <c r="BT153" s="127">
        <f t="shared" ca="1" si="202"/>
        <v>34.672900682698888</v>
      </c>
      <c r="BZ153" s="583">
        <f t="shared" si="190"/>
        <v>1</v>
      </c>
      <c r="CA153" s="121">
        <f t="shared" si="191"/>
        <v>44958</v>
      </c>
      <c r="CB153" s="127">
        <f t="shared" ca="1" si="192"/>
        <v>38.251779489981921</v>
      </c>
      <c r="CC153" s="15">
        <f t="shared" ca="1" si="193"/>
        <v>3.6441900818043078</v>
      </c>
      <c r="CD153" s="98">
        <f t="shared" ca="1" si="194"/>
        <v>1</v>
      </c>
      <c r="CE153" s="128">
        <f ca="1">IF(CD153&gt;0,23,0)</f>
        <v>23</v>
      </c>
      <c r="CF153" s="128">
        <f t="shared" ca="1" si="195"/>
        <v>529</v>
      </c>
      <c r="CG153" s="15">
        <f t="shared" ca="1" si="196"/>
        <v>83.81637188149908</v>
      </c>
      <c r="CH153" s="127">
        <f t="shared" ca="1" si="197"/>
        <v>3.6019236849906249</v>
      </c>
      <c r="CI153" s="127">
        <f t="shared" ca="1" si="203"/>
        <v>36.66870567845703</v>
      </c>
    </row>
    <row r="154" spans="24:87" x14ac:dyDescent="0.2">
      <c r="X154" s="121">
        <f t="shared" si="159"/>
        <v>44986</v>
      </c>
      <c r="Y154" s="73">
        <f t="shared" si="159"/>
        <v>43.272089036718107</v>
      </c>
      <c r="Z154" s="15">
        <f t="shared" si="160"/>
        <v>3.7675078321728073</v>
      </c>
      <c r="AA154" s="98">
        <f t="shared" si="161"/>
        <v>1</v>
      </c>
      <c r="AB154" s="128">
        <f>IF(AA154&gt;0,24,0)</f>
        <v>24</v>
      </c>
      <c r="AC154" s="128">
        <f t="shared" si="162"/>
        <v>576</v>
      </c>
      <c r="AD154" s="15">
        <f t="shared" si="163"/>
        <v>90.420187972147374</v>
      </c>
      <c r="AE154" s="127">
        <f t="shared" ca="1" si="164"/>
        <v>3.6983901224695162</v>
      </c>
      <c r="AF154" s="127">
        <f t="shared" ca="1" si="165"/>
        <v>40.382241539248106</v>
      </c>
      <c r="AH154" s="121">
        <f t="shared" si="154"/>
        <v>44986</v>
      </c>
      <c r="AI154" s="73">
        <f t="shared" ca="1" si="166"/>
        <v>38.420343103770144</v>
      </c>
      <c r="AJ154" s="15">
        <f t="shared" ca="1" si="167"/>
        <v>3.6485870876433291</v>
      </c>
      <c r="AK154" s="98">
        <f t="shared" ca="1" si="168"/>
        <v>1</v>
      </c>
      <c r="AL154" s="128">
        <f ca="1">IF(AK154&gt;0,24,0)</f>
        <v>24</v>
      </c>
      <c r="AM154" s="128">
        <f t="shared" ca="1" si="169"/>
        <v>576</v>
      </c>
      <c r="AN154" s="15">
        <f t="shared" ca="1" si="170"/>
        <v>87.566090103439905</v>
      </c>
      <c r="AO154" s="127">
        <f t="shared" ca="1" si="171"/>
        <v>3.717381908543667</v>
      </c>
      <c r="AP154" s="127">
        <f t="shared" ca="1" si="198"/>
        <v>41.156501448997759</v>
      </c>
      <c r="AR154" s="121">
        <f t="shared" si="172"/>
        <v>44986</v>
      </c>
      <c r="AS154" s="73">
        <f t="shared" ca="1" si="199"/>
        <v>38.420343103770144</v>
      </c>
      <c r="AT154" s="15">
        <f t="shared" ca="1" si="173"/>
        <v>3.6485870876433291</v>
      </c>
      <c r="AU154" s="98">
        <f t="shared" ca="1" si="174"/>
        <v>1</v>
      </c>
      <c r="AV154" s="128">
        <f ca="1">IF(AU154&gt;0,24,0)</f>
        <v>24</v>
      </c>
      <c r="AW154" s="128">
        <f t="shared" ca="1" si="175"/>
        <v>576</v>
      </c>
      <c r="AX154" s="15">
        <f t="shared" ca="1" si="176"/>
        <v>87.566090103439905</v>
      </c>
      <c r="AY154" s="127">
        <f t="shared" ca="1" si="177"/>
        <v>3.5917042425913404</v>
      </c>
      <c r="AZ154" s="127">
        <f t="shared" ca="1" si="155"/>
        <v>36.295880231733982</v>
      </c>
      <c r="BB154" s="121">
        <f t="shared" si="178"/>
        <v>44986</v>
      </c>
      <c r="BC154" s="73">
        <f t="shared" ca="1" si="200"/>
        <v>38.420343103770144</v>
      </c>
      <c r="BD154" s="15">
        <f t="shared" ca="1" si="179"/>
        <v>3.6485870876433291</v>
      </c>
      <c r="BE154" s="98">
        <f t="shared" ca="1" si="180"/>
        <v>1</v>
      </c>
      <c r="BF154" s="128">
        <f ca="1">IF(BE154&gt;0,24,0)</f>
        <v>24</v>
      </c>
      <c r="BG154" s="128">
        <f t="shared" ca="1" si="181"/>
        <v>576</v>
      </c>
      <c r="BH154" s="15">
        <f t="shared" ca="1" si="182"/>
        <v>87.566090103439905</v>
      </c>
      <c r="BI154" s="127">
        <f t="shared" ca="1" si="183"/>
        <v>3.6568373206354861</v>
      </c>
      <c r="BJ154" s="127">
        <f t="shared" ca="1" si="201"/>
        <v>38.738631055505664</v>
      </c>
      <c r="BL154" s="121">
        <f t="shared" si="184"/>
        <v>44986</v>
      </c>
      <c r="BM154" s="73">
        <f t="shared" ref="BM154:BM164" ca="1" si="204">+AI154</f>
        <v>38.420343103770144</v>
      </c>
      <c r="BN154" s="15">
        <f t="shared" ca="1" si="185"/>
        <v>3.6485870876433291</v>
      </c>
      <c r="BO154" s="98">
        <f t="shared" ca="1" si="186"/>
        <v>1</v>
      </c>
      <c r="BP154" s="128">
        <f ca="1">IF(BO154&gt;0,24,0)</f>
        <v>24</v>
      </c>
      <c r="BQ154" s="128">
        <f t="shared" ca="1" si="187"/>
        <v>576</v>
      </c>
      <c r="BR154" s="15">
        <f t="shared" ca="1" si="188"/>
        <v>87.566090103439905</v>
      </c>
      <c r="BS154" s="127">
        <f t="shared" ca="1" si="189"/>
        <v>3.5459584216918016</v>
      </c>
      <c r="BT154" s="127">
        <f t="shared" ca="1" si="202"/>
        <v>34.672900682698888</v>
      </c>
      <c r="BZ154" s="583">
        <f t="shared" si="190"/>
        <v>1</v>
      </c>
      <c r="CA154" s="121">
        <f t="shared" si="191"/>
        <v>44986</v>
      </c>
      <c r="CB154" s="127">
        <f t="shared" ca="1" si="192"/>
        <v>38.420343103770144</v>
      </c>
      <c r="CC154" s="15">
        <f t="shared" ca="1" si="193"/>
        <v>3.6485870876433291</v>
      </c>
      <c r="CD154" s="98">
        <f t="shared" ca="1" si="194"/>
        <v>1</v>
      </c>
      <c r="CE154" s="128">
        <f ca="1">IF(CD154&gt;0,24,0)</f>
        <v>24</v>
      </c>
      <c r="CF154" s="128">
        <f t="shared" ca="1" si="195"/>
        <v>576</v>
      </c>
      <c r="CG154" s="15">
        <f t="shared" ca="1" si="196"/>
        <v>87.566090103439905</v>
      </c>
      <c r="CH154" s="127">
        <f t="shared" ca="1" si="197"/>
        <v>3.6019236849906249</v>
      </c>
      <c r="CI154" s="127">
        <f t="shared" ca="1" si="203"/>
        <v>36.66870567845703</v>
      </c>
    </row>
    <row r="155" spans="24:87" x14ac:dyDescent="0.2">
      <c r="X155" s="121">
        <f t="shared" si="159"/>
        <v>45017</v>
      </c>
      <c r="Y155" s="73">
        <f t="shared" ca="1" si="159"/>
        <v>35.983312262958279</v>
      </c>
      <c r="Z155" s="15">
        <f t="shared" ca="1" si="160"/>
        <v>3.5830552827332469</v>
      </c>
      <c r="AA155" s="98">
        <f t="shared" ca="1" si="161"/>
        <v>1</v>
      </c>
      <c r="AB155" s="128">
        <f ca="1">IF(AA155&gt;0,25,0)</f>
        <v>25</v>
      </c>
      <c r="AC155" s="128">
        <f t="shared" ca="1" si="162"/>
        <v>625</v>
      </c>
      <c r="AD155" s="15">
        <f t="shared" ca="1" si="163"/>
        <v>89.576382068331171</v>
      </c>
      <c r="AE155" s="127">
        <f t="shared" ca="1" si="164"/>
        <v>3.6983901224695162</v>
      </c>
      <c r="AF155" s="127">
        <f t="shared" ca="1" si="165"/>
        <v>40.382241539248106</v>
      </c>
      <c r="AH155" s="121">
        <f t="shared" si="154"/>
        <v>45017</v>
      </c>
      <c r="AI155" s="73">
        <f t="shared" ca="1" si="166"/>
        <v>39.06438800339523</v>
      </c>
      <c r="AJ155" s="15">
        <f t="shared" ca="1" si="167"/>
        <v>3.6652112592155417</v>
      </c>
      <c r="AK155" s="98">
        <f t="shared" ca="1" si="168"/>
        <v>1</v>
      </c>
      <c r="AL155" s="128">
        <f ca="1">IF(AK155&gt;0,25,0)</f>
        <v>25</v>
      </c>
      <c r="AM155" s="128">
        <f t="shared" ca="1" si="169"/>
        <v>625</v>
      </c>
      <c r="AN155" s="15">
        <f t="shared" ca="1" si="170"/>
        <v>91.630281480388547</v>
      </c>
      <c r="AO155" s="127">
        <f t="shared" ca="1" si="171"/>
        <v>3.717381908543667</v>
      </c>
      <c r="AP155" s="127">
        <f t="shared" ca="1" si="198"/>
        <v>41.156501448997759</v>
      </c>
      <c r="AR155" s="121">
        <f t="shared" si="172"/>
        <v>45017</v>
      </c>
      <c r="AS155" s="73">
        <f t="shared" ca="1" si="199"/>
        <v>39.06438800339523</v>
      </c>
      <c r="AT155" s="15">
        <f t="shared" ca="1" si="173"/>
        <v>3.6652112592155417</v>
      </c>
      <c r="AU155" s="98">
        <f t="shared" ca="1" si="174"/>
        <v>1</v>
      </c>
      <c r="AV155" s="128">
        <f ca="1">IF(AU155&gt;0,25,0)</f>
        <v>25</v>
      </c>
      <c r="AW155" s="128">
        <f t="shared" ca="1" si="175"/>
        <v>625</v>
      </c>
      <c r="AX155" s="15">
        <f t="shared" ca="1" si="176"/>
        <v>91.630281480388547</v>
      </c>
      <c r="AY155" s="127">
        <f t="shared" ca="1" si="177"/>
        <v>3.5917042425913404</v>
      </c>
      <c r="AZ155" s="127">
        <f t="shared" ca="1" si="155"/>
        <v>36.295880231733982</v>
      </c>
      <c r="BB155" s="121">
        <f t="shared" si="178"/>
        <v>45017</v>
      </c>
      <c r="BC155" s="73">
        <f t="shared" ca="1" si="200"/>
        <v>39.06438800339523</v>
      </c>
      <c r="BD155" s="15">
        <f t="shared" ca="1" si="179"/>
        <v>3.6652112592155417</v>
      </c>
      <c r="BE155" s="98">
        <f t="shared" ca="1" si="180"/>
        <v>1</v>
      </c>
      <c r="BF155" s="128">
        <f ca="1">IF(BE155&gt;0,25,0)</f>
        <v>25</v>
      </c>
      <c r="BG155" s="128">
        <f t="shared" ca="1" si="181"/>
        <v>625</v>
      </c>
      <c r="BH155" s="15">
        <f t="shared" ca="1" si="182"/>
        <v>91.630281480388547</v>
      </c>
      <c r="BI155" s="127">
        <f t="shared" ca="1" si="183"/>
        <v>3.6568373206354861</v>
      </c>
      <c r="BJ155" s="127">
        <f t="shared" ca="1" si="201"/>
        <v>38.738631055505664</v>
      </c>
      <c r="BL155" s="121">
        <f t="shared" si="184"/>
        <v>45017</v>
      </c>
      <c r="BM155" s="73">
        <f ca="1">+AI155</f>
        <v>39.06438800339523</v>
      </c>
      <c r="BN155" s="15">
        <f t="shared" ca="1" si="185"/>
        <v>3.6652112592155417</v>
      </c>
      <c r="BO155" s="98">
        <f t="shared" ca="1" si="186"/>
        <v>1</v>
      </c>
      <c r="BP155" s="128">
        <f ca="1">IF(BO155&gt;0,25,0)</f>
        <v>25</v>
      </c>
      <c r="BQ155" s="128">
        <f t="shared" ca="1" si="187"/>
        <v>625</v>
      </c>
      <c r="BR155" s="15">
        <f t="shared" ca="1" si="188"/>
        <v>91.630281480388547</v>
      </c>
      <c r="BS155" s="127">
        <f t="shared" ca="1" si="189"/>
        <v>3.5459584216918016</v>
      </c>
      <c r="BT155" s="127">
        <f t="shared" ca="1" si="202"/>
        <v>34.672900682698888</v>
      </c>
      <c r="BZ155" s="583">
        <f t="shared" si="190"/>
        <v>1</v>
      </c>
      <c r="CA155" s="121">
        <f t="shared" si="191"/>
        <v>45017</v>
      </c>
      <c r="CB155" s="127">
        <f t="shared" ca="1" si="192"/>
        <v>39.06438800339523</v>
      </c>
      <c r="CC155" s="15">
        <f t="shared" ca="1" si="193"/>
        <v>3.6652112592155417</v>
      </c>
      <c r="CD155" s="98">
        <f t="shared" ca="1" si="194"/>
        <v>1</v>
      </c>
      <c r="CE155" s="128">
        <f ca="1">IF(CD155&gt;0,25,0)</f>
        <v>25</v>
      </c>
      <c r="CF155" s="128">
        <f t="shared" ca="1" si="195"/>
        <v>625</v>
      </c>
      <c r="CG155" s="15">
        <f t="shared" ca="1" si="196"/>
        <v>91.630281480388547</v>
      </c>
      <c r="CH155" s="127">
        <f t="shared" ca="1" si="197"/>
        <v>3.6019236849906249</v>
      </c>
      <c r="CI155" s="127">
        <f t="shared" ca="1" si="203"/>
        <v>36.66870567845703</v>
      </c>
    </row>
    <row r="156" spans="24:87" x14ac:dyDescent="0.2">
      <c r="X156" s="121">
        <f t="shared" si="159"/>
        <v>45047</v>
      </c>
      <c r="Y156" s="73">
        <f t="shared" ca="1" si="159"/>
        <v>40.251983787602725</v>
      </c>
      <c r="Z156" s="15">
        <f t="shared" ca="1" si="160"/>
        <v>3.6951592892985405</v>
      </c>
      <c r="AA156" s="98">
        <f t="shared" ca="1" si="161"/>
        <v>1</v>
      </c>
      <c r="AB156" s="128">
        <f ca="1">IF(AA156&gt;0,26,0)</f>
        <v>26</v>
      </c>
      <c r="AC156" s="128">
        <f t="shared" ca="1" si="162"/>
        <v>676</v>
      </c>
      <c r="AD156" s="15">
        <f t="shared" ca="1" si="163"/>
        <v>96.074141521762058</v>
      </c>
      <c r="AE156" s="127">
        <f t="shared" ca="1" si="164"/>
        <v>3.6983901224695162</v>
      </c>
      <c r="AF156" s="127">
        <f t="shared" ca="1" si="165"/>
        <v>40.382241539248106</v>
      </c>
      <c r="AH156" s="121">
        <f t="shared" si="154"/>
        <v>45047</v>
      </c>
      <c r="AI156" s="73">
        <f t="shared" ca="1" si="166"/>
        <v>40.450772078602121</v>
      </c>
      <c r="AJ156" s="15">
        <f t="shared" ca="1" si="167"/>
        <v>3.7000857305560158</v>
      </c>
      <c r="AK156" s="98">
        <f t="shared" ca="1" si="168"/>
        <v>1</v>
      </c>
      <c r="AL156" s="128">
        <f ca="1">IF(AK156&gt;0,26,0)</f>
        <v>26</v>
      </c>
      <c r="AM156" s="128">
        <f t="shared" ca="1" si="169"/>
        <v>676</v>
      </c>
      <c r="AN156" s="15">
        <f t="shared" ca="1" si="170"/>
        <v>96.202228994456405</v>
      </c>
      <c r="AO156" s="127">
        <f t="shared" ca="1" si="171"/>
        <v>3.717381908543667</v>
      </c>
      <c r="AP156" s="127">
        <f t="shared" ca="1" si="198"/>
        <v>41.156501448997759</v>
      </c>
      <c r="AR156" s="121">
        <f t="shared" si="172"/>
        <v>45047</v>
      </c>
      <c r="AS156" s="73">
        <f t="shared" ca="1" si="199"/>
        <v>40.450772078602121</v>
      </c>
      <c r="AT156" s="15">
        <f t="shared" ca="1" si="173"/>
        <v>3.7000857305560158</v>
      </c>
      <c r="AU156" s="98">
        <f t="shared" ca="1" si="174"/>
        <v>1</v>
      </c>
      <c r="AV156" s="128">
        <f ca="1">IF(AU156&gt;0,26,0)</f>
        <v>26</v>
      </c>
      <c r="AW156" s="128">
        <f t="shared" ca="1" si="175"/>
        <v>676</v>
      </c>
      <c r="AX156" s="15">
        <f t="shared" ca="1" si="176"/>
        <v>96.202228994456405</v>
      </c>
      <c r="AY156" s="127">
        <f t="shared" ca="1" si="177"/>
        <v>3.5917042425913404</v>
      </c>
      <c r="AZ156" s="127">
        <f t="shared" ca="1" si="155"/>
        <v>36.295880231733982</v>
      </c>
      <c r="BB156" s="121">
        <f t="shared" si="178"/>
        <v>45047</v>
      </c>
      <c r="BC156" s="73">
        <f t="shared" ca="1" si="200"/>
        <v>40.450772078602121</v>
      </c>
      <c r="BD156" s="15">
        <f t="shared" ca="1" si="179"/>
        <v>3.7000857305560158</v>
      </c>
      <c r="BE156" s="98">
        <f t="shared" ca="1" si="180"/>
        <v>1</v>
      </c>
      <c r="BF156" s="128">
        <f ca="1">IF(BE156&gt;0,26,0)</f>
        <v>26</v>
      </c>
      <c r="BG156" s="128">
        <f t="shared" ca="1" si="181"/>
        <v>676</v>
      </c>
      <c r="BH156" s="15">
        <f t="shared" ca="1" si="182"/>
        <v>96.202228994456405</v>
      </c>
      <c r="BI156" s="127">
        <f t="shared" ca="1" si="183"/>
        <v>3.6568373206354861</v>
      </c>
      <c r="BJ156" s="127">
        <f t="shared" ca="1" si="201"/>
        <v>38.738631055505664</v>
      </c>
      <c r="BL156" s="121">
        <f t="shared" si="184"/>
        <v>45047</v>
      </c>
      <c r="BM156" s="73">
        <f t="shared" ca="1" si="204"/>
        <v>40.450772078602121</v>
      </c>
      <c r="BN156" s="15">
        <f t="shared" ca="1" si="185"/>
        <v>3.7000857305560158</v>
      </c>
      <c r="BO156" s="98">
        <f t="shared" ca="1" si="186"/>
        <v>1</v>
      </c>
      <c r="BP156" s="128">
        <f ca="1">IF(BO156&gt;0,26,0)</f>
        <v>26</v>
      </c>
      <c r="BQ156" s="128">
        <f t="shared" ca="1" si="187"/>
        <v>676</v>
      </c>
      <c r="BR156" s="15">
        <f t="shared" ca="1" si="188"/>
        <v>96.202228994456405</v>
      </c>
      <c r="BS156" s="127">
        <f t="shared" ca="1" si="189"/>
        <v>3.5459584216918016</v>
      </c>
      <c r="BT156" s="127">
        <f t="shared" ca="1" si="202"/>
        <v>34.672900682698888</v>
      </c>
      <c r="BZ156" s="583">
        <f t="shared" si="190"/>
        <v>1</v>
      </c>
      <c r="CA156" s="121">
        <f t="shared" si="191"/>
        <v>45047</v>
      </c>
      <c r="CB156" s="127">
        <f t="shared" ca="1" si="192"/>
        <v>40.450772078602121</v>
      </c>
      <c r="CC156" s="15">
        <f t="shared" ca="1" si="193"/>
        <v>3.7000857305560158</v>
      </c>
      <c r="CD156" s="98">
        <f t="shared" ca="1" si="194"/>
        <v>1</v>
      </c>
      <c r="CE156" s="128">
        <f ca="1">IF(CD156&gt;0,26,0)</f>
        <v>26</v>
      </c>
      <c r="CF156" s="128">
        <f t="shared" ca="1" si="195"/>
        <v>676</v>
      </c>
      <c r="CG156" s="15">
        <f t="shared" ca="1" si="196"/>
        <v>96.202228994456405</v>
      </c>
      <c r="CH156" s="127">
        <f t="shared" ca="1" si="197"/>
        <v>3.6019236849906249</v>
      </c>
      <c r="CI156" s="127">
        <f t="shared" ca="1" si="203"/>
        <v>36.66870567845703</v>
      </c>
    </row>
    <row r="157" spans="24:87" x14ac:dyDescent="0.2">
      <c r="X157" s="121">
        <f t="shared" si="159"/>
        <v>45078</v>
      </c>
      <c r="Y157" s="73">
        <f t="shared" ca="1" si="159"/>
        <v>40.966554665288186</v>
      </c>
      <c r="Z157" s="15">
        <f t="shared" ca="1" si="160"/>
        <v>3.7127559939364687</v>
      </c>
      <c r="AA157" s="98">
        <f t="shared" ca="1" si="161"/>
        <v>1</v>
      </c>
      <c r="AB157" s="128">
        <f ca="1">IF(AA157&gt;0,27,0)</f>
        <v>27</v>
      </c>
      <c r="AC157" s="128">
        <f t="shared" ca="1" si="162"/>
        <v>729</v>
      </c>
      <c r="AD157" s="15">
        <f t="shared" ca="1" si="163"/>
        <v>100.24441183628466</v>
      </c>
      <c r="AE157" s="127">
        <f t="shared" ca="1" si="164"/>
        <v>3.6983901224695162</v>
      </c>
      <c r="AF157" s="127">
        <f t="shared" ca="1" si="165"/>
        <v>40.382241539248106</v>
      </c>
      <c r="AH157" s="121">
        <f t="shared" si="154"/>
        <v>45078</v>
      </c>
      <c r="AI157" s="73">
        <f t="shared" ca="1" si="166"/>
        <v>39.844760491322859</v>
      </c>
      <c r="AJ157" s="15">
        <f t="shared" ca="1" si="167"/>
        <v>3.6849909158220546</v>
      </c>
      <c r="AK157" s="98">
        <f t="shared" ca="1" si="168"/>
        <v>1</v>
      </c>
      <c r="AL157" s="128">
        <f ca="1">IF(AK157&gt;0,27,0)</f>
        <v>27</v>
      </c>
      <c r="AM157" s="128">
        <f t="shared" ca="1" si="169"/>
        <v>729</v>
      </c>
      <c r="AN157" s="15">
        <f t="shared" ca="1" si="170"/>
        <v>99.49475472719547</v>
      </c>
      <c r="AO157" s="127">
        <f t="shared" ca="1" si="171"/>
        <v>3.717381908543667</v>
      </c>
      <c r="AP157" s="127">
        <f t="shared" ca="1" si="198"/>
        <v>41.156501448997759</v>
      </c>
      <c r="AR157" s="121">
        <f t="shared" si="172"/>
        <v>45078</v>
      </c>
      <c r="AS157" s="73">
        <f t="shared" ca="1" si="199"/>
        <v>39.844760491322859</v>
      </c>
      <c r="AT157" s="15">
        <f t="shared" ca="1" si="173"/>
        <v>3.6849909158220546</v>
      </c>
      <c r="AU157" s="98">
        <f t="shared" ca="1" si="174"/>
        <v>1</v>
      </c>
      <c r="AV157" s="128">
        <f ca="1">IF(AU157&gt;0,27,0)</f>
        <v>27</v>
      </c>
      <c r="AW157" s="128">
        <f t="shared" ca="1" si="175"/>
        <v>729</v>
      </c>
      <c r="AX157" s="15">
        <f t="shared" ca="1" si="176"/>
        <v>99.49475472719547</v>
      </c>
      <c r="AY157" s="127">
        <f t="shared" ca="1" si="177"/>
        <v>3.5917042425913404</v>
      </c>
      <c r="AZ157" s="127">
        <f t="shared" ca="1" si="155"/>
        <v>36.295880231733982</v>
      </c>
      <c r="BB157" s="121">
        <f t="shared" si="178"/>
        <v>45078</v>
      </c>
      <c r="BC157" s="73">
        <f t="shared" ca="1" si="200"/>
        <v>39.844760491322859</v>
      </c>
      <c r="BD157" s="15">
        <f t="shared" ca="1" si="179"/>
        <v>3.6849909158220546</v>
      </c>
      <c r="BE157" s="98">
        <f t="shared" ca="1" si="180"/>
        <v>1</v>
      </c>
      <c r="BF157" s="128">
        <f ca="1">IF(BE157&gt;0,27,0)</f>
        <v>27</v>
      </c>
      <c r="BG157" s="128">
        <f t="shared" ca="1" si="181"/>
        <v>729</v>
      </c>
      <c r="BH157" s="15">
        <f t="shared" ca="1" si="182"/>
        <v>99.49475472719547</v>
      </c>
      <c r="BI157" s="127">
        <f t="shared" ca="1" si="183"/>
        <v>3.6568373206354861</v>
      </c>
      <c r="BJ157" s="127">
        <f t="shared" ca="1" si="201"/>
        <v>38.738631055505664</v>
      </c>
      <c r="BL157" s="121">
        <f t="shared" si="184"/>
        <v>45078</v>
      </c>
      <c r="BM157" s="73">
        <f t="shared" ca="1" si="204"/>
        <v>39.844760491322859</v>
      </c>
      <c r="BN157" s="15">
        <f t="shared" ca="1" si="185"/>
        <v>3.6849909158220546</v>
      </c>
      <c r="BO157" s="98">
        <f t="shared" ca="1" si="186"/>
        <v>1</v>
      </c>
      <c r="BP157" s="128">
        <f ca="1">IF(BO157&gt;0,27,0)</f>
        <v>27</v>
      </c>
      <c r="BQ157" s="128">
        <f t="shared" ca="1" si="187"/>
        <v>729</v>
      </c>
      <c r="BR157" s="15">
        <f t="shared" ca="1" si="188"/>
        <v>99.49475472719547</v>
      </c>
      <c r="BS157" s="127">
        <f t="shared" ca="1" si="189"/>
        <v>3.5459584216918016</v>
      </c>
      <c r="BT157" s="127">
        <f t="shared" ca="1" si="202"/>
        <v>34.672900682698888</v>
      </c>
      <c r="BZ157" s="583">
        <f t="shared" si="190"/>
        <v>1</v>
      </c>
      <c r="CA157" s="121">
        <f t="shared" si="191"/>
        <v>45078</v>
      </c>
      <c r="CB157" s="127">
        <f t="shared" ca="1" si="192"/>
        <v>39.844760491322859</v>
      </c>
      <c r="CC157" s="15">
        <f t="shared" ca="1" si="193"/>
        <v>3.6849909158220546</v>
      </c>
      <c r="CD157" s="98">
        <f t="shared" ca="1" si="194"/>
        <v>1</v>
      </c>
      <c r="CE157" s="128">
        <f ca="1">IF(CD157&gt;0,27,0)</f>
        <v>27</v>
      </c>
      <c r="CF157" s="128">
        <f t="shared" ca="1" si="195"/>
        <v>729</v>
      </c>
      <c r="CG157" s="15">
        <f t="shared" ca="1" si="196"/>
        <v>99.49475472719547</v>
      </c>
      <c r="CH157" s="127">
        <f t="shared" ca="1" si="197"/>
        <v>3.6019236849906249</v>
      </c>
      <c r="CI157" s="127">
        <f t="shared" ca="1" si="203"/>
        <v>36.66870567845703</v>
      </c>
    </row>
    <row r="158" spans="24:87" x14ac:dyDescent="0.2">
      <c r="X158" s="121">
        <f t="shared" si="159"/>
        <v>45108</v>
      </c>
      <c r="Y158" s="73">
        <f t="shared" ca="1" si="159"/>
        <v>38.321848276874519</v>
      </c>
      <c r="Z158" s="15">
        <f t="shared" ca="1" si="160"/>
        <v>3.6460201846345561</v>
      </c>
      <c r="AA158" s="98">
        <f t="shared" ca="1" si="161"/>
        <v>1</v>
      </c>
      <c r="AB158" s="128">
        <f ca="1">IF(AA158&gt;0,28,0)</f>
        <v>28</v>
      </c>
      <c r="AC158" s="128">
        <f t="shared" ca="1" si="162"/>
        <v>784</v>
      </c>
      <c r="AD158" s="15">
        <f t="shared" ca="1" si="163"/>
        <v>102.08856516976758</v>
      </c>
      <c r="AE158" s="127">
        <f t="shared" ca="1" si="164"/>
        <v>3.6983901224695162</v>
      </c>
      <c r="AF158" s="127">
        <f t="shared" ca="1" si="165"/>
        <v>40.382241539248106</v>
      </c>
      <c r="AH158" s="121">
        <f t="shared" si="154"/>
        <v>45108</v>
      </c>
      <c r="AI158" s="73">
        <f t="shared" ca="1" si="166"/>
        <v>41.406584482410494</v>
      </c>
      <c r="AJ158" s="15">
        <f t="shared" ca="1" si="167"/>
        <v>3.7234399136537317</v>
      </c>
      <c r="AK158" s="98">
        <f t="shared" ca="1" si="168"/>
        <v>1</v>
      </c>
      <c r="AL158" s="128">
        <f ca="1">IF(AK158&gt;0,28,0)</f>
        <v>28</v>
      </c>
      <c r="AM158" s="128">
        <f t="shared" ca="1" si="169"/>
        <v>784</v>
      </c>
      <c r="AN158" s="15">
        <f t="shared" ca="1" si="170"/>
        <v>104.25631758230449</v>
      </c>
      <c r="AO158" s="127">
        <f t="shared" ca="1" si="171"/>
        <v>3.717381908543667</v>
      </c>
      <c r="AP158" s="127">
        <f t="shared" ca="1" si="198"/>
        <v>41.156501448997759</v>
      </c>
      <c r="AR158" s="121">
        <f t="shared" si="172"/>
        <v>45108</v>
      </c>
      <c r="AS158" s="73">
        <f t="shared" ca="1" si="199"/>
        <v>41.406584482410494</v>
      </c>
      <c r="AT158" s="15">
        <f t="shared" ca="1" si="173"/>
        <v>3.7234399136537317</v>
      </c>
      <c r="AU158" s="98">
        <f t="shared" ca="1" si="174"/>
        <v>1</v>
      </c>
      <c r="AV158" s="128">
        <f ca="1">IF(AU158&gt;0,28,0)</f>
        <v>28</v>
      </c>
      <c r="AW158" s="128">
        <f t="shared" ca="1" si="175"/>
        <v>784</v>
      </c>
      <c r="AX158" s="15">
        <f t="shared" ca="1" si="176"/>
        <v>104.25631758230449</v>
      </c>
      <c r="AY158" s="127">
        <f t="shared" ca="1" si="177"/>
        <v>3.5917042425913404</v>
      </c>
      <c r="AZ158" s="127">
        <f t="shared" ca="1" si="155"/>
        <v>36.295880231733982</v>
      </c>
      <c r="BB158" s="121">
        <f t="shared" si="178"/>
        <v>45108</v>
      </c>
      <c r="BC158" s="73">
        <f t="shared" ca="1" si="200"/>
        <v>41.406584482410494</v>
      </c>
      <c r="BD158" s="15">
        <f t="shared" ca="1" si="179"/>
        <v>3.7234399136537317</v>
      </c>
      <c r="BE158" s="98">
        <f t="shared" ca="1" si="180"/>
        <v>1</v>
      </c>
      <c r="BF158" s="128">
        <f ca="1">IF(BE158&gt;0,28,0)</f>
        <v>28</v>
      </c>
      <c r="BG158" s="128">
        <f t="shared" ca="1" si="181"/>
        <v>784</v>
      </c>
      <c r="BH158" s="15">
        <f t="shared" ca="1" si="182"/>
        <v>104.25631758230449</v>
      </c>
      <c r="BI158" s="127">
        <f t="shared" ca="1" si="183"/>
        <v>3.6568373206354861</v>
      </c>
      <c r="BJ158" s="127">
        <f t="shared" ca="1" si="201"/>
        <v>38.738631055505664</v>
      </c>
      <c r="BL158" s="121">
        <f t="shared" si="184"/>
        <v>45108</v>
      </c>
      <c r="BM158" s="73">
        <f t="shared" ca="1" si="204"/>
        <v>41.406584482410494</v>
      </c>
      <c r="BN158" s="15">
        <f t="shared" ca="1" si="185"/>
        <v>3.7234399136537317</v>
      </c>
      <c r="BO158" s="98">
        <f t="shared" ca="1" si="186"/>
        <v>1</v>
      </c>
      <c r="BP158" s="128">
        <f ca="1">IF(BO158&gt;0,28,0)</f>
        <v>28</v>
      </c>
      <c r="BQ158" s="128">
        <f t="shared" ca="1" si="187"/>
        <v>784</v>
      </c>
      <c r="BR158" s="15">
        <f t="shared" ca="1" si="188"/>
        <v>104.25631758230449</v>
      </c>
      <c r="BS158" s="127">
        <f t="shared" ca="1" si="189"/>
        <v>3.5459584216918016</v>
      </c>
      <c r="BT158" s="127">
        <f t="shared" ca="1" si="202"/>
        <v>34.672900682698888</v>
      </c>
      <c r="BZ158" s="583">
        <f t="shared" si="190"/>
        <v>1</v>
      </c>
      <c r="CA158" s="121">
        <f t="shared" si="191"/>
        <v>45108</v>
      </c>
      <c r="CB158" s="127">
        <f t="shared" ca="1" si="192"/>
        <v>41.406584482410494</v>
      </c>
      <c r="CC158" s="15">
        <f t="shared" ca="1" si="193"/>
        <v>3.7234399136537317</v>
      </c>
      <c r="CD158" s="98">
        <f t="shared" ca="1" si="194"/>
        <v>1</v>
      </c>
      <c r="CE158" s="128">
        <f ca="1">IF(CD158&gt;0,28,0)</f>
        <v>28</v>
      </c>
      <c r="CF158" s="128">
        <f t="shared" ca="1" si="195"/>
        <v>784</v>
      </c>
      <c r="CG158" s="15">
        <f t="shared" ca="1" si="196"/>
        <v>104.25631758230449</v>
      </c>
      <c r="CH158" s="127">
        <f t="shared" ca="1" si="197"/>
        <v>3.6019236849906249</v>
      </c>
      <c r="CI158" s="127">
        <f t="shared" ca="1" si="203"/>
        <v>36.66870567845703</v>
      </c>
    </row>
    <row r="159" spans="24:87" x14ac:dyDescent="0.2">
      <c r="X159" s="121">
        <f t="shared" si="159"/>
        <v>45139</v>
      </c>
      <c r="Y159" s="73">
        <f t="shared" ca="1" si="159"/>
        <v>43.908844442170953</v>
      </c>
      <c r="Z159" s="15">
        <f t="shared" ca="1" si="160"/>
        <v>3.7821157677201889</v>
      </c>
      <c r="AA159" s="98">
        <f t="shared" ca="1" si="161"/>
        <v>1</v>
      </c>
      <c r="AB159" s="128">
        <f ca="1">IF(AA159&gt;0,29,0)</f>
        <v>29</v>
      </c>
      <c r="AC159" s="128">
        <f t="shared" ca="1" si="162"/>
        <v>841</v>
      </c>
      <c r="AD159" s="15">
        <f t="shared" ca="1" si="163"/>
        <v>109.68135726388547</v>
      </c>
      <c r="AE159" s="127">
        <f t="shared" ca="1" si="164"/>
        <v>3.6983901224695162</v>
      </c>
      <c r="AF159" s="127">
        <f t="shared" ca="1" si="165"/>
        <v>40.382241539248106</v>
      </c>
      <c r="AH159" s="121">
        <f t="shared" si="154"/>
        <v>45139</v>
      </c>
      <c r="AI159" s="73">
        <f t="shared" ca="1" si="166"/>
        <v>41.715835758736723</v>
      </c>
      <c r="AJ159" s="15">
        <f t="shared" ca="1" si="167"/>
        <v>3.7308808111224576</v>
      </c>
      <c r="AK159" s="98">
        <f t="shared" ca="1" si="168"/>
        <v>1</v>
      </c>
      <c r="AL159" s="128">
        <f ca="1">IF(AK159&gt;0,29,0)</f>
        <v>29</v>
      </c>
      <c r="AM159" s="128">
        <f t="shared" ca="1" si="169"/>
        <v>841</v>
      </c>
      <c r="AN159" s="15">
        <f t="shared" ca="1" si="170"/>
        <v>108.19554352255128</v>
      </c>
      <c r="AO159" s="127">
        <f t="shared" ca="1" si="171"/>
        <v>3.717381908543667</v>
      </c>
      <c r="AP159" s="127">
        <f t="shared" ca="1" si="198"/>
        <v>41.156501448997759</v>
      </c>
      <c r="AR159" s="121">
        <f t="shared" si="172"/>
        <v>45139</v>
      </c>
      <c r="AS159" s="73">
        <f t="shared" ca="1" si="199"/>
        <v>41.715835758736723</v>
      </c>
      <c r="AT159" s="15">
        <f t="shared" ca="1" si="173"/>
        <v>3.7308808111224576</v>
      </c>
      <c r="AU159" s="98">
        <f t="shared" ca="1" si="174"/>
        <v>1</v>
      </c>
      <c r="AV159" s="128">
        <f ca="1">IF(AU159&gt;0,29,0)</f>
        <v>29</v>
      </c>
      <c r="AW159" s="128">
        <f t="shared" ca="1" si="175"/>
        <v>841</v>
      </c>
      <c r="AX159" s="15">
        <f t="shared" ca="1" si="176"/>
        <v>108.19554352255128</v>
      </c>
      <c r="AY159" s="127">
        <f t="shared" ca="1" si="177"/>
        <v>3.5917042425913404</v>
      </c>
      <c r="AZ159" s="127">
        <f t="shared" ca="1" si="155"/>
        <v>36.295880231733982</v>
      </c>
      <c r="BB159" s="121">
        <f t="shared" si="178"/>
        <v>45139</v>
      </c>
      <c r="BC159" s="73">
        <f t="shared" ca="1" si="200"/>
        <v>41.715835758736723</v>
      </c>
      <c r="BD159" s="15">
        <f t="shared" ca="1" si="179"/>
        <v>3.7308808111224576</v>
      </c>
      <c r="BE159" s="98">
        <f t="shared" ca="1" si="180"/>
        <v>1</v>
      </c>
      <c r="BF159" s="128">
        <f ca="1">IF(BE159&gt;0,29,0)</f>
        <v>29</v>
      </c>
      <c r="BG159" s="128">
        <f t="shared" ca="1" si="181"/>
        <v>841</v>
      </c>
      <c r="BH159" s="15">
        <f t="shared" ca="1" si="182"/>
        <v>108.19554352255128</v>
      </c>
      <c r="BI159" s="127">
        <f t="shared" ca="1" si="183"/>
        <v>3.6568373206354861</v>
      </c>
      <c r="BJ159" s="127">
        <f t="shared" ca="1" si="201"/>
        <v>38.738631055505664</v>
      </c>
      <c r="BL159" s="121">
        <f t="shared" si="184"/>
        <v>45139</v>
      </c>
      <c r="BM159" s="73">
        <f t="shared" ca="1" si="204"/>
        <v>41.715835758736723</v>
      </c>
      <c r="BN159" s="15">
        <f t="shared" ca="1" si="185"/>
        <v>3.7308808111224576</v>
      </c>
      <c r="BO159" s="98">
        <f t="shared" ca="1" si="186"/>
        <v>1</v>
      </c>
      <c r="BP159" s="128">
        <f ca="1">IF(BO159&gt;0,29,0)</f>
        <v>29</v>
      </c>
      <c r="BQ159" s="128">
        <f t="shared" ca="1" si="187"/>
        <v>841</v>
      </c>
      <c r="BR159" s="15">
        <f t="shared" ca="1" si="188"/>
        <v>108.19554352255128</v>
      </c>
      <c r="BS159" s="127">
        <f t="shared" ca="1" si="189"/>
        <v>3.5459584216918016</v>
      </c>
      <c r="BT159" s="127">
        <f t="shared" ca="1" si="202"/>
        <v>34.672900682698888</v>
      </c>
      <c r="BZ159" s="583">
        <f t="shared" si="190"/>
        <v>1</v>
      </c>
      <c r="CA159" s="121">
        <f t="shared" si="191"/>
        <v>45139</v>
      </c>
      <c r="CB159" s="127">
        <f t="shared" ca="1" si="192"/>
        <v>41.715835758736723</v>
      </c>
      <c r="CC159" s="15">
        <f t="shared" ca="1" si="193"/>
        <v>3.7308808111224576</v>
      </c>
      <c r="CD159" s="98">
        <f t="shared" ca="1" si="194"/>
        <v>1</v>
      </c>
      <c r="CE159" s="128">
        <f ca="1">IF(CD159&gt;0,29,0)</f>
        <v>29</v>
      </c>
      <c r="CF159" s="128">
        <f t="shared" ca="1" si="195"/>
        <v>841</v>
      </c>
      <c r="CG159" s="15">
        <f t="shared" ca="1" si="196"/>
        <v>108.19554352255128</v>
      </c>
      <c r="CH159" s="127">
        <f t="shared" ca="1" si="197"/>
        <v>3.6019236849906249</v>
      </c>
      <c r="CI159" s="127">
        <f t="shared" ca="1" si="203"/>
        <v>36.66870567845703</v>
      </c>
    </row>
    <row r="160" spans="24:87" x14ac:dyDescent="0.2">
      <c r="X160" s="121">
        <f t="shared" si="159"/>
        <v>45170</v>
      </c>
      <c r="Y160" s="73">
        <f t="shared" ca="1" si="159"/>
        <v>39.63601951304247</v>
      </c>
      <c r="Z160" s="15">
        <f t="shared" ca="1" si="160"/>
        <v>3.6797382885025787</v>
      </c>
      <c r="AA160" s="98">
        <f t="shared" ca="1" si="161"/>
        <v>1</v>
      </c>
      <c r="AB160" s="128">
        <f ca="1">IF(AA160&gt;0,30,0)</f>
        <v>30</v>
      </c>
      <c r="AC160" s="128">
        <f t="shared" ca="1" si="162"/>
        <v>900</v>
      </c>
      <c r="AD160" s="15">
        <f t="shared" ca="1" si="163"/>
        <v>110.39214865507736</v>
      </c>
      <c r="AE160" s="127">
        <f t="shared" ca="1" si="164"/>
        <v>3.6983901224695162</v>
      </c>
      <c r="AF160" s="127">
        <f t="shared" ca="1" si="165"/>
        <v>40.382241539248106</v>
      </c>
      <c r="AH160" s="121">
        <f t="shared" si="154"/>
        <v>45170</v>
      </c>
      <c r="AI160" s="73">
        <f t="shared" ca="1" si="166"/>
        <v>41.510183064828567</v>
      </c>
      <c r="AJ160" s="15">
        <f t="shared" ca="1" si="167"/>
        <v>3.7259387721932273</v>
      </c>
      <c r="AK160" s="98">
        <f t="shared" ca="1" si="168"/>
        <v>1</v>
      </c>
      <c r="AL160" s="128">
        <f ca="1">IF(AK160&gt;0,30,0)</f>
        <v>30</v>
      </c>
      <c r="AM160" s="128">
        <f t="shared" ca="1" si="169"/>
        <v>900</v>
      </c>
      <c r="AN160" s="15">
        <f t="shared" ca="1" si="170"/>
        <v>111.77816316579683</v>
      </c>
      <c r="AO160" s="127">
        <f t="shared" ca="1" si="171"/>
        <v>3.717381908543667</v>
      </c>
      <c r="AP160" s="127">
        <f t="shared" ca="1" si="198"/>
        <v>41.156501448997759</v>
      </c>
      <c r="AR160" s="121">
        <f t="shared" si="172"/>
        <v>45170</v>
      </c>
      <c r="AS160" s="73">
        <f t="shared" ca="1" si="199"/>
        <v>41.510183064828567</v>
      </c>
      <c r="AT160" s="15">
        <f t="shared" ca="1" si="173"/>
        <v>3.7259387721932273</v>
      </c>
      <c r="AU160" s="98">
        <f t="shared" ca="1" si="174"/>
        <v>1</v>
      </c>
      <c r="AV160" s="128">
        <f ca="1">IF(AU160&gt;0,30,0)</f>
        <v>30</v>
      </c>
      <c r="AW160" s="128">
        <f t="shared" ca="1" si="175"/>
        <v>900</v>
      </c>
      <c r="AX160" s="15">
        <f t="shared" ca="1" si="176"/>
        <v>111.77816316579683</v>
      </c>
      <c r="AY160" s="127">
        <f t="shared" ca="1" si="177"/>
        <v>3.5917042425913404</v>
      </c>
      <c r="AZ160" s="127">
        <f t="shared" ca="1" si="155"/>
        <v>36.295880231733982</v>
      </c>
      <c r="BB160" s="121">
        <f t="shared" si="178"/>
        <v>45170</v>
      </c>
      <c r="BC160" s="73">
        <f t="shared" ca="1" si="200"/>
        <v>41.510183064828567</v>
      </c>
      <c r="BD160" s="15">
        <f t="shared" ca="1" si="179"/>
        <v>3.7259387721932273</v>
      </c>
      <c r="BE160" s="98">
        <f t="shared" ca="1" si="180"/>
        <v>1</v>
      </c>
      <c r="BF160" s="128">
        <f ca="1">IF(BE160&gt;0,30,0)</f>
        <v>30</v>
      </c>
      <c r="BG160" s="128">
        <f t="shared" ca="1" si="181"/>
        <v>900</v>
      </c>
      <c r="BH160" s="15">
        <f t="shared" ca="1" si="182"/>
        <v>111.77816316579683</v>
      </c>
      <c r="BI160" s="127">
        <f t="shared" ca="1" si="183"/>
        <v>3.6568373206354861</v>
      </c>
      <c r="BJ160" s="127">
        <f t="shared" ca="1" si="201"/>
        <v>38.738631055505664</v>
      </c>
      <c r="BL160" s="121">
        <f t="shared" si="184"/>
        <v>45170</v>
      </c>
      <c r="BM160" s="73">
        <f t="shared" ca="1" si="204"/>
        <v>41.510183064828567</v>
      </c>
      <c r="BN160" s="15">
        <f t="shared" ca="1" si="185"/>
        <v>3.7259387721932273</v>
      </c>
      <c r="BO160" s="98">
        <f t="shared" ca="1" si="186"/>
        <v>1</v>
      </c>
      <c r="BP160" s="128">
        <f ca="1">IF(BO160&gt;0,30,0)</f>
        <v>30</v>
      </c>
      <c r="BQ160" s="128">
        <f t="shared" ca="1" si="187"/>
        <v>900</v>
      </c>
      <c r="BR160" s="15">
        <f t="shared" ca="1" si="188"/>
        <v>111.77816316579683</v>
      </c>
      <c r="BS160" s="127">
        <f t="shared" ca="1" si="189"/>
        <v>3.5459584216918016</v>
      </c>
      <c r="BT160" s="127">
        <f t="shared" ca="1" si="202"/>
        <v>34.672900682698888</v>
      </c>
      <c r="BZ160" s="583">
        <f t="shared" si="190"/>
        <v>1</v>
      </c>
      <c r="CA160" s="121">
        <f t="shared" si="191"/>
        <v>45170</v>
      </c>
      <c r="CB160" s="127">
        <f t="shared" ca="1" si="192"/>
        <v>41.510183064828567</v>
      </c>
      <c r="CC160" s="15">
        <f t="shared" ca="1" si="193"/>
        <v>3.7259387721932273</v>
      </c>
      <c r="CD160" s="98">
        <f t="shared" ca="1" si="194"/>
        <v>1</v>
      </c>
      <c r="CE160" s="128">
        <f ca="1">IF(CD160&gt;0,30,0)</f>
        <v>30</v>
      </c>
      <c r="CF160" s="128">
        <f t="shared" ca="1" si="195"/>
        <v>900</v>
      </c>
      <c r="CG160" s="15">
        <f t="shared" ca="1" si="196"/>
        <v>111.77816316579683</v>
      </c>
      <c r="CH160" s="127">
        <f t="shared" ca="1" si="197"/>
        <v>3.6019236849906249</v>
      </c>
      <c r="CI160" s="127">
        <f t="shared" ca="1" si="203"/>
        <v>36.66870567845703</v>
      </c>
    </row>
    <row r="161" spans="24:87" x14ac:dyDescent="0.2">
      <c r="X161" s="121">
        <f t="shared" si="159"/>
        <v>45200</v>
      </c>
      <c r="Y161" s="73">
        <f t="shared" ca="1" si="159"/>
        <v>45.354256209484092</v>
      </c>
      <c r="Z161" s="15">
        <f t="shared" ca="1" si="160"/>
        <v>3.8145040246266078</v>
      </c>
      <c r="AA161" s="98">
        <f t="shared" ca="1" si="161"/>
        <v>1</v>
      </c>
      <c r="AB161" s="128">
        <f ca="1">IF(AA161&gt;0,31,0)</f>
        <v>31</v>
      </c>
      <c r="AC161" s="128">
        <f t="shared" ca="1" si="162"/>
        <v>961</v>
      </c>
      <c r="AD161" s="15">
        <f t="shared" ca="1" si="163"/>
        <v>118.24962476342483</v>
      </c>
      <c r="AE161" s="127">
        <f t="shared" ca="1" si="164"/>
        <v>3.6983901224695162</v>
      </c>
      <c r="AF161" s="127">
        <f t="shared" ca="1" si="165"/>
        <v>40.382241539248106</v>
      </c>
      <c r="AH161" s="121">
        <f t="shared" si="154"/>
        <v>45200</v>
      </c>
      <c r="AI161" s="73">
        <f t="shared" ca="1" si="166"/>
        <v>41.299326223385044</v>
      </c>
      <c r="AJ161" s="15">
        <f t="shared" ca="1" si="167"/>
        <v>3.7208461856301569</v>
      </c>
      <c r="AK161" s="98">
        <f t="shared" ca="1" si="168"/>
        <v>1</v>
      </c>
      <c r="AL161" s="128">
        <f ca="1">IF(AK161&gt;0,31,0)</f>
        <v>31</v>
      </c>
      <c r="AM161" s="128">
        <f t="shared" ca="1" si="169"/>
        <v>961</v>
      </c>
      <c r="AN161" s="15">
        <f t="shared" ca="1" si="170"/>
        <v>115.34623175453487</v>
      </c>
      <c r="AO161" s="127">
        <f t="shared" ca="1" si="171"/>
        <v>3.717381908543667</v>
      </c>
      <c r="AP161" s="127">
        <f t="shared" ca="1" si="198"/>
        <v>41.156501448997759</v>
      </c>
      <c r="AR161" s="121">
        <f t="shared" si="172"/>
        <v>45200</v>
      </c>
      <c r="AS161" s="73">
        <f t="shared" ca="1" si="199"/>
        <v>41.299326223385044</v>
      </c>
      <c r="AT161" s="15">
        <f t="shared" ca="1" si="173"/>
        <v>3.7208461856301569</v>
      </c>
      <c r="AU161" s="98">
        <f t="shared" ca="1" si="174"/>
        <v>1</v>
      </c>
      <c r="AV161" s="128">
        <f ca="1">IF(AU161&gt;0,31,0)</f>
        <v>31</v>
      </c>
      <c r="AW161" s="128">
        <f t="shared" ca="1" si="175"/>
        <v>961</v>
      </c>
      <c r="AX161" s="15">
        <f t="shared" ca="1" si="176"/>
        <v>115.34623175453487</v>
      </c>
      <c r="AY161" s="127">
        <f t="shared" ca="1" si="177"/>
        <v>3.5917042425913404</v>
      </c>
      <c r="AZ161" s="127">
        <f t="shared" ca="1" si="155"/>
        <v>36.295880231733982</v>
      </c>
      <c r="BB161" s="121">
        <f t="shared" si="178"/>
        <v>45200</v>
      </c>
      <c r="BC161" s="73">
        <f t="shared" ca="1" si="200"/>
        <v>41.299326223385044</v>
      </c>
      <c r="BD161" s="15">
        <f t="shared" ca="1" si="179"/>
        <v>3.7208461856301569</v>
      </c>
      <c r="BE161" s="98">
        <f t="shared" ca="1" si="180"/>
        <v>1</v>
      </c>
      <c r="BF161" s="128">
        <f ca="1">IF(BE161&gt;0,31,0)</f>
        <v>31</v>
      </c>
      <c r="BG161" s="128">
        <f t="shared" ca="1" si="181"/>
        <v>961</v>
      </c>
      <c r="BH161" s="15">
        <f t="shared" ca="1" si="182"/>
        <v>115.34623175453487</v>
      </c>
      <c r="BI161" s="127">
        <f t="shared" ca="1" si="183"/>
        <v>3.6568373206354861</v>
      </c>
      <c r="BJ161" s="127">
        <f t="shared" ca="1" si="201"/>
        <v>38.738631055505664</v>
      </c>
      <c r="BL161" s="121">
        <f t="shared" si="184"/>
        <v>45200</v>
      </c>
      <c r="BM161" s="73">
        <f t="shared" ca="1" si="204"/>
        <v>41.299326223385044</v>
      </c>
      <c r="BN161" s="15">
        <f t="shared" ca="1" si="185"/>
        <v>3.7208461856301569</v>
      </c>
      <c r="BO161" s="98">
        <f t="shared" ca="1" si="186"/>
        <v>1</v>
      </c>
      <c r="BP161" s="128">
        <f ca="1">IF(BO161&gt;0,31,0)</f>
        <v>31</v>
      </c>
      <c r="BQ161" s="128">
        <f t="shared" ca="1" si="187"/>
        <v>961</v>
      </c>
      <c r="BR161" s="15">
        <f t="shared" ca="1" si="188"/>
        <v>115.34623175453487</v>
      </c>
      <c r="BS161" s="127">
        <f t="shared" ca="1" si="189"/>
        <v>3.5459584216918016</v>
      </c>
      <c r="BT161" s="127">
        <f t="shared" ca="1" si="202"/>
        <v>34.672900682698888</v>
      </c>
      <c r="BZ161" s="583">
        <f t="shared" si="190"/>
        <v>1</v>
      </c>
      <c r="CA161" s="121">
        <f t="shared" si="191"/>
        <v>45200</v>
      </c>
      <c r="CB161" s="127">
        <f t="shared" ca="1" si="192"/>
        <v>41.299326223385044</v>
      </c>
      <c r="CC161" s="15">
        <f t="shared" ca="1" si="193"/>
        <v>3.7208461856301569</v>
      </c>
      <c r="CD161" s="98">
        <f t="shared" ca="1" si="194"/>
        <v>1</v>
      </c>
      <c r="CE161" s="128">
        <f ca="1">IF(CD161&gt;0,31,0)</f>
        <v>31</v>
      </c>
      <c r="CF161" s="128">
        <f t="shared" ca="1" si="195"/>
        <v>961</v>
      </c>
      <c r="CG161" s="15">
        <f t="shared" ca="1" si="196"/>
        <v>115.34623175453487</v>
      </c>
      <c r="CH161" s="127">
        <f t="shared" ca="1" si="197"/>
        <v>3.6019236849906249</v>
      </c>
      <c r="CI161" s="127">
        <f t="shared" ca="1" si="203"/>
        <v>36.66870567845703</v>
      </c>
    </row>
    <row r="162" spans="24:87" x14ac:dyDescent="0.2">
      <c r="X162" s="121">
        <f t="shared" si="159"/>
        <v>45231</v>
      </c>
      <c r="Y162" s="73">
        <f t="shared" ca="1" si="159"/>
        <v>42.107491445560107</v>
      </c>
      <c r="Z162" s="15">
        <f t="shared" ca="1" si="160"/>
        <v>3.7402256689332285</v>
      </c>
      <c r="AA162" s="98">
        <f t="shared" ca="1" si="161"/>
        <v>1</v>
      </c>
      <c r="AB162" s="128">
        <f ca="1">IF(AA162&gt;0,32,0)</f>
        <v>32</v>
      </c>
      <c r="AC162" s="128">
        <f t="shared" ca="1" si="162"/>
        <v>1024</v>
      </c>
      <c r="AD162" s="15">
        <f t="shared" ca="1" si="163"/>
        <v>119.68722140586331</v>
      </c>
      <c r="AE162" s="127">
        <f t="shared" ca="1" si="164"/>
        <v>3.6983901224695162</v>
      </c>
      <c r="AF162" s="127">
        <f t="shared" ca="1" si="165"/>
        <v>40.382241539248106</v>
      </c>
      <c r="AH162" s="121">
        <f t="shared" si="154"/>
        <v>45231</v>
      </c>
      <c r="AI162" s="73">
        <f t="shared" ca="1" si="166"/>
        <v>40.237972508640247</v>
      </c>
      <c r="AJ162" s="15">
        <f t="shared" ca="1" si="167"/>
        <v>3.6948111395479692</v>
      </c>
      <c r="AK162" s="98">
        <f t="shared" ca="1" si="168"/>
        <v>1</v>
      </c>
      <c r="AL162" s="128">
        <f ca="1">IF(AK162&gt;0,32,0)</f>
        <v>32</v>
      </c>
      <c r="AM162" s="128">
        <f t="shared" ca="1" si="169"/>
        <v>1024</v>
      </c>
      <c r="AN162" s="15">
        <f t="shared" ca="1" si="170"/>
        <v>118.23395646553502</v>
      </c>
      <c r="AO162" s="127">
        <f t="shared" ca="1" si="171"/>
        <v>3.717381908543667</v>
      </c>
      <c r="AP162" s="127">
        <f t="shared" ca="1" si="198"/>
        <v>41.156501448997759</v>
      </c>
      <c r="AR162" s="121">
        <f t="shared" si="172"/>
        <v>45231</v>
      </c>
      <c r="AS162" s="73">
        <f t="shared" ca="1" si="199"/>
        <v>40.237972508640247</v>
      </c>
      <c r="AT162" s="15">
        <f t="shared" ca="1" si="173"/>
        <v>3.6948111395479692</v>
      </c>
      <c r="AU162" s="98">
        <f t="shared" ca="1" si="174"/>
        <v>1</v>
      </c>
      <c r="AV162" s="128">
        <f ca="1">IF(AU162&gt;0,32,0)</f>
        <v>32</v>
      </c>
      <c r="AW162" s="128">
        <f t="shared" ca="1" si="175"/>
        <v>1024</v>
      </c>
      <c r="AX162" s="15">
        <f t="shared" ca="1" si="176"/>
        <v>118.23395646553502</v>
      </c>
      <c r="AY162" s="127">
        <f t="shared" ca="1" si="177"/>
        <v>3.5917042425913404</v>
      </c>
      <c r="AZ162" s="127">
        <f t="shared" ca="1" si="155"/>
        <v>36.295880231733982</v>
      </c>
      <c r="BB162" s="121">
        <f t="shared" si="178"/>
        <v>45231</v>
      </c>
      <c r="BC162" s="73">
        <f t="shared" ca="1" si="200"/>
        <v>40.237972508640247</v>
      </c>
      <c r="BD162" s="15">
        <f t="shared" ca="1" si="179"/>
        <v>3.6948111395479692</v>
      </c>
      <c r="BE162" s="98">
        <f t="shared" ca="1" si="180"/>
        <v>1</v>
      </c>
      <c r="BF162" s="128">
        <f ca="1">IF(BE162&gt;0,32,0)</f>
        <v>32</v>
      </c>
      <c r="BG162" s="128">
        <f t="shared" ca="1" si="181"/>
        <v>1024</v>
      </c>
      <c r="BH162" s="15">
        <f t="shared" ca="1" si="182"/>
        <v>118.23395646553502</v>
      </c>
      <c r="BI162" s="127">
        <f t="shared" ca="1" si="183"/>
        <v>3.6568373206354861</v>
      </c>
      <c r="BJ162" s="127">
        <f t="shared" ca="1" si="201"/>
        <v>38.738631055505664</v>
      </c>
      <c r="BL162" s="121">
        <f t="shared" si="184"/>
        <v>45231</v>
      </c>
      <c r="BM162" s="73">
        <f t="shared" ca="1" si="204"/>
        <v>40.237972508640247</v>
      </c>
      <c r="BN162" s="15">
        <f t="shared" ca="1" si="185"/>
        <v>3.6948111395479692</v>
      </c>
      <c r="BO162" s="98">
        <f t="shared" ca="1" si="186"/>
        <v>1</v>
      </c>
      <c r="BP162" s="128">
        <f ca="1">IF(BO162&gt;0,32,0)</f>
        <v>32</v>
      </c>
      <c r="BQ162" s="128">
        <f t="shared" ca="1" si="187"/>
        <v>1024</v>
      </c>
      <c r="BR162" s="15">
        <f t="shared" ca="1" si="188"/>
        <v>118.23395646553502</v>
      </c>
      <c r="BS162" s="127">
        <f t="shared" ca="1" si="189"/>
        <v>3.5459584216918016</v>
      </c>
      <c r="BT162" s="127">
        <f t="shared" ca="1" si="202"/>
        <v>34.672900682698888</v>
      </c>
      <c r="BZ162" s="583">
        <f t="shared" si="190"/>
        <v>0</v>
      </c>
      <c r="CA162" s="121">
        <f t="shared" si="191"/>
        <v>45231</v>
      </c>
      <c r="CB162" s="127">
        <f t="shared" ca="1" si="192"/>
        <v>0</v>
      </c>
      <c r="CC162" s="15">
        <f t="shared" ca="1" si="193"/>
        <v>0</v>
      </c>
      <c r="CD162" s="98">
        <f t="shared" ca="1" si="194"/>
        <v>0</v>
      </c>
      <c r="CE162" s="128">
        <f ca="1">IF(CD162&gt;0,32,0)</f>
        <v>0</v>
      </c>
      <c r="CF162" s="128">
        <f t="shared" ca="1" si="195"/>
        <v>0</v>
      </c>
      <c r="CG162" s="15">
        <f t="shared" ca="1" si="196"/>
        <v>0</v>
      </c>
      <c r="CH162" s="127">
        <f t="shared" ca="1" si="197"/>
        <v>3.6019236849906249</v>
      </c>
      <c r="CI162" s="127">
        <f t="shared" ca="1" si="203"/>
        <v>36.66870567845703</v>
      </c>
    </row>
    <row r="163" spans="24:87" x14ac:dyDescent="0.2">
      <c r="X163" s="121">
        <f t="shared" si="159"/>
        <v>45261</v>
      </c>
      <c r="Y163" s="73">
        <f t="shared" ca="1" si="159"/>
        <v>39.732638501839261</v>
      </c>
      <c r="Z163" s="15">
        <f t="shared" ca="1" si="160"/>
        <v>3.6821729784404167</v>
      </c>
      <c r="AA163" s="98">
        <f t="shared" ca="1" si="161"/>
        <v>1</v>
      </c>
      <c r="AB163" s="128">
        <f ca="1">IF(AA163&gt;0,33,0)</f>
        <v>33</v>
      </c>
      <c r="AC163" s="128">
        <f t="shared" ca="1" si="162"/>
        <v>1089</v>
      </c>
      <c r="AD163" s="15">
        <f t="shared" ca="1" si="163"/>
        <v>121.51170828853375</v>
      </c>
      <c r="AE163" s="127">
        <f t="shared" ca="1" si="164"/>
        <v>3.6983901224695162</v>
      </c>
      <c r="AF163" s="127">
        <f t="shared" ca="1" si="165"/>
        <v>40.382241539248106</v>
      </c>
      <c r="AH163" s="121">
        <f t="shared" si="154"/>
        <v>45261</v>
      </c>
      <c r="AI163" s="73">
        <f t="shared" ca="1" si="166"/>
        <v>40.606969054338499</v>
      </c>
      <c r="AJ163" s="15">
        <f t="shared" ca="1" si="167"/>
        <v>3.7039397034619315</v>
      </c>
      <c r="AK163" s="98">
        <f t="shared" ca="1" si="168"/>
        <v>1</v>
      </c>
      <c r="AL163" s="128">
        <f ca="1">IF(AK163&gt;0,33,0)</f>
        <v>33</v>
      </c>
      <c r="AM163" s="128">
        <f t="shared" ca="1" si="169"/>
        <v>1089</v>
      </c>
      <c r="AN163" s="15">
        <f t="shared" ca="1" si="170"/>
        <v>122.23001021424373</v>
      </c>
      <c r="AO163" s="127">
        <f t="shared" ca="1" si="171"/>
        <v>3.717381908543667</v>
      </c>
      <c r="AP163" s="127">
        <f t="shared" ca="1" si="198"/>
        <v>41.156501448997759</v>
      </c>
      <c r="AR163" s="121">
        <f t="shared" si="172"/>
        <v>45261</v>
      </c>
      <c r="AS163" s="73">
        <f t="shared" ca="1" si="199"/>
        <v>40.606969054338499</v>
      </c>
      <c r="AT163" s="15">
        <f t="shared" ca="1" si="173"/>
        <v>3.7039397034619315</v>
      </c>
      <c r="AU163" s="98">
        <f t="shared" ca="1" si="174"/>
        <v>1</v>
      </c>
      <c r="AV163" s="128">
        <f ca="1">IF(AU163&gt;0,33,0)</f>
        <v>33</v>
      </c>
      <c r="AW163" s="128">
        <f t="shared" ca="1" si="175"/>
        <v>1089</v>
      </c>
      <c r="AX163" s="15">
        <f t="shared" ca="1" si="176"/>
        <v>122.23001021424373</v>
      </c>
      <c r="AY163" s="127">
        <f t="shared" ca="1" si="177"/>
        <v>3.5917042425913404</v>
      </c>
      <c r="AZ163" s="127">
        <f t="shared" ca="1" si="155"/>
        <v>36.295880231733982</v>
      </c>
      <c r="BB163" s="121">
        <f t="shared" si="178"/>
        <v>45261</v>
      </c>
      <c r="BC163" s="73">
        <f t="shared" ca="1" si="200"/>
        <v>40.606969054338499</v>
      </c>
      <c r="BD163" s="15">
        <f t="shared" ca="1" si="179"/>
        <v>3.7039397034619315</v>
      </c>
      <c r="BE163" s="98">
        <f t="shared" ca="1" si="180"/>
        <v>1</v>
      </c>
      <c r="BF163" s="128">
        <f ca="1">IF(BE163&gt;0,33,0)</f>
        <v>33</v>
      </c>
      <c r="BG163" s="128">
        <f t="shared" ca="1" si="181"/>
        <v>1089</v>
      </c>
      <c r="BH163" s="15">
        <f t="shared" ca="1" si="182"/>
        <v>122.23001021424373</v>
      </c>
      <c r="BI163" s="127">
        <f t="shared" ca="1" si="183"/>
        <v>3.6568373206354861</v>
      </c>
      <c r="BJ163" s="127">
        <f t="shared" ca="1" si="201"/>
        <v>38.738631055505664</v>
      </c>
      <c r="BL163" s="121">
        <f t="shared" si="184"/>
        <v>45261</v>
      </c>
      <c r="BM163" s="73">
        <f t="shared" ca="1" si="204"/>
        <v>40.606969054338499</v>
      </c>
      <c r="BN163" s="15">
        <f t="shared" ca="1" si="185"/>
        <v>3.7039397034619315</v>
      </c>
      <c r="BO163" s="98">
        <f t="shared" ca="1" si="186"/>
        <v>1</v>
      </c>
      <c r="BP163" s="128">
        <f ca="1">IF(BO163&gt;0,33,0)</f>
        <v>33</v>
      </c>
      <c r="BQ163" s="128">
        <f t="shared" ca="1" si="187"/>
        <v>1089</v>
      </c>
      <c r="BR163" s="15">
        <f t="shared" ca="1" si="188"/>
        <v>122.23001021424373</v>
      </c>
      <c r="BS163" s="127">
        <f t="shared" ca="1" si="189"/>
        <v>3.5459584216918016</v>
      </c>
      <c r="BT163" s="127">
        <f t="shared" ca="1" si="202"/>
        <v>34.672900682698888</v>
      </c>
      <c r="BZ163" s="583">
        <f t="shared" si="190"/>
        <v>0</v>
      </c>
      <c r="CA163" s="121">
        <f t="shared" si="191"/>
        <v>45261</v>
      </c>
      <c r="CB163" s="127">
        <f t="shared" ca="1" si="192"/>
        <v>0</v>
      </c>
      <c r="CC163" s="15">
        <f t="shared" ca="1" si="193"/>
        <v>0</v>
      </c>
      <c r="CD163" s="98">
        <f t="shared" ca="1" si="194"/>
        <v>0</v>
      </c>
      <c r="CE163" s="128">
        <f ca="1">IF(CD163&gt;0,33,0)</f>
        <v>0</v>
      </c>
      <c r="CF163" s="128">
        <f t="shared" ca="1" si="195"/>
        <v>0</v>
      </c>
      <c r="CG163" s="15">
        <f t="shared" ca="1" si="196"/>
        <v>0</v>
      </c>
      <c r="CH163" s="127">
        <f t="shared" ca="1" si="197"/>
        <v>3.6019236849906249</v>
      </c>
      <c r="CI163" s="127">
        <f t="shared" ca="1" si="203"/>
        <v>36.66870567845703</v>
      </c>
    </row>
    <row r="164" spans="24:87" x14ac:dyDescent="0.2">
      <c r="X164" s="121">
        <f t="shared" si="159"/>
        <v>45292</v>
      </c>
      <c r="Y164" s="73">
        <f t="shared" ca="1" si="159"/>
        <v>37.056707228213348</v>
      </c>
      <c r="Z164" s="15">
        <f t="shared" ca="1" si="160"/>
        <v>3.612449367158447</v>
      </c>
      <c r="AA164" s="98">
        <f t="shared" ca="1" si="161"/>
        <v>1</v>
      </c>
      <c r="AB164" s="128">
        <f ca="1">IF(AA164&gt;0,34,0)</f>
        <v>34</v>
      </c>
      <c r="AC164" s="128">
        <f t="shared" ca="1" si="162"/>
        <v>1156</v>
      </c>
      <c r="AD164" s="15">
        <f t="shared" ca="1" si="163"/>
        <v>122.8232784833872</v>
      </c>
      <c r="AE164" s="127">
        <f t="shared" ca="1" si="164"/>
        <v>3.6983901224695162</v>
      </c>
      <c r="AF164" s="127">
        <f t="shared" ca="1" si="165"/>
        <v>40.382241539248106</v>
      </c>
      <c r="AH164" s="121">
        <f t="shared" si="154"/>
        <v>45292</v>
      </c>
      <c r="AI164" s="73">
        <f t="shared" ca="1" si="166"/>
        <v>39.657511623309382</v>
      </c>
      <c r="AJ164" s="15">
        <f t="shared" ca="1" si="167"/>
        <v>3.680280378392768</v>
      </c>
      <c r="AK164" s="98">
        <f t="shared" ca="1" si="168"/>
        <v>1</v>
      </c>
      <c r="AL164" s="128">
        <f ca="1">IF(AK164&gt;0,34,0)</f>
        <v>34</v>
      </c>
      <c r="AM164" s="128">
        <f t="shared" ca="1" si="169"/>
        <v>1156</v>
      </c>
      <c r="AN164" s="15">
        <f t="shared" ca="1" si="170"/>
        <v>125.12953286535411</v>
      </c>
      <c r="AO164" s="127">
        <f t="shared" ca="1" si="171"/>
        <v>3.717381908543667</v>
      </c>
      <c r="AP164" s="127">
        <f t="shared" ca="1" si="198"/>
        <v>41.156501448997759</v>
      </c>
      <c r="AR164" s="121">
        <f t="shared" si="172"/>
        <v>45292</v>
      </c>
      <c r="AS164" s="73">
        <f t="shared" ca="1" si="199"/>
        <v>39.657511623309382</v>
      </c>
      <c r="AT164" s="15">
        <f t="shared" ca="1" si="173"/>
        <v>3.680280378392768</v>
      </c>
      <c r="AU164" s="98">
        <f t="shared" ca="1" si="174"/>
        <v>1</v>
      </c>
      <c r="AV164" s="128">
        <f ca="1">IF(AU164&gt;0,34,0)</f>
        <v>34</v>
      </c>
      <c r="AW164" s="128">
        <f t="shared" ca="1" si="175"/>
        <v>1156</v>
      </c>
      <c r="AX164" s="15">
        <f t="shared" ca="1" si="176"/>
        <v>125.12953286535411</v>
      </c>
      <c r="AY164" s="127">
        <f t="shared" ca="1" si="177"/>
        <v>3.5917042425913404</v>
      </c>
      <c r="AZ164" s="127">
        <f t="shared" ca="1" si="155"/>
        <v>36.295880231733982</v>
      </c>
      <c r="BB164" s="121">
        <f t="shared" si="178"/>
        <v>45292</v>
      </c>
      <c r="BC164" s="73">
        <f t="shared" ca="1" si="200"/>
        <v>39.657511623309382</v>
      </c>
      <c r="BD164" s="15">
        <f t="shared" ca="1" si="179"/>
        <v>3.680280378392768</v>
      </c>
      <c r="BE164" s="98">
        <f t="shared" ca="1" si="180"/>
        <v>1</v>
      </c>
      <c r="BF164" s="128">
        <f ca="1">IF(BE164&gt;0,34,0)</f>
        <v>34</v>
      </c>
      <c r="BG164" s="128">
        <f t="shared" ca="1" si="181"/>
        <v>1156</v>
      </c>
      <c r="BH164" s="15">
        <f t="shared" ca="1" si="182"/>
        <v>125.12953286535411</v>
      </c>
      <c r="BI164" s="127">
        <f t="shared" ca="1" si="183"/>
        <v>3.6568373206354861</v>
      </c>
      <c r="BJ164" s="127">
        <f t="shared" ca="1" si="201"/>
        <v>38.738631055505664</v>
      </c>
      <c r="BL164" s="121">
        <f t="shared" si="184"/>
        <v>45292</v>
      </c>
      <c r="BM164" s="73">
        <f t="shared" ca="1" si="204"/>
        <v>39.657511623309382</v>
      </c>
      <c r="BN164" s="15">
        <f t="shared" ca="1" si="185"/>
        <v>3.680280378392768</v>
      </c>
      <c r="BO164" s="98">
        <f t="shared" ca="1" si="186"/>
        <v>1</v>
      </c>
      <c r="BP164" s="128">
        <f ca="1">IF(BO164&gt;0,34,0)</f>
        <v>34</v>
      </c>
      <c r="BQ164" s="128">
        <f t="shared" ca="1" si="187"/>
        <v>1156</v>
      </c>
      <c r="BR164" s="15">
        <f t="shared" ca="1" si="188"/>
        <v>125.12953286535411</v>
      </c>
      <c r="BS164" s="127">
        <f t="shared" ca="1" si="189"/>
        <v>3.5459584216918016</v>
      </c>
      <c r="BT164" s="127">
        <f t="shared" ca="1" si="202"/>
        <v>34.672900682698888</v>
      </c>
      <c r="BZ164" s="583">
        <f t="shared" si="190"/>
        <v>0</v>
      </c>
      <c r="CA164" s="121">
        <f t="shared" si="191"/>
        <v>45292</v>
      </c>
      <c r="CB164" s="127">
        <f t="shared" ca="1" si="192"/>
        <v>0</v>
      </c>
      <c r="CC164" s="15">
        <f t="shared" ca="1" si="193"/>
        <v>0</v>
      </c>
      <c r="CD164" s="98">
        <f t="shared" ca="1" si="194"/>
        <v>0</v>
      </c>
      <c r="CE164" s="128">
        <f ca="1">IF(CD164&gt;0,34,0)</f>
        <v>0</v>
      </c>
      <c r="CF164" s="128">
        <f t="shared" ca="1" si="195"/>
        <v>0</v>
      </c>
      <c r="CG164" s="15">
        <f t="shared" ca="1" si="196"/>
        <v>0</v>
      </c>
      <c r="CH164" s="127">
        <f t="shared" ca="1" si="197"/>
        <v>3.6019236849906249</v>
      </c>
      <c r="CI164" s="127">
        <f t="shared" ca="1" si="203"/>
        <v>36.66870567845703</v>
      </c>
    </row>
    <row r="165" spans="24:87" x14ac:dyDescent="0.2">
      <c r="X165" s="121">
        <f t="shared" si="159"/>
        <v>45323</v>
      </c>
      <c r="Y165" s="73">
        <f t="shared" ca="1" si="159"/>
        <v>37.540722153702205</v>
      </c>
      <c r="Z165" s="15">
        <f t="shared" ca="1" si="160"/>
        <v>3.625426267886021</v>
      </c>
      <c r="AA165" s="98">
        <f t="shared" ca="1" si="161"/>
        <v>1</v>
      </c>
      <c r="AB165" s="128">
        <f ca="1">IF(AA165&gt;0,35,0)</f>
        <v>35</v>
      </c>
      <c r="AC165" s="128">
        <f t="shared" ca="1" si="162"/>
        <v>1225</v>
      </c>
      <c r="AD165" s="15">
        <f t="shared" ca="1" si="163"/>
        <v>126.88991937601074</v>
      </c>
      <c r="AE165" s="127">
        <f t="shared" ca="1" si="164"/>
        <v>3.6983901224695162</v>
      </c>
      <c r="AF165" s="127">
        <f t="shared" ca="1" si="165"/>
        <v>40.382241539248106</v>
      </c>
      <c r="AH165" s="121">
        <f t="shared" si="154"/>
        <v>45323</v>
      </c>
      <c r="AI165" s="131">
        <v>0</v>
      </c>
      <c r="AJ165" s="15">
        <f t="shared" si="167"/>
        <v>0</v>
      </c>
      <c r="AK165" s="98">
        <f t="shared" si="168"/>
        <v>0</v>
      </c>
      <c r="AL165" s="128">
        <f>IF(AK165&gt;0,35,0)</f>
        <v>0</v>
      </c>
      <c r="AM165" s="128">
        <f t="shared" si="169"/>
        <v>0</v>
      </c>
      <c r="AN165" s="15">
        <f t="shared" si="170"/>
        <v>0</v>
      </c>
      <c r="AO165" s="127">
        <f t="shared" ca="1" si="171"/>
        <v>3.717381908543667</v>
      </c>
      <c r="AP165" s="127">
        <f t="shared" ca="1" si="198"/>
        <v>41.156501448997759</v>
      </c>
      <c r="AR165" s="121">
        <f t="shared" si="172"/>
        <v>45323</v>
      </c>
      <c r="AS165" s="131">
        <v>0</v>
      </c>
      <c r="AT165" s="15">
        <f t="shared" si="173"/>
        <v>0</v>
      </c>
      <c r="AU165" s="98">
        <f t="shared" si="174"/>
        <v>0</v>
      </c>
      <c r="AV165" s="128">
        <f>IF(AU165&gt;0,35,0)</f>
        <v>0</v>
      </c>
      <c r="AW165" s="128">
        <f t="shared" si="175"/>
        <v>0</v>
      </c>
      <c r="AX165" s="15">
        <f t="shared" si="176"/>
        <v>0</v>
      </c>
      <c r="AY165" s="127">
        <f t="shared" ca="1" si="177"/>
        <v>3.5917042425913404</v>
      </c>
      <c r="AZ165" s="127">
        <f t="shared" ca="1" si="155"/>
        <v>36.295880231733982</v>
      </c>
      <c r="BB165" s="121">
        <f t="shared" si="178"/>
        <v>45323</v>
      </c>
      <c r="BC165" s="131">
        <v>0</v>
      </c>
      <c r="BD165" s="15">
        <f t="shared" si="179"/>
        <v>0</v>
      </c>
      <c r="BE165" s="98">
        <f t="shared" si="180"/>
        <v>0</v>
      </c>
      <c r="BF165" s="128">
        <f>IF(BE165&gt;0,35,0)</f>
        <v>0</v>
      </c>
      <c r="BG165" s="128">
        <f t="shared" si="181"/>
        <v>0</v>
      </c>
      <c r="BH165" s="15">
        <f t="shared" si="182"/>
        <v>0</v>
      </c>
      <c r="BI165" s="127">
        <f t="shared" ca="1" si="183"/>
        <v>3.6568373206354861</v>
      </c>
      <c r="BJ165" s="127">
        <f t="shared" ca="1" si="201"/>
        <v>38.738631055505664</v>
      </c>
      <c r="BL165" s="121">
        <f t="shared" si="184"/>
        <v>45323</v>
      </c>
      <c r="BM165" s="131">
        <v>0</v>
      </c>
      <c r="BN165" s="15">
        <f t="shared" si="185"/>
        <v>0</v>
      </c>
      <c r="BO165" s="98">
        <f t="shared" si="186"/>
        <v>0</v>
      </c>
      <c r="BP165" s="128">
        <f>IF(BO165&gt;0,35,0)</f>
        <v>0</v>
      </c>
      <c r="BQ165" s="128">
        <f t="shared" si="187"/>
        <v>0</v>
      </c>
      <c r="BR165" s="15">
        <f t="shared" si="188"/>
        <v>0</v>
      </c>
      <c r="BS165" s="127">
        <f t="shared" ca="1" si="189"/>
        <v>3.5459584216918016</v>
      </c>
      <c r="BT165" s="127">
        <f t="shared" ca="1" si="202"/>
        <v>34.672900682698888</v>
      </c>
      <c r="BZ165" s="583">
        <f t="shared" si="190"/>
        <v>0</v>
      </c>
      <c r="CA165" s="121">
        <f t="shared" si="191"/>
        <v>45323</v>
      </c>
      <c r="CB165" s="127">
        <f t="shared" ca="1" si="192"/>
        <v>0</v>
      </c>
      <c r="CC165" s="15">
        <f t="shared" ca="1" si="193"/>
        <v>0</v>
      </c>
      <c r="CD165" s="98">
        <f t="shared" ca="1" si="194"/>
        <v>0</v>
      </c>
      <c r="CE165" s="128">
        <f ca="1">IF(CD165&gt;0,35,0)</f>
        <v>0</v>
      </c>
      <c r="CF165" s="128">
        <f t="shared" ca="1" si="195"/>
        <v>0</v>
      </c>
      <c r="CG165" s="15">
        <f t="shared" ca="1" si="196"/>
        <v>0</v>
      </c>
      <c r="CH165" s="127">
        <f t="shared" ca="1" si="197"/>
        <v>3.6019236849906249</v>
      </c>
      <c r="CI165" s="127">
        <f t="shared" ca="1" si="203"/>
        <v>36.66870567845703</v>
      </c>
    </row>
    <row r="166" spans="24:87" x14ac:dyDescent="0.2">
      <c r="X166" s="121">
        <f t="shared" si="159"/>
        <v>45352</v>
      </c>
      <c r="Y166" s="73">
        <f t="shared" ca="1" si="159"/>
        <v>41.849998787231975</v>
      </c>
      <c r="Z166" s="15">
        <f t="shared" ca="1" si="160"/>
        <v>3.7340917679565586</v>
      </c>
      <c r="AA166" s="98">
        <f t="shared" ca="1" si="161"/>
        <v>1</v>
      </c>
      <c r="AB166" s="128">
        <f ca="1">IF(AA166&gt;0,36,0)</f>
        <v>36</v>
      </c>
      <c r="AC166" s="128">
        <f t="shared" ca="1" si="162"/>
        <v>1296</v>
      </c>
      <c r="AD166" s="15">
        <f t="shared" ca="1" si="163"/>
        <v>134.42730364643612</v>
      </c>
      <c r="AE166" s="127">
        <f t="shared" ca="1" si="164"/>
        <v>3.6983901224695162</v>
      </c>
      <c r="AF166" s="127">
        <f t="shared" ca="1" si="165"/>
        <v>40.382241539248106</v>
      </c>
      <c r="AH166" s="121">
        <f t="shared" si="154"/>
        <v>45352</v>
      </c>
      <c r="AI166" s="131">
        <v>0</v>
      </c>
      <c r="AJ166" s="15">
        <f t="shared" si="167"/>
        <v>0</v>
      </c>
      <c r="AK166" s="98">
        <f t="shared" si="168"/>
        <v>0</v>
      </c>
      <c r="AL166" s="128">
        <f>IF(AK166&gt;0,36,0)</f>
        <v>0</v>
      </c>
      <c r="AM166" s="128">
        <f t="shared" si="169"/>
        <v>0</v>
      </c>
      <c r="AN166" s="15">
        <f t="shared" si="170"/>
        <v>0</v>
      </c>
      <c r="AO166" s="127">
        <f t="shared" ca="1" si="171"/>
        <v>3.717381908543667</v>
      </c>
      <c r="AP166" s="127">
        <f t="shared" ca="1" si="198"/>
        <v>41.156501448997759</v>
      </c>
      <c r="AR166" s="121">
        <f t="shared" si="172"/>
        <v>45352</v>
      </c>
      <c r="AS166" s="131">
        <v>0</v>
      </c>
      <c r="AT166" s="15">
        <f t="shared" si="173"/>
        <v>0</v>
      </c>
      <c r="AU166" s="98">
        <f t="shared" si="174"/>
        <v>0</v>
      </c>
      <c r="AV166" s="128">
        <f>IF(AU166&gt;0,36,0)</f>
        <v>0</v>
      </c>
      <c r="AW166" s="128">
        <f t="shared" si="175"/>
        <v>0</v>
      </c>
      <c r="AX166" s="15">
        <f t="shared" si="176"/>
        <v>0</v>
      </c>
      <c r="AY166" s="127">
        <f t="shared" ca="1" si="177"/>
        <v>3.5917042425913404</v>
      </c>
      <c r="AZ166" s="127">
        <f t="shared" ca="1" si="155"/>
        <v>36.295880231733982</v>
      </c>
      <c r="BB166" s="121">
        <f t="shared" si="178"/>
        <v>45352</v>
      </c>
      <c r="BC166" s="131">
        <v>0</v>
      </c>
      <c r="BD166" s="15">
        <f t="shared" si="179"/>
        <v>0</v>
      </c>
      <c r="BE166" s="98">
        <f t="shared" si="180"/>
        <v>0</v>
      </c>
      <c r="BF166" s="128">
        <f>IF(BE166&gt;0,36,0)</f>
        <v>0</v>
      </c>
      <c r="BG166" s="128">
        <f t="shared" si="181"/>
        <v>0</v>
      </c>
      <c r="BH166" s="15">
        <f t="shared" si="182"/>
        <v>0</v>
      </c>
      <c r="BI166" s="127">
        <f t="shared" ca="1" si="183"/>
        <v>3.6568373206354861</v>
      </c>
      <c r="BJ166" s="127">
        <f t="shared" ca="1" si="201"/>
        <v>38.738631055505664</v>
      </c>
      <c r="BL166" s="121">
        <f t="shared" si="184"/>
        <v>45352</v>
      </c>
      <c r="BM166" s="131">
        <v>0</v>
      </c>
      <c r="BN166" s="15">
        <f t="shared" si="185"/>
        <v>0</v>
      </c>
      <c r="BO166" s="98">
        <f t="shared" si="186"/>
        <v>0</v>
      </c>
      <c r="BP166" s="128">
        <f>IF(BO166&gt;0,36,0)</f>
        <v>0</v>
      </c>
      <c r="BQ166" s="128">
        <f t="shared" si="187"/>
        <v>0</v>
      </c>
      <c r="BR166" s="15">
        <f t="shared" si="188"/>
        <v>0</v>
      </c>
      <c r="BS166" s="127">
        <f t="shared" ca="1" si="189"/>
        <v>3.5459584216918016</v>
      </c>
      <c r="BT166" s="127">
        <f t="shared" ca="1" si="202"/>
        <v>34.672900682698888</v>
      </c>
      <c r="BZ166" s="583">
        <f t="shared" si="190"/>
        <v>0</v>
      </c>
      <c r="CA166" s="121">
        <f t="shared" si="191"/>
        <v>45352</v>
      </c>
      <c r="CB166" s="127">
        <f t="shared" ca="1" si="192"/>
        <v>0</v>
      </c>
      <c r="CC166" s="15">
        <f t="shared" ca="1" si="193"/>
        <v>0</v>
      </c>
      <c r="CD166" s="98">
        <f t="shared" ca="1" si="194"/>
        <v>0</v>
      </c>
      <c r="CE166" s="128">
        <f ca="1">IF(CD166&gt;0,36,0)</f>
        <v>0</v>
      </c>
      <c r="CF166" s="128">
        <f t="shared" ca="1" si="195"/>
        <v>0</v>
      </c>
      <c r="CG166" s="15">
        <f t="shared" ca="1" si="196"/>
        <v>0</v>
      </c>
      <c r="CH166" s="127">
        <f t="shared" ca="1" si="197"/>
        <v>3.6019236849906249</v>
      </c>
      <c r="CI166" s="127">
        <f t="shared" ca="1" si="203"/>
        <v>36.66870567845703</v>
      </c>
    </row>
    <row r="167" spans="24:87" x14ac:dyDescent="0.2">
      <c r="X167" s="121" t="s">
        <v>86</v>
      </c>
      <c r="Y167" s="73">
        <f t="shared" ref="Y167:AD167" ca="1" si="205">SUM(Y131:Y166)</f>
        <v>1448.7795681428072</v>
      </c>
      <c r="Z167" s="15">
        <f t="shared" ca="1" si="205"/>
        <v>132.82298133853058</v>
      </c>
      <c r="AA167" s="98">
        <f t="shared" ca="1" si="205"/>
        <v>36</v>
      </c>
      <c r="AB167" s="128">
        <f t="shared" ca="1" si="205"/>
        <v>666</v>
      </c>
      <c r="AC167" s="7">
        <f t="shared" ca="1" si="205"/>
        <v>16206</v>
      </c>
      <c r="AD167" s="15">
        <f t="shared" ca="1" si="205"/>
        <v>2455.3639535189791</v>
      </c>
      <c r="AE167" s="66"/>
      <c r="AF167" s="120"/>
      <c r="AH167" s="121" t="s">
        <v>86</v>
      </c>
      <c r="AI167" s="73">
        <f t="shared" ref="AI167:AN167" ca="1" si="206">SUM(AI131:AI166)</f>
        <v>1253.7065324572347</v>
      </c>
      <c r="AJ167" s="15">
        <f t="shared" ca="1" si="206"/>
        <v>114.65297342640798</v>
      </c>
      <c r="AK167" s="98">
        <f t="shared" ca="1" si="206"/>
        <v>31</v>
      </c>
      <c r="AL167" s="128">
        <f t="shared" ca="1" si="206"/>
        <v>589</v>
      </c>
      <c r="AM167" s="7">
        <f t="shared" ca="1" si="206"/>
        <v>13671</v>
      </c>
      <c r="AN167" s="15">
        <f t="shared" ca="1" si="206"/>
        <v>2174.0373188885528</v>
      </c>
      <c r="AO167" s="66"/>
      <c r="AP167" s="120"/>
      <c r="AR167" s="121" t="s">
        <v>86</v>
      </c>
      <c r="AS167" s="73">
        <f t="shared" ref="AS167:AX167" ca="1" si="207">SUM(AS131:AS166)</f>
        <v>951.74416453256549</v>
      </c>
      <c r="AT167" s="15">
        <f t="shared" ca="1" si="207"/>
        <v>88.311716740445192</v>
      </c>
      <c r="AU167" s="98">
        <f t="shared" ca="1" si="207"/>
        <v>24</v>
      </c>
      <c r="AV167" s="128">
        <f t="shared" ca="1" si="207"/>
        <v>540</v>
      </c>
      <c r="AW167" s="7">
        <f t="shared" ca="1" si="207"/>
        <v>13300</v>
      </c>
      <c r="AX167" s="15">
        <f t="shared" ca="1" si="207"/>
        <v>1990.1561724346882</v>
      </c>
      <c r="AY167" s="66"/>
      <c r="AZ167" s="120"/>
      <c r="BB167" s="121" t="s">
        <v>86</v>
      </c>
      <c r="BC167" s="73">
        <f t="shared" ref="BC167:BH167" ca="1" si="208">SUM(BC131:BC166)</f>
        <v>719.58674549809257</v>
      </c>
      <c r="BD167" s="15">
        <f t="shared" ca="1" si="208"/>
        <v>66.38209548458849</v>
      </c>
      <c r="BE167" s="98">
        <f t="shared" ca="1" si="208"/>
        <v>18</v>
      </c>
      <c r="BF167" s="128">
        <f t="shared" ca="1" si="208"/>
        <v>459</v>
      </c>
      <c r="BG167" s="7">
        <f t="shared" ca="1" si="208"/>
        <v>12189</v>
      </c>
      <c r="BH167" s="15">
        <f t="shared" ca="1" si="208"/>
        <v>1693.784888111292</v>
      </c>
      <c r="BI167" s="66"/>
      <c r="BJ167" s="120"/>
      <c r="BL167" s="121" t="s">
        <v>86</v>
      </c>
      <c r="BM167" s="73">
        <f t="shared" ref="BM167:BR167" ca="1" si="209">SUM(BM131:BM166)</f>
        <v>482.46642588272124</v>
      </c>
      <c r="BN167" s="15">
        <f t="shared" ca="1" si="209"/>
        <v>44.323201979043496</v>
      </c>
      <c r="BO167" s="98">
        <f t="shared" ca="1" si="209"/>
        <v>12</v>
      </c>
      <c r="BP167" s="128">
        <f t="shared" ca="1" si="209"/>
        <v>342</v>
      </c>
      <c r="BQ167" s="7">
        <f t="shared" ca="1" si="209"/>
        <v>9890</v>
      </c>
      <c r="BR167" s="15">
        <f t="shared" ca="1" si="209"/>
        <v>1263.8794827572997</v>
      </c>
      <c r="BS167" s="66"/>
      <c r="BT167" s="120"/>
      <c r="CA167" s="121" t="s">
        <v>86</v>
      </c>
      <c r="CB167" s="73">
        <f t="shared" ref="CB167:CG167" ca="1" si="210">SUM(CB131:CB166)</f>
        <v>793.13235273660314</v>
      </c>
      <c r="CC167" s="15">
        <f t="shared" ca="1" si="210"/>
        <v>73.592225634272822</v>
      </c>
      <c r="CD167" s="98">
        <f t="shared" ca="1" si="210"/>
        <v>20</v>
      </c>
      <c r="CE167" s="128">
        <f t="shared" ca="1" si="210"/>
        <v>430</v>
      </c>
      <c r="CF167" s="7">
        <f t="shared" ca="1" si="210"/>
        <v>9910</v>
      </c>
      <c r="CG167" s="15">
        <f t="shared" ca="1" si="210"/>
        <v>1584.5176141570887</v>
      </c>
      <c r="CH167" s="66"/>
      <c r="CI167" s="120"/>
    </row>
    <row r="168" spans="24:87" x14ac:dyDescent="0.2">
      <c r="X168" s="7" t="s">
        <v>176</v>
      </c>
      <c r="Y168" s="7"/>
      <c r="Z168" s="15">
        <f ca="1">+Z167/AA167</f>
        <v>3.6895272594036275</v>
      </c>
      <c r="AA168" s="7"/>
      <c r="AB168" s="7">
        <f ca="1">+AB167/AA167</f>
        <v>18.5</v>
      </c>
      <c r="AC168" s="7">
        <f ca="1">+AC167/AA167</f>
        <v>450.16666666666669</v>
      </c>
      <c r="AD168" s="15">
        <f ca="1">+AD167/AA167</f>
        <v>68.204554264416089</v>
      </c>
      <c r="AH168" s="7" t="s">
        <v>176</v>
      </c>
      <c r="AI168" s="7"/>
      <c r="AJ168" s="15">
        <f ca="1">+AJ167/AK167</f>
        <v>3.6984830137550961</v>
      </c>
      <c r="AK168" s="7"/>
      <c r="AL168" s="7">
        <f ca="1">+AL167/AK167</f>
        <v>19</v>
      </c>
      <c r="AM168" s="7">
        <f ca="1">+AM167/AK167</f>
        <v>441</v>
      </c>
      <c r="AN168" s="15">
        <f ca="1">+AN167/AK167</f>
        <v>70.130236093179121</v>
      </c>
      <c r="AR168" s="7" t="s">
        <v>176</v>
      </c>
      <c r="AS168" s="7"/>
      <c r="AT168" s="15">
        <f ca="1">+AT167/AU167</f>
        <v>3.6796548641852165</v>
      </c>
      <c r="AU168" s="7"/>
      <c r="AV168" s="7">
        <f ca="1">+AV167/AU167</f>
        <v>22.5</v>
      </c>
      <c r="AW168" s="7">
        <f ca="1">+AW167/AU167</f>
        <v>554.16666666666663</v>
      </c>
      <c r="AX168" s="15">
        <f ca="1">+AX167/AU167</f>
        <v>82.923173851445341</v>
      </c>
      <c r="BB168" s="7" t="s">
        <v>176</v>
      </c>
      <c r="BC168" s="7"/>
      <c r="BD168" s="15">
        <f ca="1">+BD167/BE167</f>
        <v>3.6878941935882494</v>
      </c>
      <c r="BE168" s="7"/>
      <c r="BF168" s="7">
        <f ca="1">+BF167/BE167</f>
        <v>25.5</v>
      </c>
      <c r="BG168" s="7">
        <f ca="1">+BG167/BE167</f>
        <v>677.16666666666663</v>
      </c>
      <c r="BH168" s="15">
        <f ca="1">+BH167/BE167</f>
        <v>94.099160450627338</v>
      </c>
      <c r="BL168" s="7" t="s">
        <v>176</v>
      </c>
      <c r="BM168" s="7"/>
      <c r="BN168" s="15">
        <f ca="1">+BN167/BO167</f>
        <v>3.6936001649202912</v>
      </c>
      <c r="BO168" s="7"/>
      <c r="BP168" s="7">
        <f ca="1">+BP167/BO167</f>
        <v>28.5</v>
      </c>
      <c r="BQ168" s="7">
        <f ca="1">+BQ167/BO167</f>
        <v>824.16666666666663</v>
      </c>
      <c r="BR168" s="15">
        <f ca="1">+BR167/BO167</f>
        <v>105.32329022977497</v>
      </c>
      <c r="CA168" s="7" t="s">
        <v>176</v>
      </c>
      <c r="CB168" s="7"/>
      <c r="CC168" s="15">
        <f ca="1">+CC167/CD167</f>
        <v>3.6796112817136413</v>
      </c>
      <c r="CD168" s="7"/>
      <c r="CE168" s="7">
        <f ca="1">+CE167/CD167</f>
        <v>21.5</v>
      </c>
      <c r="CF168" s="7">
        <f ca="1">+CF167/CD167</f>
        <v>495.5</v>
      </c>
      <c r="CG168" s="15">
        <f ca="1">+CG167/CD167</f>
        <v>79.225880707854429</v>
      </c>
    </row>
    <row r="170" spans="24:87" x14ac:dyDescent="0.2">
      <c r="X170" t="s">
        <v>205</v>
      </c>
      <c r="Y170">
        <f ca="1">AA167</f>
        <v>36</v>
      </c>
      <c r="AH170" t="s">
        <v>205</v>
      </c>
      <c r="AI170">
        <f ca="1">AK167</f>
        <v>31</v>
      </c>
      <c r="AR170" t="s">
        <v>205</v>
      </c>
      <c r="AS170">
        <f ca="1">AU167</f>
        <v>24</v>
      </c>
      <c r="BB170" t="s">
        <v>205</v>
      </c>
      <c r="BC170">
        <f ca="1">BE167</f>
        <v>18</v>
      </c>
      <c r="BL170" t="s">
        <v>205</v>
      </c>
      <c r="BM170">
        <f ca="1">BO167</f>
        <v>12</v>
      </c>
      <c r="CA170" t="s">
        <v>205</v>
      </c>
      <c r="CB170">
        <f ca="1">CD167</f>
        <v>20</v>
      </c>
    </row>
    <row r="171" spans="24:87" x14ac:dyDescent="0.2">
      <c r="X171" t="s">
        <v>254</v>
      </c>
      <c r="Y171" s="66">
        <f ca="1">Z167</f>
        <v>132.82298133853058</v>
      </c>
      <c r="AH171" t="s">
        <v>254</v>
      </c>
      <c r="AI171" s="66">
        <f ca="1">AJ167</f>
        <v>114.65297342640798</v>
      </c>
      <c r="AR171" t="s">
        <v>254</v>
      </c>
      <c r="AS171" s="66">
        <f ca="1">AT167</f>
        <v>88.311716740445192</v>
      </c>
      <c r="BB171" t="s">
        <v>254</v>
      </c>
      <c r="BC171" s="66">
        <f ca="1">BD167</f>
        <v>66.38209548458849</v>
      </c>
      <c r="BL171" t="s">
        <v>254</v>
      </c>
      <c r="BM171" s="66">
        <f ca="1">BN167</f>
        <v>44.323201979043496</v>
      </c>
      <c r="CA171" t="s">
        <v>254</v>
      </c>
      <c r="CB171" s="66">
        <f ca="1">CC167</f>
        <v>73.592225634272822</v>
      </c>
    </row>
    <row r="172" spans="24:87" x14ac:dyDescent="0.2">
      <c r="X172" t="s">
        <v>242</v>
      </c>
      <c r="AA172" t="s">
        <v>243</v>
      </c>
      <c r="AH172" t="s">
        <v>242</v>
      </c>
      <c r="AK172" t="s">
        <v>243</v>
      </c>
      <c r="AR172" t="s">
        <v>242</v>
      </c>
      <c r="AU172" t="s">
        <v>243</v>
      </c>
      <c r="BB172" t="s">
        <v>242</v>
      </c>
      <c r="BE172" t="s">
        <v>243</v>
      </c>
      <c r="BL172" t="s">
        <v>242</v>
      </c>
      <c r="BO172" t="s">
        <v>243</v>
      </c>
      <c r="CA172" t="s">
        <v>242</v>
      </c>
      <c r="CD172" t="s">
        <v>243</v>
      </c>
    </row>
    <row r="173" spans="24:87" x14ac:dyDescent="0.2">
      <c r="X173" s="1" t="s">
        <v>255</v>
      </c>
      <c r="Y173" s="59">
        <f ca="1">+AD168</f>
        <v>68.204554264416089</v>
      </c>
      <c r="AA173" t="s">
        <v>244</v>
      </c>
      <c r="AH173" s="1" t="s">
        <v>255</v>
      </c>
      <c r="AI173" s="59">
        <f ca="1">+AN168</f>
        <v>70.130236093179121</v>
      </c>
      <c r="AK173" t="s">
        <v>244</v>
      </c>
      <c r="AR173" s="1" t="s">
        <v>255</v>
      </c>
      <c r="AS173" s="59">
        <f ca="1">+AX168</f>
        <v>82.923173851445341</v>
      </c>
      <c r="AU173" t="s">
        <v>244</v>
      </c>
      <c r="BB173" s="1" t="s">
        <v>255</v>
      </c>
      <c r="BC173" s="59">
        <f ca="1">+BH168</f>
        <v>94.099160450627338</v>
      </c>
      <c r="BE173" t="s">
        <v>244</v>
      </c>
      <c r="BL173" s="1" t="s">
        <v>255</v>
      </c>
      <c r="BM173" s="59">
        <f ca="1">+BR168</f>
        <v>105.32329022977497</v>
      </c>
      <c r="BO173" t="s">
        <v>244</v>
      </c>
      <c r="CA173" s="1" t="s">
        <v>255</v>
      </c>
      <c r="CB173" s="59">
        <f ca="1">+CG168</f>
        <v>79.225880707854429</v>
      </c>
      <c r="CD173" t="s">
        <v>244</v>
      </c>
    </row>
    <row r="174" spans="24:87" x14ac:dyDescent="0.2">
      <c r="X174" s="28" t="s">
        <v>245</v>
      </c>
      <c r="Y174" s="59">
        <f ca="1">+AB168</f>
        <v>18.5</v>
      </c>
      <c r="AH174" s="28" t="s">
        <v>245</v>
      </c>
      <c r="AI174" s="59">
        <f ca="1">+AL168</f>
        <v>19</v>
      </c>
      <c r="AR174" s="28" t="s">
        <v>245</v>
      </c>
      <c r="AS174" s="59">
        <f ca="1">+AV168</f>
        <v>22.5</v>
      </c>
      <c r="BB174" s="28" t="s">
        <v>245</v>
      </c>
      <c r="BC174" s="59">
        <f ca="1">+BF168</f>
        <v>25.5</v>
      </c>
      <c r="BL174" s="28" t="s">
        <v>245</v>
      </c>
      <c r="BM174" s="59">
        <f ca="1">+BP168</f>
        <v>28.5</v>
      </c>
      <c r="CA174" s="28" t="s">
        <v>245</v>
      </c>
      <c r="CB174" s="59">
        <f ca="1">+CE168</f>
        <v>21.5</v>
      </c>
    </row>
    <row r="175" spans="24:87" x14ac:dyDescent="0.2">
      <c r="X175" s="1" t="s">
        <v>256</v>
      </c>
      <c r="Y175" s="59">
        <f ca="1">Y171/Y170</f>
        <v>3.6895272594036275</v>
      </c>
      <c r="AH175" s="1" t="s">
        <v>256</v>
      </c>
      <c r="AI175" s="59">
        <f ca="1">AI171/AI170</f>
        <v>3.6984830137550961</v>
      </c>
      <c r="AR175" s="1" t="s">
        <v>256</v>
      </c>
      <c r="AS175" s="59">
        <f ca="1">AS171/AS170</f>
        <v>3.6796548641852165</v>
      </c>
      <c r="BB175" s="1" t="s">
        <v>256</v>
      </c>
      <c r="BC175" s="59">
        <f ca="1">BC171/BC170</f>
        <v>3.6878941935882494</v>
      </c>
      <c r="BL175" s="1" t="s">
        <v>256</v>
      </c>
      <c r="BM175" s="59">
        <f ca="1">BM171/BM170</f>
        <v>3.6936001649202912</v>
      </c>
      <c r="CA175" s="1" t="s">
        <v>256</v>
      </c>
      <c r="CB175" s="59">
        <f ca="1">CB171/CB170</f>
        <v>3.6796112817136413</v>
      </c>
    </row>
    <row r="176" spans="24:87" x14ac:dyDescent="0.2">
      <c r="X176" s="1" t="s">
        <v>257</v>
      </c>
      <c r="Y176" s="59">
        <f ca="1">+AC168</f>
        <v>450.16666666666669</v>
      </c>
      <c r="AH176" s="1" t="s">
        <v>257</v>
      </c>
      <c r="AI176" s="59">
        <f ca="1">+AM168</f>
        <v>441</v>
      </c>
      <c r="AR176" s="1" t="s">
        <v>257</v>
      </c>
      <c r="AS176" s="59">
        <f ca="1">+AW168</f>
        <v>554.16666666666663</v>
      </c>
      <c r="BB176" s="1" t="s">
        <v>257</v>
      </c>
      <c r="BC176" s="59">
        <f ca="1">+BG168</f>
        <v>677.16666666666663</v>
      </c>
      <c r="BL176" s="1" t="s">
        <v>257</v>
      </c>
      <c r="BM176" s="59">
        <f ca="1">+BQ168</f>
        <v>824.16666666666663</v>
      </c>
      <c r="CA176" s="1" t="s">
        <v>257</v>
      </c>
      <c r="CB176" s="59">
        <f ca="1">+CF168</f>
        <v>495.5</v>
      </c>
    </row>
    <row r="177" spans="24:87" x14ac:dyDescent="0.2">
      <c r="X177" s="28" t="s">
        <v>246</v>
      </c>
      <c r="Y177" s="59">
        <f ca="1">Y174^2</f>
        <v>342.25</v>
      </c>
      <c r="AH177" s="28" t="s">
        <v>246</v>
      </c>
      <c r="AI177" s="59">
        <f ca="1">AI174^2</f>
        <v>361</v>
      </c>
      <c r="AR177" s="28" t="s">
        <v>246</v>
      </c>
      <c r="AS177" s="59">
        <f ca="1">AS174^2</f>
        <v>506.25</v>
      </c>
      <c r="BB177" s="28" t="s">
        <v>246</v>
      </c>
      <c r="BC177" s="59">
        <f ca="1">BC174^2</f>
        <v>650.25</v>
      </c>
      <c r="BL177" s="28" t="s">
        <v>246</v>
      </c>
      <c r="BM177" s="59">
        <f ca="1">BM174^2</f>
        <v>812.25</v>
      </c>
      <c r="CA177" s="28" t="s">
        <v>246</v>
      </c>
      <c r="CB177" s="59">
        <f ca="1">CB174^2</f>
        <v>462.25</v>
      </c>
    </row>
    <row r="178" spans="24:87" x14ac:dyDescent="0.2">
      <c r="X178" s="28" t="s">
        <v>247</v>
      </c>
      <c r="Y178" s="66">
        <f ca="1">(Y173-Y175*Y174)/(Y176-Y177)</f>
        <v>-4.7907367923723557E-4</v>
      </c>
      <c r="AH178" s="28" t="s">
        <v>247</v>
      </c>
      <c r="AI178" s="66">
        <f ca="1">(AI173-AI175*AI174)/(AI176-AI177)</f>
        <v>-1.7617646020962497E-3</v>
      </c>
      <c r="AR178" s="28" t="s">
        <v>247</v>
      </c>
      <c r="AS178" s="66">
        <f ca="1">(AS173-AS175*AS174)/(AS176-AS177)</f>
        <v>2.7326484997140322E-3</v>
      </c>
      <c r="BB178" s="28" t="s">
        <v>247</v>
      </c>
      <c r="BC178" s="66">
        <f ca="1">(BC173-BC175*BC174)/(BC176-BC177)</f>
        <v>2.149542320506887E-3</v>
      </c>
      <c r="BL178" s="28" t="s">
        <v>247</v>
      </c>
      <c r="BM178" s="66">
        <f ca="1">(BM173-BM175*BM174)/(BM176-BM177)</f>
        <v>4.6729115703495021E-3</v>
      </c>
      <c r="CA178" s="28" t="s">
        <v>247</v>
      </c>
      <c r="CB178" s="66">
        <f ca="1">(CB173-CB175*CB174)/(CB176-CB177)</f>
        <v>3.4357338649965811E-3</v>
      </c>
    </row>
    <row r="179" spans="24:87" x14ac:dyDescent="0.2">
      <c r="X179" s="28" t="s">
        <v>248</v>
      </c>
      <c r="Y179" s="66">
        <f ca="1">Y175-Y178*Y174</f>
        <v>3.6983901224695162</v>
      </c>
      <c r="AH179" s="28" t="s">
        <v>248</v>
      </c>
      <c r="AI179" s="66">
        <f ca="1">AI175-AI178*AI174</f>
        <v>3.7319565411949247</v>
      </c>
      <c r="AR179" s="28" t="s">
        <v>248</v>
      </c>
      <c r="AS179" s="66">
        <f ca="1">AS175-AS178*AS174</f>
        <v>3.6181702729416507</v>
      </c>
      <c r="BB179" s="28" t="s">
        <v>248</v>
      </c>
      <c r="BC179" s="66">
        <f ca="1">BC175-BC178*BC174</f>
        <v>3.6330808644153239</v>
      </c>
      <c r="BL179" s="28" t="s">
        <v>248</v>
      </c>
      <c r="BM179" s="66">
        <f ca="1">BM175-BM178*BM174</f>
        <v>3.5604221851653302</v>
      </c>
      <c r="CA179" s="28" t="s">
        <v>248</v>
      </c>
      <c r="CB179" s="66">
        <f ca="1">CB175-CB178*CB174</f>
        <v>3.6057430036162148</v>
      </c>
    </row>
    <row r="180" spans="24:87" x14ac:dyDescent="0.2">
      <c r="X180" t="s">
        <v>249</v>
      </c>
      <c r="Y180" s="126">
        <f ca="1">EXP(12*Y178+Y179)/EXP(Y179)-1</f>
        <v>-5.7323909373506732E-3</v>
      </c>
      <c r="AH180" t="s">
        <v>249</v>
      </c>
      <c r="AI180" s="126">
        <f ca="1">EXP(12*AI178+AI179)/EXP(AI179)-1</f>
        <v>-2.0919267130664165E-2</v>
      </c>
      <c r="AR180" t="s">
        <v>249</v>
      </c>
      <c r="AS180" s="126">
        <f ca="1">EXP(12*AS178+AS179)/EXP(AS179)-1</f>
        <v>3.333535781468E-2</v>
      </c>
      <c r="BB180" t="s">
        <v>249</v>
      </c>
      <c r="BC180" s="126">
        <f ca="1">EXP(12*BC178+BC179)/EXP(BC179)-1</f>
        <v>2.6130065129465363E-2</v>
      </c>
      <c r="BL180" t="s">
        <v>249</v>
      </c>
      <c r="BM180" s="126">
        <f ca="1">EXP(12*BM178+BM179)/EXP(BM179)-1</f>
        <v>5.7676941854371666E-2</v>
      </c>
      <c r="CA180" t="s">
        <v>249</v>
      </c>
      <c r="CB180" s="126">
        <f ca="1">EXP(12*CB178+CB179)/EXP(CB179)-1</f>
        <v>4.2090515227990233E-2</v>
      </c>
    </row>
    <row r="181" spans="24:87" x14ac:dyDescent="0.2">
      <c r="X181" t="s">
        <v>250</v>
      </c>
      <c r="Y181" t="str">
        <f ca="1">FIXED(Y180*100,1,TRUE)</f>
        <v>-0.6</v>
      </c>
      <c r="AH181" t="s">
        <v>250</v>
      </c>
      <c r="AI181" t="str">
        <f ca="1">FIXED(AI180*100,1,TRUE)</f>
        <v>-2.1</v>
      </c>
      <c r="AR181" t="s">
        <v>250</v>
      </c>
      <c r="AS181" t="str">
        <f ca="1">FIXED(AS180*100,1,TRUE)</f>
        <v>3.3</v>
      </c>
      <c r="BB181" t="s">
        <v>250</v>
      </c>
      <c r="BC181" t="str">
        <f ca="1">FIXED(BC180*100,1,TRUE)</f>
        <v>2.6</v>
      </c>
      <c r="BL181" t="s">
        <v>250</v>
      </c>
      <c r="BM181" t="str">
        <f ca="1">FIXED(BM180*100,1,TRUE)</f>
        <v>5.8</v>
      </c>
      <c r="CA181" t="s">
        <v>250</v>
      </c>
      <c r="CB181" t="str">
        <f ca="1">FIXED(CB180*100,1,TRUE)</f>
        <v>4.2</v>
      </c>
    </row>
    <row r="183" spans="24:87" x14ac:dyDescent="0.2">
      <c r="AD183" s="66"/>
    </row>
    <row r="184" spans="24:87" x14ac:dyDescent="0.2">
      <c r="AD184" s="66"/>
    </row>
    <row r="185" spans="24:87" x14ac:dyDescent="0.2">
      <c r="AD185" s="66"/>
    </row>
    <row r="187" spans="24:87" x14ac:dyDescent="0.2">
      <c r="X187" s="130" t="s">
        <v>321</v>
      </c>
      <c r="AH187" s="130" t="s">
        <v>1003</v>
      </c>
      <c r="AR187" s="130" t="s">
        <v>1004</v>
      </c>
      <c r="BB187" s="130" t="s">
        <v>1005</v>
      </c>
      <c r="BL187" s="130" t="s">
        <v>1006</v>
      </c>
      <c r="CA187" s="130" t="s">
        <v>1026</v>
      </c>
    </row>
    <row r="188" spans="24:87" x14ac:dyDescent="0.2">
      <c r="X188" s="129" t="s">
        <v>153</v>
      </c>
      <c r="AH188" s="129" t="s">
        <v>153</v>
      </c>
      <c r="AR188" s="129" t="s">
        <v>153</v>
      </c>
      <c r="BB188" s="129" t="s">
        <v>153</v>
      </c>
      <c r="BL188" s="129" t="s">
        <v>153</v>
      </c>
      <c r="CA188" s="129" t="s">
        <v>153</v>
      </c>
    </row>
    <row r="189" spans="24:87" x14ac:dyDescent="0.2">
      <c r="AC189" s="2"/>
      <c r="AD189" s="2"/>
      <c r="AE189" s="2" t="s">
        <v>253</v>
      </c>
      <c r="AF189" s="2" t="s">
        <v>251</v>
      </c>
      <c r="AM189" s="2"/>
      <c r="AN189" s="2"/>
      <c r="AO189" s="2" t="s">
        <v>253</v>
      </c>
      <c r="AP189" s="2" t="s">
        <v>251</v>
      </c>
      <c r="AW189" s="2"/>
      <c r="AX189" s="2"/>
      <c r="AY189" s="2" t="s">
        <v>253</v>
      </c>
      <c r="AZ189" s="2" t="s">
        <v>251</v>
      </c>
      <c r="BG189" s="2"/>
      <c r="BH189" s="2"/>
      <c r="BI189" s="2" t="s">
        <v>253</v>
      </c>
      <c r="BJ189" s="2" t="s">
        <v>251</v>
      </c>
      <c r="BQ189" s="2"/>
      <c r="BR189" s="2"/>
      <c r="BS189" s="2" t="s">
        <v>253</v>
      </c>
      <c r="BT189" s="2" t="s">
        <v>251</v>
      </c>
      <c r="CF189" s="2"/>
      <c r="CG189" s="2"/>
      <c r="CH189" s="2" t="s">
        <v>253</v>
      </c>
      <c r="CI189" s="2" t="s">
        <v>251</v>
      </c>
    </row>
    <row r="190" spans="24:87" x14ac:dyDescent="0.2">
      <c r="X190" s="2"/>
      <c r="Y190" s="18" t="s">
        <v>230</v>
      </c>
      <c r="Z190" s="2" t="s">
        <v>238</v>
      </c>
      <c r="AC190" s="2"/>
      <c r="AD190" s="2"/>
      <c r="AE190" s="2" t="s">
        <v>251</v>
      </c>
      <c r="AF190" s="2" t="s">
        <v>252</v>
      </c>
      <c r="AH190" s="2"/>
      <c r="AI190" s="18" t="s">
        <v>230</v>
      </c>
      <c r="AJ190" s="2" t="s">
        <v>238</v>
      </c>
      <c r="AM190" s="2"/>
      <c r="AN190" s="2"/>
      <c r="AO190" s="2" t="s">
        <v>251</v>
      </c>
      <c r="AP190" s="2" t="s">
        <v>252</v>
      </c>
      <c r="AR190" s="2"/>
      <c r="AS190" s="18" t="s">
        <v>230</v>
      </c>
      <c r="AT190" s="2" t="s">
        <v>238</v>
      </c>
      <c r="AW190" s="2"/>
      <c r="AX190" s="2"/>
      <c r="AY190" s="2" t="s">
        <v>251</v>
      </c>
      <c r="AZ190" s="2" t="s">
        <v>252</v>
      </c>
      <c r="BB190" s="2"/>
      <c r="BC190" s="18" t="s">
        <v>230</v>
      </c>
      <c r="BD190" s="2" t="s">
        <v>238</v>
      </c>
      <c r="BG190" s="2"/>
      <c r="BH190" s="2"/>
      <c r="BI190" s="2" t="s">
        <v>251</v>
      </c>
      <c r="BJ190" s="2" t="s">
        <v>252</v>
      </c>
      <c r="BL190" s="2"/>
      <c r="BM190" s="18" t="s">
        <v>230</v>
      </c>
      <c r="BN190" s="2" t="s">
        <v>238</v>
      </c>
      <c r="BQ190" s="2"/>
      <c r="BR190" s="2"/>
      <c r="BS190" s="2" t="s">
        <v>251</v>
      </c>
      <c r="BT190" s="2" t="s">
        <v>252</v>
      </c>
      <c r="BZ190" s="228" t="s">
        <v>1029</v>
      </c>
      <c r="CA190" s="2"/>
      <c r="CB190" s="18" t="s">
        <v>230</v>
      </c>
      <c r="CC190" s="2" t="s">
        <v>238</v>
      </c>
      <c r="CF190" s="2"/>
      <c r="CG190" s="2"/>
      <c r="CH190" s="2" t="s">
        <v>251</v>
      </c>
      <c r="CI190" s="2" t="s">
        <v>252</v>
      </c>
    </row>
    <row r="191" spans="24:87" x14ac:dyDescent="0.2">
      <c r="X191" s="38" t="s">
        <v>41</v>
      </c>
      <c r="Y191" s="8" t="s">
        <v>101</v>
      </c>
      <c r="Z191" s="8" t="s">
        <v>222</v>
      </c>
      <c r="AA191" s="8" t="s">
        <v>205</v>
      </c>
      <c r="AB191" s="8" t="s">
        <v>239</v>
      </c>
      <c r="AC191" s="8" t="s">
        <v>240</v>
      </c>
      <c r="AD191" s="8" t="s">
        <v>241</v>
      </c>
      <c r="AE191" s="8" t="s">
        <v>252</v>
      </c>
      <c r="AF191" s="8" t="s">
        <v>101</v>
      </c>
      <c r="AH191" s="38" t="s">
        <v>41</v>
      </c>
      <c r="AI191" s="8" t="s">
        <v>101</v>
      </c>
      <c r="AJ191" s="8" t="s">
        <v>222</v>
      </c>
      <c r="AK191" s="8" t="s">
        <v>205</v>
      </c>
      <c r="AL191" s="8" t="s">
        <v>239</v>
      </c>
      <c r="AM191" s="8" t="s">
        <v>240</v>
      </c>
      <c r="AN191" s="8" t="s">
        <v>241</v>
      </c>
      <c r="AO191" s="8" t="s">
        <v>252</v>
      </c>
      <c r="AP191" s="8" t="s">
        <v>101</v>
      </c>
      <c r="AR191" s="38" t="s">
        <v>41</v>
      </c>
      <c r="AS191" s="8" t="s">
        <v>101</v>
      </c>
      <c r="AT191" s="8" t="s">
        <v>222</v>
      </c>
      <c r="AU191" s="8" t="s">
        <v>205</v>
      </c>
      <c r="AV191" s="8" t="s">
        <v>239</v>
      </c>
      <c r="AW191" s="8" t="s">
        <v>240</v>
      </c>
      <c r="AX191" s="8" t="s">
        <v>241</v>
      </c>
      <c r="AY191" s="8" t="s">
        <v>252</v>
      </c>
      <c r="AZ191" s="8" t="s">
        <v>101</v>
      </c>
      <c r="BB191" s="38" t="s">
        <v>41</v>
      </c>
      <c r="BC191" s="8" t="s">
        <v>101</v>
      </c>
      <c r="BD191" s="8" t="s">
        <v>222</v>
      </c>
      <c r="BE191" s="8" t="s">
        <v>205</v>
      </c>
      <c r="BF191" s="8" t="s">
        <v>239</v>
      </c>
      <c r="BG191" s="8" t="s">
        <v>240</v>
      </c>
      <c r="BH191" s="8" t="s">
        <v>241</v>
      </c>
      <c r="BI191" s="8" t="s">
        <v>252</v>
      </c>
      <c r="BJ191" s="8" t="s">
        <v>101</v>
      </c>
      <c r="BL191" s="38" t="s">
        <v>41</v>
      </c>
      <c r="BM191" s="8" t="s">
        <v>101</v>
      </c>
      <c r="BN191" s="8" t="s">
        <v>222</v>
      </c>
      <c r="BO191" s="8" t="s">
        <v>205</v>
      </c>
      <c r="BP191" s="8" t="s">
        <v>239</v>
      </c>
      <c r="BQ191" s="8" t="s">
        <v>240</v>
      </c>
      <c r="BR191" s="8" t="s">
        <v>241</v>
      </c>
      <c r="BS191" s="8" t="s">
        <v>252</v>
      </c>
      <c r="BT191" s="8" t="s">
        <v>101</v>
      </c>
      <c r="BZ191" s="8" t="s">
        <v>1030</v>
      </c>
      <c r="CA191" s="38" t="s">
        <v>41</v>
      </c>
      <c r="CB191" s="8" t="s">
        <v>101</v>
      </c>
      <c r="CC191" s="8" t="s">
        <v>222</v>
      </c>
      <c r="CD191" s="8" t="s">
        <v>205</v>
      </c>
      <c r="CE191" s="8" t="s">
        <v>239</v>
      </c>
      <c r="CF191" s="8" t="s">
        <v>240</v>
      </c>
      <c r="CG191" s="8" t="s">
        <v>241</v>
      </c>
      <c r="CH191" s="8" t="s">
        <v>252</v>
      </c>
      <c r="CI191" s="8" t="s">
        <v>101</v>
      </c>
    </row>
    <row r="193" spans="24:87" x14ac:dyDescent="0.2">
      <c r="X193" s="121">
        <f>+X131</f>
        <v>44287</v>
      </c>
      <c r="Y193" s="73">
        <f>+Y69</f>
        <v>35.869891317541402</v>
      </c>
      <c r="Z193" s="15">
        <f>IF(Y193=0,0,LN(Y193))</f>
        <v>3.5798982616411177</v>
      </c>
      <c r="AA193" s="98">
        <f>IF(Z193&gt;0,1,0)</f>
        <v>1</v>
      </c>
      <c r="AB193" s="128">
        <f>IF(AA193&gt;0,1,0)</f>
        <v>1</v>
      </c>
      <c r="AC193" s="128">
        <f>AB193^2</f>
        <v>1</v>
      </c>
      <c r="AD193" s="15">
        <f>AB193*Z193</f>
        <v>3.5798982616411177</v>
      </c>
      <c r="AE193" s="127">
        <f ca="1">Y$116*$V193+Y$117</f>
        <v>3.6983901224695162</v>
      </c>
      <c r="AF193" s="127">
        <f ca="1">EXP(AE193)</f>
        <v>40.382241539248106</v>
      </c>
      <c r="AH193" s="121">
        <f>+AH131</f>
        <v>44287</v>
      </c>
      <c r="AI193" s="73">
        <f>+U7</f>
        <v>0</v>
      </c>
      <c r="AJ193" s="15">
        <f>IF(AI193=0,0,LN(AI193))</f>
        <v>0</v>
      </c>
      <c r="AK193" s="98">
        <f>IF(AJ193&gt;0,1,0)</f>
        <v>0</v>
      </c>
      <c r="AL193" s="128">
        <f>IF(AK193&gt;0,1,0)</f>
        <v>0</v>
      </c>
      <c r="AM193" s="128">
        <f>AL193^2</f>
        <v>0</v>
      </c>
      <c r="AN193" s="15">
        <f>AL193*AJ193</f>
        <v>0</v>
      </c>
      <c r="AO193" s="127">
        <f ca="1">AI$116*$V193+AI$117</f>
        <v>3.717381908543667</v>
      </c>
      <c r="AP193" s="127">
        <f ca="1">EXP(AO193)</f>
        <v>41.156501448997759</v>
      </c>
      <c r="AR193" s="121">
        <f>+$AH193</f>
        <v>44287</v>
      </c>
      <c r="AS193" s="131">
        <v>0</v>
      </c>
      <c r="AT193" s="15">
        <f>IF(AS193=0,0,LN(AS193))</f>
        <v>0</v>
      </c>
      <c r="AU193" s="98">
        <f>IF(AT193&gt;0,1,0)</f>
        <v>0</v>
      </c>
      <c r="AV193" s="128">
        <f>IF(AU193&gt;0,1,0)</f>
        <v>0</v>
      </c>
      <c r="AW193" s="128">
        <f>AV193^2</f>
        <v>0</v>
      </c>
      <c r="AX193" s="15">
        <f>AV193*AT193</f>
        <v>0</v>
      </c>
      <c r="AY193" s="127">
        <f ca="1">AS$116*$V193+AS$117</f>
        <v>3.5917042425913404</v>
      </c>
      <c r="AZ193" s="127">
        <f ca="1">EXP(AY193)</f>
        <v>36.295880231733982</v>
      </c>
      <c r="BB193" s="121">
        <f>+$AH193</f>
        <v>44287</v>
      </c>
      <c r="BC193" s="131">
        <v>0</v>
      </c>
      <c r="BD193" s="15">
        <f>IF(BC193=0,0,LN(BC193))</f>
        <v>0</v>
      </c>
      <c r="BE193" s="98">
        <f>IF(BD193&gt;0,1,0)</f>
        <v>0</v>
      </c>
      <c r="BF193" s="128">
        <f>IF(BE193&gt;0,1,0)</f>
        <v>0</v>
      </c>
      <c r="BG193" s="128">
        <f>BF193^2</f>
        <v>0</v>
      </c>
      <c r="BH193" s="15">
        <f>BF193*BD193</f>
        <v>0</v>
      </c>
      <c r="BI193" s="127">
        <f ca="1">BC$116*$V193+BC$117</f>
        <v>3.6568373206354861</v>
      </c>
      <c r="BJ193" s="127">
        <f ca="1">EXP(BI193)</f>
        <v>38.738631055505664</v>
      </c>
      <c r="BL193" s="121">
        <f>+$AH193</f>
        <v>44287</v>
      </c>
      <c r="BM193" s="131">
        <v>0</v>
      </c>
      <c r="BN193" s="15">
        <f>IF(BM193=0,0,LN(BM193))</f>
        <v>0</v>
      </c>
      <c r="BO193" s="98">
        <f>IF(BN193&gt;0,1,0)</f>
        <v>0</v>
      </c>
      <c r="BP193" s="128">
        <f>IF(BO193&gt;0,1,0)</f>
        <v>0</v>
      </c>
      <c r="BQ193" s="128">
        <f>BP193^2</f>
        <v>0</v>
      </c>
      <c r="BR193" s="15">
        <f>BP193*BN193</f>
        <v>0</v>
      </c>
      <c r="BS193" s="127">
        <f ca="1">BM$116*$V193+BM$117</f>
        <v>3.5459584216918016</v>
      </c>
      <c r="BT193" s="127">
        <f ca="1">EXP(BS193)</f>
        <v>34.672900682698888</v>
      </c>
      <c r="BZ193" s="583">
        <f>IF(OR(CA193&lt;BX$12,CA193&gt;BX$13),0,1)</f>
        <v>0</v>
      </c>
      <c r="CA193" s="121">
        <f>+$AH193</f>
        <v>44287</v>
      </c>
      <c r="CB193" s="127">
        <f>+BZ193*U7</f>
        <v>0</v>
      </c>
      <c r="CC193" s="15">
        <f>IF(CB193=0,0,LN(CB193))</f>
        <v>0</v>
      </c>
      <c r="CD193" s="98">
        <f>IF(CC193&gt;0,1,0)</f>
        <v>0</v>
      </c>
      <c r="CE193" s="128">
        <f>IF(CD193&gt;0,1,0)</f>
        <v>0</v>
      </c>
      <c r="CF193" s="128">
        <f>CE193^2</f>
        <v>0</v>
      </c>
      <c r="CG193" s="15">
        <f>CE193*CC193</f>
        <v>0</v>
      </c>
      <c r="CH193" s="127">
        <f ca="1">CB$116*$V193+CB$117</f>
        <v>3.6019236849906249</v>
      </c>
      <c r="CI193" s="127">
        <f ca="1">EXP(CH193)</f>
        <v>36.66870567845703</v>
      </c>
    </row>
    <row r="194" spans="24:87" x14ac:dyDescent="0.2">
      <c r="X194" s="121">
        <f t="shared" ref="X194:X228" si="211">+X132</f>
        <v>44317</v>
      </c>
      <c r="Y194" s="73">
        <f t="shared" ref="Y194:Y228" si="212">+Y70</f>
        <v>36.591966235234068</v>
      </c>
      <c r="Z194" s="15">
        <f t="shared" ref="Z194:Z228" si="213">IF(Y194=0,0,LN(Y194))</f>
        <v>3.5998287145437202</v>
      </c>
      <c r="AA194" s="98">
        <f t="shared" ref="AA194:AA228" si="214">IF(Z194&gt;0,1,0)</f>
        <v>1</v>
      </c>
      <c r="AB194" s="128">
        <f>IF(AA194&gt;0,2,0)</f>
        <v>2</v>
      </c>
      <c r="AC194" s="128">
        <f t="shared" ref="AC194:AC228" si="215">AB194^2</f>
        <v>4</v>
      </c>
      <c r="AD194" s="15">
        <f t="shared" ref="AD194:AD228" si="216">AB194*Z194</f>
        <v>7.1996574290874404</v>
      </c>
      <c r="AE194" s="127">
        <f t="shared" ref="AE194:AE228" ca="1" si="217">Y$116*$V194+Y$117</f>
        <v>3.6983901224695162</v>
      </c>
      <c r="AF194" s="127">
        <f ca="1">EXP(AE194)</f>
        <v>40.382241539248106</v>
      </c>
      <c r="AH194" s="121">
        <f t="shared" ref="AH194:AH228" si="218">+AH132</f>
        <v>44317</v>
      </c>
      <c r="AI194" s="73">
        <f t="shared" ref="AI194:AI226" si="219">+U8</f>
        <v>0</v>
      </c>
      <c r="AJ194" s="15">
        <f t="shared" ref="AJ194:AJ228" si="220">IF(AI194=0,0,LN(AI194))</f>
        <v>0</v>
      </c>
      <c r="AK194" s="98">
        <f t="shared" ref="AK194:AK228" si="221">IF(AJ194&gt;0,1,0)</f>
        <v>0</v>
      </c>
      <c r="AL194" s="128">
        <f>IF(AK194&gt;0,2,0)</f>
        <v>0</v>
      </c>
      <c r="AM194" s="128">
        <f t="shared" ref="AM194:AM228" si="222">AL194^2</f>
        <v>0</v>
      </c>
      <c r="AN194" s="15">
        <f t="shared" ref="AN194:AN228" si="223">AL194*AJ194</f>
        <v>0</v>
      </c>
      <c r="AO194" s="127">
        <f t="shared" ref="AO194:AO228" ca="1" si="224">AI$116*$V194+AI$117</f>
        <v>3.717381908543667</v>
      </c>
      <c r="AP194" s="127">
        <f ca="1">EXP(AO194)</f>
        <v>41.156501448997759</v>
      </c>
      <c r="AR194" s="121">
        <f t="shared" ref="AR194:AR228" si="225">+$AH194</f>
        <v>44317</v>
      </c>
      <c r="AS194" s="131">
        <v>0</v>
      </c>
      <c r="AT194" s="15">
        <f t="shared" ref="AT194:AT228" si="226">IF(AS194=0,0,LN(AS194))</f>
        <v>0</v>
      </c>
      <c r="AU194" s="98">
        <f t="shared" ref="AU194:AU228" si="227">IF(AT194&gt;0,1,0)</f>
        <v>0</v>
      </c>
      <c r="AV194" s="128">
        <f>IF(AU194&gt;0,2,0)</f>
        <v>0</v>
      </c>
      <c r="AW194" s="128">
        <f t="shared" ref="AW194:AW228" si="228">AV194^2</f>
        <v>0</v>
      </c>
      <c r="AX194" s="15">
        <f t="shared" ref="AX194:AX228" si="229">AV194*AT194</f>
        <v>0</v>
      </c>
      <c r="AY194" s="127">
        <f t="shared" ref="AY194:AY228" ca="1" si="230">AS$116*$V194+AS$117</f>
        <v>3.5917042425913404</v>
      </c>
      <c r="AZ194" s="127">
        <f ca="1">EXP(AY194)</f>
        <v>36.295880231733982</v>
      </c>
      <c r="BB194" s="121">
        <f t="shared" ref="BB194:BB228" si="231">+$AH194</f>
        <v>44317</v>
      </c>
      <c r="BC194" s="131">
        <v>0</v>
      </c>
      <c r="BD194" s="15">
        <f t="shared" ref="BD194:BD228" si="232">IF(BC194=0,0,LN(BC194))</f>
        <v>0</v>
      </c>
      <c r="BE194" s="98">
        <f t="shared" ref="BE194:BE228" si="233">IF(BD194&gt;0,1,0)</f>
        <v>0</v>
      </c>
      <c r="BF194" s="128">
        <f>IF(BE194&gt;0,2,0)</f>
        <v>0</v>
      </c>
      <c r="BG194" s="128">
        <f t="shared" ref="BG194:BG228" si="234">BF194^2</f>
        <v>0</v>
      </c>
      <c r="BH194" s="15">
        <f t="shared" ref="BH194:BH228" si="235">BF194*BD194</f>
        <v>0</v>
      </c>
      <c r="BI194" s="127">
        <f t="shared" ref="BI194:BI228" ca="1" si="236">BC$116*$V194+BC$117</f>
        <v>3.6568373206354861</v>
      </c>
      <c r="BJ194" s="127">
        <f ca="1">EXP(BI194)</f>
        <v>38.738631055505664</v>
      </c>
      <c r="BL194" s="121">
        <f t="shared" ref="BL194:BL228" si="237">+$AH194</f>
        <v>44317</v>
      </c>
      <c r="BM194" s="131">
        <v>0</v>
      </c>
      <c r="BN194" s="15">
        <f t="shared" ref="BN194:BN228" si="238">IF(BM194=0,0,LN(BM194))</f>
        <v>0</v>
      </c>
      <c r="BO194" s="98">
        <f t="shared" ref="BO194:BO228" si="239">IF(BN194&gt;0,1,0)</f>
        <v>0</v>
      </c>
      <c r="BP194" s="128">
        <f>IF(BO194&gt;0,2,0)</f>
        <v>0</v>
      </c>
      <c r="BQ194" s="128">
        <f t="shared" ref="BQ194:BQ228" si="240">BP194^2</f>
        <v>0</v>
      </c>
      <c r="BR194" s="15">
        <f t="shared" ref="BR194:BR228" si="241">BP194*BN194</f>
        <v>0</v>
      </c>
      <c r="BS194" s="127">
        <f t="shared" ref="BS194:BS228" ca="1" si="242">BM$116*$V194+BM$117</f>
        <v>3.5459584216918016</v>
      </c>
      <c r="BT194" s="127">
        <f ca="1">EXP(BS194)</f>
        <v>34.672900682698888</v>
      </c>
      <c r="BZ194" s="583">
        <f t="shared" ref="BZ194:BZ228" si="243">IF(OR(CA194&lt;BX$12,CA194&gt;BX$13),0,1)</f>
        <v>0</v>
      </c>
      <c r="CA194" s="121">
        <f t="shared" ref="CA194:CA228" si="244">+$AH194</f>
        <v>44317</v>
      </c>
      <c r="CB194" s="127">
        <f t="shared" ref="CB194:CB228" si="245">+BZ194*U8</f>
        <v>0</v>
      </c>
      <c r="CC194" s="15">
        <f t="shared" ref="CC194:CC228" si="246">IF(CB194=0,0,LN(CB194))</f>
        <v>0</v>
      </c>
      <c r="CD194" s="98">
        <f t="shared" ref="CD194:CD228" si="247">IF(CC194&gt;0,1,0)</f>
        <v>0</v>
      </c>
      <c r="CE194" s="128">
        <f>IF(CD194&gt;0,2,0)</f>
        <v>0</v>
      </c>
      <c r="CF194" s="128">
        <f t="shared" ref="CF194:CF228" si="248">CE194^2</f>
        <v>0</v>
      </c>
      <c r="CG194" s="15">
        <f t="shared" ref="CG194:CG228" si="249">CE194*CC194</f>
        <v>0</v>
      </c>
      <c r="CH194" s="127">
        <f t="shared" ref="CH194:CH228" ca="1" si="250">CB$116*$V194+CB$117</f>
        <v>3.6019236849906249</v>
      </c>
      <c r="CI194" s="127">
        <f ca="1">EXP(CH194)</f>
        <v>36.66870567845703</v>
      </c>
    </row>
    <row r="195" spans="24:87" x14ac:dyDescent="0.2">
      <c r="X195" s="121">
        <f t="shared" si="211"/>
        <v>44348</v>
      </c>
      <c r="Y195" s="73">
        <f t="shared" si="212"/>
        <v>38.790531392615186</v>
      </c>
      <c r="Z195" s="15">
        <f t="shared" si="213"/>
        <v>3.6581761805747268</v>
      </c>
      <c r="AA195" s="98">
        <f t="shared" si="214"/>
        <v>1</v>
      </c>
      <c r="AB195" s="128">
        <f>IF(AA195&gt;0,3,0)</f>
        <v>3</v>
      </c>
      <c r="AC195" s="128">
        <f t="shared" si="215"/>
        <v>9</v>
      </c>
      <c r="AD195" s="15">
        <f t="shared" si="216"/>
        <v>10.97452854172418</v>
      </c>
      <c r="AE195" s="127">
        <f t="shared" ca="1" si="217"/>
        <v>3.6983901224695162</v>
      </c>
      <c r="AF195" s="127">
        <f ca="1">EXP(AE195)</f>
        <v>40.382241539248106</v>
      </c>
      <c r="AH195" s="121">
        <f t="shared" si="218"/>
        <v>44348</v>
      </c>
      <c r="AI195" s="73">
        <f t="shared" si="219"/>
        <v>0</v>
      </c>
      <c r="AJ195" s="15">
        <f t="shared" si="220"/>
        <v>0</v>
      </c>
      <c r="AK195" s="98">
        <f t="shared" si="221"/>
        <v>0</v>
      </c>
      <c r="AL195" s="128">
        <f>IF(AK195&gt;0,3,0)</f>
        <v>0</v>
      </c>
      <c r="AM195" s="128">
        <f t="shared" si="222"/>
        <v>0</v>
      </c>
      <c r="AN195" s="15">
        <f t="shared" si="223"/>
        <v>0</v>
      </c>
      <c r="AO195" s="127">
        <f t="shared" ca="1" si="224"/>
        <v>3.717381908543667</v>
      </c>
      <c r="AP195" s="127">
        <f ca="1">EXP(AO195)</f>
        <v>41.156501448997759</v>
      </c>
      <c r="AR195" s="121">
        <f t="shared" si="225"/>
        <v>44348</v>
      </c>
      <c r="AS195" s="131">
        <v>0</v>
      </c>
      <c r="AT195" s="15">
        <f t="shared" si="226"/>
        <v>0</v>
      </c>
      <c r="AU195" s="98">
        <f t="shared" si="227"/>
        <v>0</v>
      </c>
      <c r="AV195" s="128">
        <f>IF(AU195&gt;0,3,0)</f>
        <v>0</v>
      </c>
      <c r="AW195" s="128">
        <f t="shared" si="228"/>
        <v>0</v>
      </c>
      <c r="AX195" s="15">
        <f t="shared" si="229"/>
        <v>0</v>
      </c>
      <c r="AY195" s="127">
        <f t="shared" ca="1" si="230"/>
        <v>3.5917042425913404</v>
      </c>
      <c r="AZ195" s="127">
        <f ca="1">EXP(AY195)</f>
        <v>36.295880231733982</v>
      </c>
      <c r="BB195" s="121">
        <f t="shared" si="231"/>
        <v>44348</v>
      </c>
      <c r="BC195" s="131">
        <v>0</v>
      </c>
      <c r="BD195" s="15">
        <f t="shared" si="232"/>
        <v>0</v>
      </c>
      <c r="BE195" s="98">
        <f t="shared" si="233"/>
        <v>0</v>
      </c>
      <c r="BF195" s="128">
        <f>IF(BE195&gt;0,3,0)</f>
        <v>0</v>
      </c>
      <c r="BG195" s="128">
        <f t="shared" si="234"/>
        <v>0</v>
      </c>
      <c r="BH195" s="15">
        <f t="shared" si="235"/>
        <v>0</v>
      </c>
      <c r="BI195" s="127">
        <f t="shared" ca="1" si="236"/>
        <v>3.6568373206354861</v>
      </c>
      <c r="BJ195" s="127">
        <f ca="1">EXP(BI195)</f>
        <v>38.738631055505664</v>
      </c>
      <c r="BL195" s="121">
        <f t="shared" si="237"/>
        <v>44348</v>
      </c>
      <c r="BM195" s="131">
        <v>0</v>
      </c>
      <c r="BN195" s="15">
        <f t="shared" si="238"/>
        <v>0</v>
      </c>
      <c r="BO195" s="98">
        <f t="shared" si="239"/>
        <v>0</v>
      </c>
      <c r="BP195" s="128">
        <f>IF(BO195&gt;0,3,0)</f>
        <v>0</v>
      </c>
      <c r="BQ195" s="128">
        <f t="shared" si="240"/>
        <v>0</v>
      </c>
      <c r="BR195" s="15">
        <f t="shared" si="241"/>
        <v>0</v>
      </c>
      <c r="BS195" s="127">
        <f t="shared" ca="1" si="242"/>
        <v>3.5459584216918016</v>
      </c>
      <c r="BT195" s="127">
        <f ca="1">EXP(BS195)</f>
        <v>34.672900682698888</v>
      </c>
      <c r="BZ195" s="583">
        <f t="shared" si="243"/>
        <v>0</v>
      </c>
      <c r="CA195" s="121">
        <f t="shared" si="244"/>
        <v>44348</v>
      </c>
      <c r="CB195" s="127">
        <f t="shared" si="245"/>
        <v>0</v>
      </c>
      <c r="CC195" s="15">
        <f t="shared" si="246"/>
        <v>0</v>
      </c>
      <c r="CD195" s="98">
        <f t="shared" si="247"/>
        <v>0</v>
      </c>
      <c r="CE195" s="128">
        <f>IF(CD195&gt;0,3,0)</f>
        <v>0</v>
      </c>
      <c r="CF195" s="128">
        <f t="shared" si="248"/>
        <v>0</v>
      </c>
      <c r="CG195" s="15">
        <f t="shared" si="249"/>
        <v>0</v>
      </c>
      <c r="CH195" s="127">
        <f t="shared" ca="1" si="250"/>
        <v>3.6019236849906249</v>
      </c>
      <c r="CI195" s="127">
        <f ca="1">EXP(CH195)</f>
        <v>36.66870567845703</v>
      </c>
    </row>
    <row r="196" spans="24:87" x14ac:dyDescent="0.2">
      <c r="X196" s="121">
        <f t="shared" si="211"/>
        <v>44378</v>
      </c>
      <c r="Y196" s="73">
        <f t="shared" si="212"/>
        <v>40.350388620093234</v>
      </c>
      <c r="Z196" s="15">
        <f t="shared" si="213"/>
        <v>3.6976010258986545</v>
      </c>
      <c r="AA196" s="98">
        <f t="shared" si="214"/>
        <v>1</v>
      </c>
      <c r="AB196" s="128">
        <f>IF(AA196&gt;0,4,0)</f>
        <v>4</v>
      </c>
      <c r="AC196" s="128">
        <f t="shared" si="215"/>
        <v>16</v>
      </c>
      <c r="AD196" s="15">
        <f t="shared" si="216"/>
        <v>14.790404103594618</v>
      </c>
      <c r="AE196" s="127">
        <f t="shared" ca="1" si="217"/>
        <v>3.6983901224695162</v>
      </c>
      <c r="AF196" s="127">
        <f ca="1">EXP(AE196)</f>
        <v>40.382241539248106</v>
      </c>
      <c r="AH196" s="121">
        <f t="shared" si="218"/>
        <v>44378</v>
      </c>
      <c r="AI196" s="73">
        <f t="shared" si="219"/>
        <v>42.898571251676138</v>
      </c>
      <c r="AJ196" s="15">
        <f t="shared" si="220"/>
        <v>3.7588385212226423</v>
      </c>
      <c r="AK196" s="98">
        <f t="shared" si="221"/>
        <v>1</v>
      </c>
      <c r="AL196" s="128">
        <f>IF(AK196&gt;0,4,0)</f>
        <v>4</v>
      </c>
      <c r="AM196" s="128">
        <f t="shared" si="222"/>
        <v>16</v>
      </c>
      <c r="AN196" s="15">
        <f t="shared" si="223"/>
        <v>15.035354084890569</v>
      </c>
      <c r="AO196" s="127">
        <f t="shared" ca="1" si="224"/>
        <v>3.717381908543667</v>
      </c>
      <c r="AP196" s="127">
        <f ca="1">EXP(AO196)</f>
        <v>41.156501448997759</v>
      </c>
      <c r="AR196" s="121">
        <f t="shared" si="225"/>
        <v>44378</v>
      </c>
      <c r="AS196" s="131">
        <v>0</v>
      </c>
      <c r="AT196" s="15">
        <f t="shared" si="226"/>
        <v>0</v>
      </c>
      <c r="AU196" s="98">
        <f t="shared" si="227"/>
        <v>0</v>
      </c>
      <c r="AV196" s="128">
        <f>IF(AU196&gt;0,4,0)</f>
        <v>0</v>
      </c>
      <c r="AW196" s="128">
        <f t="shared" si="228"/>
        <v>0</v>
      </c>
      <c r="AX196" s="15">
        <f t="shared" si="229"/>
        <v>0</v>
      </c>
      <c r="AY196" s="127">
        <f t="shared" ca="1" si="230"/>
        <v>3.5917042425913404</v>
      </c>
      <c r="AZ196" s="127">
        <f ca="1">EXP(AY196)</f>
        <v>36.295880231733982</v>
      </c>
      <c r="BB196" s="121">
        <f t="shared" si="231"/>
        <v>44378</v>
      </c>
      <c r="BC196" s="131">
        <v>0</v>
      </c>
      <c r="BD196" s="15">
        <f t="shared" si="232"/>
        <v>0</v>
      </c>
      <c r="BE196" s="98">
        <f t="shared" si="233"/>
        <v>0</v>
      </c>
      <c r="BF196" s="128">
        <f>IF(BE196&gt;0,4,0)</f>
        <v>0</v>
      </c>
      <c r="BG196" s="128">
        <f t="shared" si="234"/>
        <v>0</v>
      </c>
      <c r="BH196" s="15">
        <f t="shared" si="235"/>
        <v>0</v>
      </c>
      <c r="BI196" s="127">
        <f t="shared" ca="1" si="236"/>
        <v>3.6568373206354861</v>
      </c>
      <c r="BJ196" s="127">
        <f ca="1">EXP(BI196)</f>
        <v>38.738631055505664</v>
      </c>
      <c r="BL196" s="121">
        <f t="shared" si="237"/>
        <v>44378</v>
      </c>
      <c r="BM196" s="131">
        <v>0</v>
      </c>
      <c r="BN196" s="15">
        <f t="shared" si="238"/>
        <v>0</v>
      </c>
      <c r="BO196" s="98">
        <f t="shared" si="239"/>
        <v>0</v>
      </c>
      <c r="BP196" s="128">
        <f>IF(BO196&gt;0,4,0)</f>
        <v>0</v>
      </c>
      <c r="BQ196" s="128">
        <f t="shared" si="240"/>
        <v>0</v>
      </c>
      <c r="BR196" s="15">
        <f t="shared" si="241"/>
        <v>0</v>
      </c>
      <c r="BS196" s="127">
        <f t="shared" ca="1" si="242"/>
        <v>3.5459584216918016</v>
      </c>
      <c r="BT196" s="127">
        <f ca="1">EXP(BS196)</f>
        <v>34.672900682698888</v>
      </c>
      <c r="BZ196" s="583">
        <f t="shared" si="243"/>
        <v>0</v>
      </c>
      <c r="CA196" s="121">
        <f t="shared" si="244"/>
        <v>44378</v>
      </c>
      <c r="CB196" s="127">
        <f t="shared" si="245"/>
        <v>0</v>
      </c>
      <c r="CC196" s="15">
        <f t="shared" si="246"/>
        <v>0</v>
      </c>
      <c r="CD196" s="98">
        <f t="shared" si="247"/>
        <v>0</v>
      </c>
      <c r="CE196" s="128">
        <f>IF(CD196&gt;0,4,0)</f>
        <v>0</v>
      </c>
      <c r="CF196" s="128">
        <f t="shared" si="248"/>
        <v>0</v>
      </c>
      <c r="CG196" s="15">
        <f t="shared" si="249"/>
        <v>0</v>
      </c>
      <c r="CH196" s="127">
        <f t="shared" ca="1" si="250"/>
        <v>3.6019236849906249</v>
      </c>
      <c r="CI196" s="127">
        <f ca="1">EXP(CH196)</f>
        <v>36.66870567845703</v>
      </c>
    </row>
    <row r="197" spans="24:87" x14ac:dyDescent="0.2">
      <c r="X197" s="121">
        <f t="shared" si="211"/>
        <v>44409</v>
      </c>
      <c r="Y197" s="73">
        <f t="shared" si="212"/>
        <v>47.798624963803547</v>
      </c>
      <c r="Z197" s="15">
        <f t="shared" si="213"/>
        <v>3.8669968726360238</v>
      </c>
      <c r="AA197" s="98">
        <f t="shared" si="214"/>
        <v>1</v>
      </c>
      <c r="AB197" s="128">
        <f>IF(AA197&gt;0,5,0)</f>
        <v>5</v>
      </c>
      <c r="AC197" s="128">
        <f t="shared" si="215"/>
        <v>25</v>
      </c>
      <c r="AD197" s="15">
        <f t="shared" si="216"/>
        <v>19.334984363180119</v>
      </c>
      <c r="AE197" s="127">
        <f t="shared" ca="1" si="217"/>
        <v>3.6983901224695162</v>
      </c>
      <c r="AF197" s="127">
        <f t="shared" ref="AF197:AF228" ca="1" si="251">EXP(AE197)</f>
        <v>40.382241539248106</v>
      </c>
      <c r="AH197" s="121">
        <f t="shared" si="218"/>
        <v>44409</v>
      </c>
      <c r="AI197" s="73">
        <f t="shared" si="219"/>
        <v>44.671127653088661</v>
      </c>
      <c r="AJ197" s="15">
        <f t="shared" si="220"/>
        <v>3.7993273791261859</v>
      </c>
      <c r="AK197" s="98">
        <f t="shared" si="221"/>
        <v>1</v>
      </c>
      <c r="AL197" s="128">
        <f>IF(AK197&gt;0,5,0)</f>
        <v>5</v>
      </c>
      <c r="AM197" s="128">
        <f t="shared" si="222"/>
        <v>25</v>
      </c>
      <c r="AN197" s="15">
        <f t="shared" si="223"/>
        <v>18.996636895630928</v>
      </c>
      <c r="AO197" s="127">
        <f t="shared" ca="1" si="224"/>
        <v>3.717381908543667</v>
      </c>
      <c r="AP197" s="127">
        <f t="shared" ref="AP197:AP228" ca="1" si="252">EXP(AO197)</f>
        <v>41.156501448997759</v>
      </c>
      <c r="AR197" s="121">
        <f t="shared" si="225"/>
        <v>44409</v>
      </c>
      <c r="AS197" s="131">
        <v>0</v>
      </c>
      <c r="AT197" s="15">
        <f t="shared" si="226"/>
        <v>0</v>
      </c>
      <c r="AU197" s="98">
        <f t="shared" si="227"/>
        <v>0</v>
      </c>
      <c r="AV197" s="128">
        <f>IF(AU197&gt;0,5,0)</f>
        <v>0</v>
      </c>
      <c r="AW197" s="128">
        <f t="shared" si="228"/>
        <v>0</v>
      </c>
      <c r="AX197" s="15">
        <f t="shared" si="229"/>
        <v>0</v>
      </c>
      <c r="AY197" s="127">
        <f t="shared" ca="1" si="230"/>
        <v>3.5917042425913404</v>
      </c>
      <c r="AZ197" s="127">
        <f t="shared" ref="AZ197:AZ228" ca="1" si="253">EXP(AY197)</f>
        <v>36.295880231733982</v>
      </c>
      <c r="BB197" s="121">
        <f t="shared" si="231"/>
        <v>44409</v>
      </c>
      <c r="BC197" s="131">
        <v>0</v>
      </c>
      <c r="BD197" s="15">
        <f t="shared" si="232"/>
        <v>0</v>
      </c>
      <c r="BE197" s="98">
        <f t="shared" si="233"/>
        <v>0</v>
      </c>
      <c r="BF197" s="128">
        <f>IF(BE197&gt;0,5,0)</f>
        <v>0</v>
      </c>
      <c r="BG197" s="128">
        <f t="shared" si="234"/>
        <v>0</v>
      </c>
      <c r="BH197" s="15">
        <f t="shared" si="235"/>
        <v>0</v>
      </c>
      <c r="BI197" s="127">
        <f t="shared" ca="1" si="236"/>
        <v>3.6568373206354861</v>
      </c>
      <c r="BJ197" s="127">
        <f t="shared" ref="BJ197:BJ228" ca="1" si="254">EXP(BI197)</f>
        <v>38.738631055505664</v>
      </c>
      <c r="BL197" s="121">
        <f t="shared" si="237"/>
        <v>44409</v>
      </c>
      <c r="BM197" s="131">
        <v>0</v>
      </c>
      <c r="BN197" s="15">
        <f t="shared" si="238"/>
        <v>0</v>
      </c>
      <c r="BO197" s="98">
        <f t="shared" si="239"/>
        <v>0</v>
      </c>
      <c r="BP197" s="128">
        <f>IF(BO197&gt;0,5,0)</f>
        <v>0</v>
      </c>
      <c r="BQ197" s="128">
        <f t="shared" si="240"/>
        <v>0</v>
      </c>
      <c r="BR197" s="15">
        <f t="shared" si="241"/>
        <v>0</v>
      </c>
      <c r="BS197" s="127">
        <f t="shared" ca="1" si="242"/>
        <v>3.5459584216918016</v>
      </c>
      <c r="BT197" s="127">
        <f t="shared" ref="BT197:BT228" ca="1" si="255">EXP(BS197)</f>
        <v>34.672900682698888</v>
      </c>
      <c r="BZ197" s="583">
        <f t="shared" si="243"/>
        <v>0</v>
      </c>
      <c r="CA197" s="121">
        <f t="shared" si="244"/>
        <v>44409</v>
      </c>
      <c r="CB197" s="127">
        <f t="shared" si="245"/>
        <v>0</v>
      </c>
      <c r="CC197" s="15">
        <f t="shared" si="246"/>
        <v>0</v>
      </c>
      <c r="CD197" s="98">
        <f t="shared" si="247"/>
        <v>0</v>
      </c>
      <c r="CE197" s="128">
        <f>IF(CD197&gt;0,5,0)</f>
        <v>0</v>
      </c>
      <c r="CF197" s="128">
        <f t="shared" si="248"/>
        <v>0</v>
      </c>
      <c r="CG197" s="15">
        <f t="shared" si="249"/>
        <v>0</v>
      </c>
      <c r="CH197" s="127">
        <f t="shared" ca="1" si="250"/>
        <v>3.6019236849906249</v>
      </c>
      <c r="CI197" s="127">
        <f t="shared" ref="CI197:CI228" ca="1" si="256">EXP(CH197)</f>
        <v>36.66870567845703</v>
      </c>
    </row>
    <row r="198" spans="24:87" x14ac:dyDescent="0.2">
      <c r="X198" s="121">
        <f t="shared" si="211"/>
        <v>44440</v>
      </c>
      <c r="Y198" s="73">
        <f t="shared" si="212"/>
        <v>46.237790728679677</v>
      </c>
      <c r="Z198" s="15">
        <f t="shared" si="213"/>
        <v>3.8337974448636962</v>
      </c>
      <c r="AA198" s="98">
        <f t="shared" si="214"/>
        <v>1</v>
      </c>
      <c r="AB198" s="128">
        <f>IF(AA198&gt;0,6,0)</f>
        <v>6</v>
      </c>
      <c r="AC198" s="128">
        <f t="shared" si="215"/>
        <v>36</v>
      </c>
      <c r="AD198" s="15">
        <f t="shared" si="216"/>
        <v>23.002784669182176</v>
      </c>
      <c r="AE198" s="127">
        <f t="shared" ca="1" si="217"/>
        <v>3.6983901224695162</v>
      </c>
      <c r="AF198" s="127">
        <f t="shared" ca="1" si="251"/>
        <v>40.382241539248106</v>
      </c>
      <c r="AH198" s="121">
        <f t="shared" si="218"/>
        <v>44440</v>
      </c>
      <c r="AI198" s="73">
        <f t="shared" si="219"/>
        <v>46.367390379341394</v>
      </c>
      <c r="AJ198" s="15">
        <f t="shared" si="220"/>
        <v>3.8365964186083779</v>
      </c>
      <c r="AK198" s="98">
        <f t="shared" si="221"/>
        <v>1</v>
      </c>
      <c r="AL198" s="128">
        <f>IF(AK198&gt;0,6,0)</f>
        <v>6</v>
      </c>
      <c r="AM198" s="128">
        <f t="shared" si="222"/>
        <v>36</v>
      </c>
      <c r="AN198" s="15">
        <f t="shared" si="223"/>
        <v>23.019578511650266</v>
      </c>
      <c r="AO198" s="127">
        <f t="shared" ca="1" si="224"/>
        <v>3.717381908543667</v>
      </c>
      <c r="AP198" s="127">
        <f t="shared" ca="1" si="252"/>
        <v>41.156501448997759</v>
      </c>
      <c r="AR198" s="121">
        <f t="shared" si="225"/>
        <v>44440</v>
      </c>
      <c r="AS198" s="131">
        <v>0</v>
      </c>
      <c r="AT198" s="15">
        <f t="shared" si="226"/>
        <v>0</v>
      </c>
      <c r="AU198" s="98">
        <f t="shared" si="227"/>
        <v>0</v>
      </c>
      <c r="AV198" s="128">
        <f>IF(AU198&gt;0,6,0)</f>
        <v>0</v>
      </c>
      <c r="AW198" s="128">
        <f t="shared" si="228"/>
        <v>0</v>
      </c>
      <c r="AX198" s="15">
        <f t="shared" si="229"/>
        <v>0</v>
      </c>
      <c r="AY198" s="127">
        <f t="shared" ca="1" si="230"/>
        <v>3.5917042425913404</v>
      </c>
      <c r="AZ198" s="127">
        <f t="shared" ca="1" si="253"/>
        <v>36.295880231733982</v>
      </c>
      <c r="BB198" s="121">
        <f t="shared" si="231"/>
        <v>44440</v>
      </c>
      <c r="BC198" s="131">
        <v>0</v>
      </c>
      <c r="BD198" s="15">
        <f t="shared" si="232"/>
        <v>0</v>
      </c>
      <c r="BE198" s="98">
        <f t="shared" si="233"/>
        <v>0</v>
      </c>
      <c r="BF198" s="128">
        <f>IF(BE198&gt;0,6,0)</f>
        <v>0</v>
      </c>
      <c r="BG198" s="128">
        <f t="shared" si="234"/>
        <v>0</v>
      </c>
      <c r="BH198" s="15">
        <f t="shared" si="235"/>
        <v>0</v>
      </c>
      <c r="BI198" s="127">
        <f t="shared" ca="1" si="236"/>
        <v>3.6568373206354861</v>
      </c>
      <c r="BJ198" s="127">
        <f t="shared" ca="1" si="254"/>
        <v>38.738631055505664</v>
      </c>
      <c r="BL198" s="121">
        <f t="shared" si="237"/>
        <v>44440</v>
      </c>
      <c r="BM198" s="131">
        <v>0</v>
      </c>
      <c r="BN198" s="15">
        <f t="shared" si="238"/>
        <v>0</v>
      </c>
      <c r="BO198" s="98">
        <f t="shared" si="239"/>
        <v>0</v>
      </c>
      <c r="BP198" s="128">
        <f>IF(BO198&gt;0,6,0)</f>
        <v>0</v>
      </c>
      <c r="BQ198" s="128">
        <f t="shared" si="240"/>
        <v>0</v>
      </c>
      <c r="BR198" s="15">
        <f t="shared" si="241"/>
        <v>0</v>
      </c>
      <c r="BS198" s="127">
        <f t="shared" ca="1" si="242"/>
        <v>3.5459584216918016</v>
      </c>
      <c r="BT198" s="127">
        <f t="shared" ca="1" si="255"/>
        <v>34.672900682698888</v>
      </c>
      <c r="BZ198" s="583">
        <f t="shared" si="243"/>
        <v>0</v>
      </c>
      <c r="CA198" s="121">
        <f t="shared" si="244"/>
        <v>44440</v>
      </c>
      <c r="CB198" s="127">
        <f t="shared" si="245"/>
        <v>0</v>
      </c>
      <c r="CC198" s="15">
        <f t="shared" si="246"/>
        <v>0</v>
      </c>
      <c r="CD198" s="98">
        <f t="shared" si="247"/>
        <v>0</v>
      </c>
      <c r="CE198" s="128">
        <f>IF(CD198&gt;0,6,0)</f>
        <v>0</v>
      </c>
      <c r="CF198" s="128">
        <f t="shared" si="248"/>
        <v>0</v>
      </c>
      <c r="CG198" s="15">
        <f t="shared" si="249"/>
        <v>0</v>
      </c>
      <c r="CH198" s="127">
        <f t="shared" ca="1" si="250"/>
        <v>3.6019236849906249</v>
      </c>
      <c r="CI198" s="127">
        <f t="shared" ca="1" si="256"/>
        <v>36.66870567845703</v>
      </c>
    </row>
    <row r="199" spans="24:87" x14ac:dyDescent="0.2">
      <c r="X199" s="121">
        <f t="shared" si="211"/>
        <v>44470</v>
      </c>
      <c r="Y199" s="73">
        <f t="shared" si="212"/>
        <v>47.622125569631088</v>
      </c>
      <c r="Z199" s="15">
        <f t="shared" si="213"/>
        <v>3.8632974761320886</v>
      </c>
      <c r="AA199" s="98">
        <f t="shared" si="214"/>
        <v>1</v>
      </c>
      <c r="AB199" s="128">
        <f>IF(AA199&gt;0,7,0)</f>
        <v>7</v>
      </c>
      <c r="AC199" s="128">
        <f t="shared" si="215"/>
        <v>49</v>
      </c>
      <c r="AD199" s="15">
        <f t="shared" si="216"/>
        <v>27.043082332924619</v>
      </c>
      <c r="AE199" s="127">
        <f t="shared" ca="1" si="217"/>
        <v>3.6983901224695162</v>
      </c>
      <c r="AF199" s="127">
        <f t="shared" ca="1" si="251"/>
        <v>40.382241539248106</v>
      </c>
      <c r="AH199" s="121">
        <f t="shared" si="218"/>
        <v>44470</v>
      </c>
      <c r="AI199" s="73">
        <f t="shared" si="219"/>
        <v>45.107662972008903</v>
      </c>
      <c r="AJ199" s="15">
        <f t="shared" si="220"/>
        <v>3.8090521427630053</v>
      </c>
      <c r="AK199" s="98">
        <f t="shared" si="221"/>
        <v>1</v>
      </c>
      <c r="AL199" s="128">
        <f>IF(AK199&gt;0,7,0)</f>
        <v>7</v>
      </c>
      <c r="AM199" s="128">
        <f t="shared" si="222"/>
        <v>49</v>
      </c>
      <c r="AN199" s="15">
        <f t="shared" si="223"/>
        <v>26.663364999341038</v>
      </c>
      <c r="AO199" s="127">
        <f t="shared" ca="1" si="224"/>
        <v>3.717381908543667</v>
      </c>
      <c r="AP199" s="127">
        <f t="shared" ca="1" si="252"/>
        <v>41.156501448997759</v>
      </c>
      <c r="AR199" s="121">
        <f t="shared" si="225"/>
        <v>44470</v>
      </c>
      <c r="AS199" s="131">
        <v>0</v>
      </c>
      <c r="AT199" s="15">
        <f t="shared" si="226"/>
        <v>0</v>
      </c>
      <c r="AU199" s="98">
        <f t="shared" si="227"/>
        <v>0</v>
      </c>
      <c r="AV199" s="128">
        <f>IF(AU199&gt;0,7,0)</f>
        <v>0</v>
      </c>
      <c r="AW199" s="128">
        <f t="shared" si="228"/>
        <v>0</v>
      </c>
      <c r="AX199" s="15">
        <f t="shared" si="229"/>
        <v>0</v>
      </c>
      <c r="AY199" s="127">
        <f t="shared" ca="1" si="230"/>
        <v>3.5917042425913404</v>
      </c>
      <c r="AZ199" s="127">
        <f t="shared" ca="1" si="253"/>
        <v>36.295880231733982</v>
      </c>
      <c r="BB199" s="121">
        <f t="shared" si="231"/>
        <v>44470</v>
      </c>
      <c r="BC199" s="131">
        <v>0</v>
      </c>
      <c r="BD199" s="15">
        <f t="shared" si="232"/>
        <v>0</v>
      </c>
      <c r="BE199" s="98">
        <f t="shared" si="233"/>
        <v>0</v>
      </c>
      <c r="BF199" s="128">
        <f>IF(BE199&gt;0,7,0)</f>
        <v>0</v>
      </c>
      <c r="BG199" s="128">
        <f t="shared" si="234"/>
        <v>0</v>
      </c>
      <c r="BH199" s="15">
        <f t="shared" si="235"/>
        <v>0</v>
      </c>
      <c r="BI199" s="127">
        <f t="shared" ca="1" si="236"/>
        <v>3.6568373206354861</v>
      </c>
      <c r="BJ199" s="127">
        <f t="shared" ca="1" si="254"/>
        <v>38.738631055505664</v>
      </c>
      <c r="BL199" s="121">
        <f t="shared" si="237"/>
        <v>44470</v>
      </c>
      <c r="BM199" s="131">
        <v>0</v>
      </c>
      <c r="BN199" s="15">
        <f t="shared" si="238"/>
        <v>0</v>
      </c>
      <c r="BO199" s="98">
        <f t="shared" si="239"/>
        <v>0</v>
      </c>
      <c r="BP199" s="128">
        <f>IF(BO199&gt;0,7,0)</f>
        <v>0</v>
      </c>
      <c r="BQ199" s="128">
        <f t="shared" si="240"/>
        <v>0</v>
      </c>
      <c r="BR199" s="15">
        <f t="shared" si="241"/>
        <v>0</v>
      </c>
      <c r="BS199" s="127">
        <f t="shared" ca="1" si="242"/>
        <v>3.5459584216918016</v>
      </c>
      <c r="BT199" s="127">
        <f t="shared" ca="1" si="255"/>
        <v>34.672900682698888</v>
      </c>
      <c r="BZ199" s="583">
        <f t="shared" si="243"/>
        <v>0</v>
      </c>
      <c r="CA199" s="121">
        <f t="shared" si="244"/>
        <v>44470</v>
      </c>
      <c r="CB199" s="127">
        <f t="shared" si="245"/>
        <v>0</v>
      </c>
      <c r="CC199" s="15">
        <f t="shared" si="246"/>
        <v>0</v>
      </c>
      <c r="CD199" s="98">
        <f t="shared" si="247"/>
        <v>0</v>
      </c>
      <c r="CE199" s="128">
        <f>IF(CD199&gt;0,7,0)</f>
        <v>0</v>
      </c>
      <c r="CF199" s="128">
        <f t="shared" si="248"/>
        <v>0</v>
      </c>
      <c r="CG199" s="15">
        <f t="shared" si="249"/>
        <v>0</v>
      </c>
      <c r="CH199" s="127">
        <f t="shared" ca="1" si="250"/>
        <v>3.6019236849906249</v>
      </c>
      <c r="CI199" s="127">
        <f t="shared" ca="1" si="256"/>
        <v>36.66870567845703</v>
      </c>
    </row>
    <row r="200" spans="24:87" x14ac:dyDescent="0.2">
      <c r="X200" s="121">
        <f t="shared" si="211"/>
        <v>44501</v>
      </c>
      <c r="Y200" s="73">
        <f t="shared" si="212"/>
        <v>47.227304643709218</v>
      </c>
      <c r="Z200" s="15">
        <f t="shared" si="213"/>
        <v>3.8549722135458833</v>
      </c>
      <c r="AA200" s="98">
        <f t="shared" si="214"/>
        <v>1</v>
      </c>
      <c r="AB200" s="128">
        <f>IF(AA200&gt;0,8,0)</f>
        <v>8</v>
      </c>
      <c r="AC200" s="128">
        <f t="shared" si="215"/>
        <v>64</v>
      </c>
      <c r="AD200" s="15">
        <f t="shared" si="216"/>
        <v>30.839777708367066</v>
      </c>
      <c r="AE200" s="127">
        <f t="shared" ca="1" si="217"/>
        <v>3.6983901224695162</v>
      </c>
      <c r="AF200" s="127">
        <f t="shared" ca="1" si="251"/>
        <v>40.382241539248106</v>
      </c>
      <c r="AH200" s="121">
        <f t="shared" si="218"/>
        <v>44501</v>
      </c>
      <c r="AI200" s="73">
        <f t="shared" si="219"/>
        <v>42.336241369951502</v>
      </c>
      <c r="AJ200" s="15">
        <f t="shared" si="220"/>
        <v>3.745643489209554</v>
      </c>
      <c r="AK200" s="98">
        <f t="shared" si="221"/>
        <v>1</v>
      </c>
      <c r="AL200" s="128">
        <f>IF(AK200&gt;0,8,0)</f>
        <v>8</v>
      </c>
      <c r="AM200" s="128">
        <f t="shared" si="222"/>
        <v>64</v>
      </c>
      <c r="AN200" s="15">
        <f t="shared" si="223"/>
        <v>29.965147913676432</v>
      </c>
      <c r="AO200" s="127">
        <f t="shared" ca="1" si="224"/>
        <v>3.717381908543667</v>
      </c>
      <c r="AP200" s="127">
        <f t="shared" ca="1" si="252"/>
        <v>41.156501448997759</v>
      </c>
      <c r="AR200" s="121">
        <f t="shared" si="225"/>
        <v>44501</v>
      </c>
      <c r="AS200" s="131">
        <v>0</v>
      </c>
      <c r="AT200" s="15">
        <f t="shared" si="226"/>
        <v>0</v>
      </c>
      <c r="AU200" s="98">
        <f t="shared" si="227"/>
        <v>0</v>
      </c>
      <c r="AV200" s="128">
        <f>IF(AU200&gt;0,8,0)</f>
        <v>0</v>
      </c>
      <c r="AW200" s="128">
        <f t="shared" si="228"/>
        <v>0</v>
      </c>
      <c r="AX200" s="15">
        <f t="shared" si="229"/>
        <v>0</v>
      </c>
      <c r="AY200" s="127">
        <f t="shared" ca="1" si="230"/>
        <v>3.5917042425913404</v>
      </c>
      <c r="AZ200" s="127">
        <f t="shared" ca="1" si="253"/>
        <v>36.295880231733982</v>
      </c>
      <c r="BB200" s="121">
        <f t="shared" si="231"/>
        <v>44501</v>
      </c>
      <c r="BC200" s="131">
        <v>0</v>
      </c>
      <c r="BD200" s="15">
        <f t="shared" si="232"/>
        <v>0</v>
      </c>
      <c r="BE200" s="98">
        <f t="shared" si="233"/>
        <v>0</v>
      </c>
      <c r="BF200" s="128">
        <f>IF(BE200&gt;0,8,0)</f>
        <v>0</v>
      </c>
      <c r="BG200" s="128">
        <f t="shared" si="234"/>
        <v>0</v>
      </c>
      <c r="BH200" s="15">
        <f t="shared" si="235"/>
        <v>0</v>
      </c>
      <c r="BI200" s="127">
        <f t="shared" ca="1" si="236"/>
        <v>3.6568373206354861</v>
      </c>
      <c r="BJ200" s="127">
        <f t="shared" ca="1" si="254"/>
        <v>38.738631055505664</v>
      </c>
      <c r="BL200" s="121">
        <f t="shared" si="237"/>
        <v>44501</v>
      </c>
      <c r="BM200" s="131">
        <v>0</v>
      </c>
      <c r="BN200" s="15">
        <f t="shared" si="238"/>
        <v>0</v>
      </c>
      <c r="BO200" s="98">
        <f t="shared" si="239"/>
        <v>0</v>
      </c>
      <c r="BP200" s="128">
        <f>IF(BO200&gt;0,8,0)</f>
        <v>0</v>
      </c>
      <c r="BQ200" s="128">
        <f t="shared" si="240"/>
        <v>0</v>
      </c>
      <c r="BR200" s="15">
        <f t="shared" si="241"/>
        <v>0</v>
      </c>
      <c r="BS200" s="127">
        <f t="shared" ca="1" si="242"/>
        <v>3.5459584216918016</v>
      </c>
      <c r="BT200" s="127">
        <f t="shared" ca="1" si="255"/>
        <v>34.672900682698888</v>
      </c>
      <c r="BZ200" s="583">
        <f t="shared" si="243"/>
        <v>0</v>
      </c>
      <c r="CA200" s="121">
        <f t="shared" si="244"/>
        <v>44501</v>
      </c>
      <c r="CB200" s="127">
        <f t="shared" si="245"/>
        <v>0</v>
      </c>
      <c r="CC200" s="15">
        <f t="shared" si="246"/>
        <v>0</v>
      </c>
      <c r="CD200" s="98">
        <f t="shared" si="247"/>
        <v>0</v>
      </c>
      <c r="CE200" s="128">
        <f>IF(CD200&gt;0,8,0)</f>
        <v>0</v>
      </c>
      <c r="CF200" s="128">
        <f t="shared" si="248"/>
        <v>0</v>
      </c>
      <c r="CG200" s="15">
        <f t="shared" si="249"/>
        <v>0</v>
      </c>
      <c r="CH200" s="127">
        <f t="shared" ca="1" si="250"/>
        <v>3.6019236849906249</v>
      </c>
      <c r="CI200" s="127">
        <f t="shared" ca="1" si="256"/>
        <v>36.66870567845703</v>
      </c>
    </row>
    <row r="201" spans="24:87" x14ac:dyDescent="0.2">
      <c r="X201" s="121">
        <f t="shared" si="211"/>
        <v>44531</v>
      </c>
      <c r="Y201" s="73">
        <f t="shared" si="212"/>
        <v>48.96810775013158</v>
      </c>
      <c r="Z201" s="15">
        <f t="shared" si="213"/>
        <v>3.8911692239656333</v>
      </c>
      <c r="AA201" s="98">
        <f t="shared" si="214"/>
        <v>1</v>
      </c>
      <c r="AB201" s="128">
        <f>IF(AA201&gt;0,9,0)</f>
        <v>9</v>
      </c>
      <c r="AC201" s="128">
        <f t="shared" si="215"/>
        <v>81</v>
      </c>
      <c r="AD201" s="15">
        <f t="shared" si="216"/>
        <v>35.020523015690699</v>
      </c>
      <c r="AE201" s="127">
        <f t="shared" ca="1" si="217"/>
        <v>3.6983901224695162</v>
      </c>
      <c r="AF201" s="127">
        <f t="shared" ca="1" si="251"/>
        <v>40.382241539248106</v>
      </c>
      <c r="AH201" s="121">
        <f t="shared" si="218"/>
        <v>44531</v>
      </c>
      <c r="AI201" s="73">
        <f t="shared" si="219"/>
        <v>41.137631121262963</v>
      </c>
      <c r="AJ201" s="15">
        <f t="shared" si="220"/>
        <v>3.7169233016545449</v>
      </c>
      <c r="AK201" s="98">
        <f t="shared" si="221"/>
        <v>1</v>
      </c>
      <c r="AL201" s="128">
        <f>IF(AK201&gt;0,9,0)</f>
        <v>9</v>
      </c>
      <c r="AM201" s="128">
        <f t="shared" si="222"/>
        <v>81</v>
      </c>
      <c r="AN201" s="15">
        <f t="shared" si="223"/>
        <v>33.452309714890902</v>
      </c>
      <c r="AO201" s="127">
        <f t="shared" ca="1" si="224"/>
        <v>3.717381908543667</v>
      </c>
      <c r="AP201" s="127">
        <f t="shared" ca="1" si="252"/>
        <v>41.156501448997759</v>
      </c>
      <c r="AR201" s="121">
        <f t="shared" si="225"/>
        <v>44531</v>
      </c>
      <c r="AS201" s="131">
        <v>0</v>
      </c>
      <c r="AT201" s="15">
        <f t="shared" si="226"/>
        <v>0</v>
      </c>
      <c r="AU201" s="98">
        <f t="shared" si="227"/>
        <v>0</v>
      </c>
      <c r="AV201" s="128">
        <f>IF(AU201&gt;0,9,0)</f>
        <v>0</v>
      </c>
      <c r="AW201" s="128">
        <f t="shared" si="228"/>
        <v>0</v>
      </c>
      <c r="AX201" s="15">
        <f t="shared" si="229"/>
        <v>0</v>
      </c>
      <c r="AY201" s="127">
        <f t="shared" ca="1" si="230"/>
        <v>3.5917042425913404</v>
      </c>
      <c r="AZ201" s="127">
        <f t="shared" ca="1" si="253"/>
        <v>36.295880231733982</v>
      </c>
      <c r="BB201" s="121">
        <f t="shared" si="231"/>
        <v>44531</v>
      </c>
      <c r="BC201" s="131">
        <v>0</v>
      </c>
      <c r="BD201" s="15">
        <f t="shared" si="232"/>
        <v>0</v>
      </c>
      <c r="BE201" s="98">
        <f t="shared" si="233"/>
        <v>0</v>
      </c>
      <c r="BF201" s="128">
        <f>IF(BE201&gt;0,9,0)</f>
        <v>0</v>
      </c>
      <c r="BG201" s="128">
        <f t="shared" si="234"/>
        <v>0</v>
      </c>
      <c r="BH201" s="15">
        <f t="shared" si="235"/>
        <v>0</v>
      </c>
      <c r="BI201" s="127">
        <f t="shared" ca="1" si="236"/>
        <v>3.6568373206354861</v>
      </c>
      <c r="BJ201" s="127">
        <f t="shared" ca="1" si="254"/>
        <v>38.738631055505664</v>
      </c>
      <c r="BL201" s="121">
        <f t="shared" si="237"/>
        <v>44531</v>
      </c>
      <c r="BM201" s="131">
        <v>0</v>
      </c>
      <c r="BN201" s="15">
        <f t="shared" si="238"/>
        <v>0</v>
      </c>
      <c r="BO201" s="98">
        <f t="shared" si="239"/>
        <v>0</v>
      </c>
      <c r="BP201" s="128">
        <f>IF(BO201&gt;0,9,0)</f>
        <v>0</v>
      </c>
      <c r="BQ201" s="128">
        <f t="shared" si="240"/>
        <v>0</v>
      </c>
      <c r="BR201" s="15">
        <f t="shared" si="241"/>
        <v>0</v>
      </c>
      <c r="BS201" s="127">
        <f t="shared" ca="1" si="242"/>
        <v>3.5459584216918016</v>
      </c>
      <c r="BT201" s="127">
        <f t="shared" ca="1" si="255"/>
        <v>34.672900682698888</v>
      </c>
      <c r="BZ201" s="583">
        <f t="shared" si="243"/>
        <v>0</v>
      </c>
      <c r="CA201" s="121">
        <f t="shared" si="244"/>
        <v>44531</v>
      </c>
      <c r="CB201" s="127">
        <f t="shared" si="245"/>
        <v>0</v>
      </c>
      <c r="CC201" s="15">
        <f t="shared" si="246"/>
        <v>0</v>
      </c>
      <c r="CD201" s="98">
        <f t="shared" si="247"/>
        <v>0</v>
      </c>
      <c r="CE201" s="128">
        <f>IF(CD201&gt;0,9,0)</f>
        <v>0</v>
      </c>
      <c r="CF201" s="128">
        <f t="shared" si="248"/>
        <v>0</v>
      </c>
      <c r="CG201" s="15">
        <f t="shared" si="249"/>
        <v>0</v>
      </c>
      <c r="CH201" s="127">
        <f t="shared" ca="1" si="250"/>
        <v>3.6019236849906249</v>
      </c>
      <c r="CI201" s="127">
        <f t="shared" ca="1" si="256"/>
        <v>36.66870567845703</v>
      </c>
    </row>
    <row r="202" spans="24:87" x14ac:dyDescent="0.2">
      <c r="X202" s="121">
        <f t="shared" si="211"/>
        <v>44562</v>
      </c>
      <c r="Y202" s="73">
        <f t="shared" si="212"/>
        <v>32.792024176098245</v>
      </c>
      <c r="Z202" s="15">
        <f t="shared" si="213"/>
        <v>3.4901853204577491</v>
      </c>
      <c r="AA202" s="98">
        <f t="shared" si="214"/>
        <v>1</v>
      </c>
      <c r="AB202" s="128">
        <f>IF(AA202&gt;0,10,0)</f>
        <v>10</v>
      </c>
      <c r="AC202" s="128">
        <f t="shared" si="215"/>
        <v>100</v>
      </c>
      <c r="AD202" s="15">
        <f t="shared" si="216"/>
        <v>34.901853204577492</v>
      </c>
      <c r="AE202" s="127">
        <f t="shared" ca="1" si="217"/>
        <v>3.6983901224695162</v>
      </c>
      <c r="AF202" s="127">
        <f t="shared" ca="1" si="251"/>
        <v>40.382241539248106</v>
      </c>
      <c r="AH202" s="121">
        <f t="shared" si="218"/>
        <v>44562</v>
      </c>
      <c r="AI202" s="73">
        <f t="shared" si="219"/>
        <v>39.443743177339329</v>
      </c>
      <c r="AJ202" s="15">
        <f t="shared" si="220"/>
        <v>3.6748754333784901</v>
      </c>
      <c r="AK202" s="98">
        <f t="shared" si="221"/>
        <v>1</v>
      </c>
      <c r="AL202" s="128">
        <f>IF(AK202&gt;0,10,0)</f>
        <v>10</v>
      </c>
      <c r="AM202" s="128">
        <f t="shared" si="222"/>
        <v>100</v>
      </c>
      <c r="AN202" s="15">
        <f t="shared" si="223"/>
        <v>36.748754333784902</v>
      </c>
      <c r="AO202" s="127">
        <f t="shared" ca="1" si="224"/>
        <v>3.717381908543667</v>
      </c>
      <c r="AP202" s="127">
        <f t="shared" ca="1" si="252"/>
        <v>41.156501448997759</v>
      </c>
      <c r="AR202" s="121">
        <f t="shared" si="225"/>
        <v>44562</v>
      </c>
      <c r="AS202" s="131">
        <v>0</v>
      </c>
      <c r="AT202" s="15">
        <f t="shared" si="226"/>
        <v>0</v>
      </c>
      <c r="AU202" s="98">
        <f t="shared" si="227"/>
        <v>0</v>
      </c>
      <c r="AV202" s="128">
        <f>IF(AU202&gt;0,10,0)</f>
        <v>0</v>
      </c>
      <c r="AW202" s="128">
        <f t="shared" si="228"/>
        <v>0</v>
      </c>
      <c r="AX202" s="15">
        <f t="shared" si="229"/>
        <v>0</v>
      </c>
      <c r="AY202" s="127">
        <f t="shared" ca="1" si="230"/>
        <v>3.5917042425913404</v>
      </c>
      <c r="AZ202" s="127">
        <f t="shared" ca="1" si="253"/>
        <v>36.295880231733982</v>
      </c>
      <c r="BB202" s="121">
        <f t="shared" si="231"/>
        <v>44562</v>
      </c>
      <c r="BC202" s="131">
        <v>0</v>
      </c>
      <c r="BD202" s="15">
        <f t="shared" si="232"/>
        <v>0</v>
      </c>
      <c r="BE202" s="98">
        <f t="shared" si="233"/>
        <v>0</v>
      </c>
      <c r="BF202" s="128">
        <f>IF(BE202&gt;0,10,0)</f>
        <v>0</v>
      </c>
      <c r="BG202" s="128">
        <f t="shared" si="234"/>
        <v>0</v>
      </c>
      <c r="BH202" s="15">
        <f t="shared" si="235"/>
        <v>0</v>
      </c>
      <c r="BI202" s="127">
        <f t="shared" ca="1" si="236"/>
        <v>3.6568373206354861</v>
      </c>
      <c r="BJ202" s="127">
        <f t="shared" ca="1" si="254"/>
        <v>38.738631055505664</v>
      </c>
      <c r="BL202" s="121">
        <f t="shared" si="237"/>
        <v>44562</v>
      </c>
      <c r="BM202" s="131">
        <v>0</v>
      </c>
      <c r="BN202" s="15">
        <f t="shared" si="238"/>
        <v>0</v>
      </c>
      <c r="BO202" s="98">
        <f t="shared" si="239"/>
        <v>0</v>
      </c>
      <c r="BP202" s="128">
        <f>IF(BO202&gt;0,10,0)</f>
        <v>0</v>
      </c>
      <c r="BQ202" s="128">
        <f t="shared" si="240"/>
        <v>0</v>
      </c>
      <c r="BR202" s="15">
        <f t="shared" si="241"/>
        <v>0</v>
      </c>
      <c r="BS202" s="127">
        <f t="shared" ca="1" si="242"/>
        <v>3.5459584216918016</v>
      </c>
      <c r="BT202" s="127">
        <f t="shared" ca="1" si="255"/>
        <v>34.672900682698888</v>
      </c>
      <c r="BZ202" s="583">
        <f t="shared" si="243"/>
        <v>0</v>
      </c>
      <c r="CA202" s="121">
        <f t="shared" si="244"/>
        <v>44562</v>
      </c>
      <c r="CB202" s="127">
        <f t="shared" si="245"/>
        <v>0</v>
      </c>
      <c r="CC202" s="15">
        <f t="shared" si="246"/>
        <v>0</v>
      </c>
      <c r="CD202" s="98">
        <f t="shared" si="247"/>
        <v>0</v>
      </c>
      <c r="CE202" s="128">
        <f>IF(CD202&gt;0,10,0)</f>
        <v>0</v>
      </c>
      <c r="CF202" s="128">
        <f t="shared" si="248"/>
        <v>0</v>
      </c>
      <c r="CG202" s="15">
        <f t="shared" si="249"/>
        <v>0</v>
      </c>
      <c r="CH202" s="127">
        <f t="shared" ca="1" si="250"/>
        <v>3.6019236849906249</v>
      </c>
      <c r="CI202" s="127">
        <f t="shared" ca="1" si="256"/>
        <v>36.66870567845703</v>
      </c>
    </row>
    <row r="203" spans="24:87" x14ac:dyDescent="0.2">
      <c r="X203" s="121">
        <f t="shared" si="211"/>
        <v>44593</v>
      </c>
      <c r="Y203" s="73">
        <f t="shared" si="212"/>
        <v>31.17009535145916</v>
      </c>
      <c r="Z203" s="15">
        <f t="shared" si="213"/>
        <v>3.4394591528524994</v>
      </c>
      <c r="AA203" s="98">
        <f t="shared" si="214"/>
        <v>1</v>
      </c>
      <c r="AB203" s="128">
        <f>IF(AA203&gt;0,11,0)</f>
        <v>11</v>
      </c>
      <c r="AC203" s="128">
        <f t="shared" si="215"/>
        <v>121</v>
      </c>
      <c r="AD203" s="15">
        <f t="shared" si="216"/>
        <v>37.834050681377491</v>
      </c>
      <c r="AE203" s="127">
        <f t="shared" ca="1" si="217"/>
        <v>3.6983901224695162</v>
      </c>
      <c r="AF203" s="127">
        <f t="shared" ca="1" si="251"/>
        <v>40.382241539248106</v>
      </c>
      <c r="AH203" s="121">
        <f t="shared" si="218"/>
        <v>44593</v>
      </c>
      <c r="AI203" s="73">
        <f t="shared" si="219"/>
        <v>38.10935860967416</v>
      </c>
      <c r="AJ203" s="15">
        <f t="shared" si="220"/>
        <v>3.6404598847697049</v>
      </c>
      <c r="AK203" s="98">
        <f t="shared" si="221"/>
        <v>1</v>
      </c>
      <c r="AL203" s="128">
        <f>IF(AK203&gt;0,11,0)</f>
        <v>11</v>
      </c>
      <c r="AM203" s="128">
        <f t="shared" si="222"/>
        <v>121</v>
      </c>
      <c r="AN203" s="15">
        <f t="shared" si="223"/>
        <v>40.045058732466757</v>
      </c>
      <c r="AO203" s="127">
        <f t="shared" ca="1" si="224"/>
        <v>3.717381908543667</v>
      </c>
      <c r="AP203" s="127">
        <f t="shared" ca="1" si="252"/>
        <v>41.156501448997759</v>
      </c>
      <c r="AR203" s="121">
        <f t="shared" si="225"/>
        <v>44593</v>
      </c>
      <c r="AS203" s="73">
        <f>+$AI203</f>
        <v>38.10935860967416</v>
      </c>
      <c r="AT203" s="15">
        <f t="shared" si="226"/>
        <v>3.6404598847697049</v>
      </c>
      <c r="AU203" s="98">
        <f t="shared" si="227"/>
        <v>1</v>
      </c>
      <c r="AV203" s="128">
        <f>IF(AU203&gt;0,11,0)</f>
        <v>11</v>
      </c>
      <c r="AW203" s="128">
        <f t="shared" si="228"/>
        <v>121</v>
      </c>
      <c r="AX203" s="15">
        <f t="shared" si="229"/>
        <v>40.045058732466757</v>
      </c>
      <c r="AY203" s="127">
        <f t="shared" ca="1" si="230"/>
        <v>3.5917042425913404</v>
      </c>
      <c r="AZ203" s="127">
        <f t="shared" ca="1" si="253"/>
        <v>36.295880231733982</v>
      </c>
      <c r="BB203" s="121">
        <f t="shared" si="231"/>
        <v>44593</v>
      </c>
      <c r="BC203" s="131">
        <v>0</v>
      </c>
      <c r="BD203" s="15">
        <f t="shared" si="232"/>
        <v>0</v>
      </c>
      <c r="BE203" s="98">
        <f t="shared" si="233"/>
        <v>0</v>
      </c>
      <c r="BF203" s="128">
        <f>IF(BE203&gt;0,11,0)</f>
        <v>0</v>
      </c>
      <c r="BG203" s="128">
        <f t="shared" si="234"/>
        <v>0</v>
      </c>
      <c r="BH203" s="15">
        <f t="shared" si="235"/>
        <v>0</v>
      </c>
      <c r="BI203" s="127">
        <f t="shared" ca="1" si="236"/>
        <v>3.6568373206354861</v>
      </c>
      <c r="BJ203" s="127">
        <f t="shared" ca="1" si="254"/>
        <v>38.738631055505664</v>
      </c>
      <c r="BL203" s="121">
        <f t="shared" si="237"/>
        <v>44593</v>
      </c>
      <c r="BM203" s="131">
        <v>0</v>
      </c>
      <c r="BN203" s="15">
        <f t="shared" si="238"/>
        <v>0</v>
      </c>
      <c r="BO203" s="98">
        <f t="shared" si="239"/>
        <v>0</v>
      </c>
      <c r="BP203" s="128">
        <f>IF(BO203&gt;0,11,0)</f>
        <v>0</v>
      </c>
      <c r="BQ203" s="128">
        <f t="shared" si="240"/>
        <v>0</v>
      </c>
      <c r="BR203" s="15">
        <f t="shared" si="241"/>
        <v>0</v>
      </c>
      <c r="BS203" s="127">
        <f t="shared" ca="1" si="242"/>
        <v>3.5459584216918016</v>
      </c>
      <c r="BT203" s="127">
        <f t="shared" ca="1" si="255"/>
        <v>34.672900682698888</v>
      </c>
      <c r="BZ203" s="583">
        <f t="shared" si="243"/>
        <v>0</v>
      </c>
      <c r="CA203" s="121">
        <f t="shared" si="244"/>
        <v>44593</v>
      </c>
      <c r="CB203" s="127">
        <f t="shared" si="245"/>
        <v>0</v>
      </c>
      <c r="CC203" s="15">
        <f t="shared" si="246"/>
        <v>0</v>
      </c>
      <c r="CD203" s="98">
        <f t="shared" si="247"/>
        <v>0</v>
      </c>
      <c r="CE203" s="128">
        <f>IF(CD203&gt;0,11,0)</f>
        <v>0</v>
      </c>
      <c r="CF203" s="128">
        <f t="shared" si="248"/>
        <v>0</v>
      </c>
      <c r="CG203" s="15">
        <f t="shared" si="249"/>
        <v>0</v>
      </c>
      <c r="CH203" s="127">
        <f t="shared" ca="1" si="250"/>
        <v>3.6019236849906249</v>
      </c>
      <c r="CI203" s="127">
        <f t="shared" ca="1" si="256"/>
        <v>36.66870567845703</v>
      </c>
    </row>
    <row r="204" spans="24:87" x14ac:dyDescent="0.2">
      <c r="X204" s="121">
        <f t="shared" si="211"/>
        <v>44621</v>
      </c>
      <c r="Y204" s="73">
        <f t="shared" si="212"/>
        <v>39.046129236548509</v>
      </c>
      <c r="Z204" s="15">
        <f t="shared" si="213"/>
        <v>3.6647437481088572</v>
      </c>
      <c r="AA204" s="98">
        <f t="shared" si="214"/>
        <v>1</v>
      </c>
      <c r="AB204" s="128">
        <f>IF(AA204&gt;0,12,0)</f>
        <v>12</v>
      </c>
      <c r="AC204" s="128">
        <f t="shared" si="215"/>
        <v>144</v>
      </c>
      <c r="AD204" s="15">
        <f t="shared" si="216"/>
        <v>43.976924977306282</v>
      </c>
      <c r="AE204" s="127">
        <f t="shared" ca="1" si="217"/>
        <v>3.6983901224695162</v>
      </c>
      <c r="AF204" s="127">
        <f t="shared" ca="1" si="251"/>
        <v>40.382241539248106</v>
      </c>
      <c r="AH204" s="121">
        <f t="shared" si="218"/>
        <v>44621</v>
      </c>
      <c r="AI204" s="73">
        <f t="shared" si="219"/>
        <v>36.512545900430929</v>
      </c>
      <c r="AJ204" s="15">
        <f t="shared" si="220"/>
        <v>3.5976559248286031</v>
      </c>
      <c r="AK204" s="98">
        <f t="shared" si="221"/>
        <v>1</v>
      </c>
      <c r="AL204" s="128">
        <f>IF(AK204&gt;0,12,0)</f>
        <v>12</v>
      </c>
      <c r="AM204" s="128">
        <f t="shared" si="222"/>
        <v>144</v>
      </c>
      <c r="AN204" s="15">
        <f t="shared" si="223"/>
        <v>43.171871097943239</v>
      </c>
      <c r="AO204" s="127">
        <f t="shared" ca="1" si="224"/>
        <v>3.717381908543667</v>
      </c>
      <c r="AP204" s="127">
        <f t="shared" ca="1" si="252"/>
        <v>41.156501448997759</v>
      </c>
      <c r="AR204" s="121">
        <f t="shared" si="225"/>
        <v>44621</v>
      </c>
      <c r="AS204" s="73">
        <f t="shared" ref="AS204:AS226" si="257">+$AI204</f>
        <v>36.512545900430929</v>
      </c>
      <c r="AT204" s="15">
        <f t="shared" si="226"/>
        <v>3.5976559248286031</v>
      </c>
      <c r="AU204" s="98">
        <f t="shared" si="227"/>
        <v>1</v>
      </c>
      <c r="AV204" s="128">
        <f>IF(AU204&gt;0,12,0)</f>
        <v>12</v>
      </c>
      <c r="AW204" s="128">
        <f t="shared" si="228"/>
        <v>144</v>
      </c>
      <c r="AX204" s="15">
        <f t="shared" si="229"/>
        <v>43.171871097943239</v>
      </c>
      <c r="AY204" s="127">
        <f t="shared" ca="1" si="230"/>
        <v>3.5917042425913404</v>
      </c>
      <c r="AZ204" s="127">
        <f t="shared" ca="1" si="253"/>
        <v>36.295880231733982</v>
      </c>
      <c r="BB204" s="121">
        <f t="shared" si="231"/>
        <v>44621</v>
      </c>
      <c r="BC204" s="131">
        <v>0</v>
      </c>
      <c r="BD204" s="15">
        <f t="shared" si="232"/>
        <v>0</v>
      </c>
      <c r="BE204" s="98">
        <f t="shared" si="233"/>
        <v>0</v>
      </c>
      <c r="BF204" s="128">
        <f>IF(BE204&gt;0,12,0)</f>
        <v>0</v>
      </c>
      <c r="BG204" s="128">
        <f t="shared" si="234"/>
        <v>0</v>
      </c>
      <c r="BH204" s="15">
        <f t="shared" si="235"/>
        <v>0</v>
      </c>
      <c r="BI204" s="127">
        <f t="shared" ca="1" si="236"/>
        <v>3.6568373206354861</v>
      </c>
      <c r="BJ204" s="127">
        <f t="shared" ca="1" si="254"/>
        <v>38.738631055505664</v>
      </c>
      <c r="BL204" s="121">
        <f t="shared" si="237"/>
        <v>44621</v>
      </c>
      <c r="BM204" s="131">
        <v>0</v>
      </c>
      <c r="BN204" s="15">
        <f t="shared" si="238"/>
        <v>0</v>
      </c>
      <c r="BO204" s="98">
        <f t="shared" si="239"/>
        <v>0</v>
      </c>
      <c r="BP204" s="128">
        <f>IF(BO204&gt;0,12,0)</f>
        <v>0</v>
      </c>
      <c r="BQ204" s="128">
        <f t="shared" si="240"/>
        <v>0</v>
      </c>
      <c r="BR204" s="15">
        <f t="shared" si="241"/>
        <v>0</v>
      </c>
      <c r="BS204" s="127">
        <f t="shared" ca="1" si="242"/>
        <v>3.5459584216918016</v>
      </c>
      <c r="BT204" s="127">
        <f t="shared" ca="1" si="255"/>
        <v>34.672900682698888</v>
      </c>
      <c r="BZ204" s="583">
        <f t="shared" si="243"/>
        <v>1</v>
      </c>
      <c r="CA204" s="121">
        <f t="shared" si="244"/>
        <v>44621</v>
      </c>
      <c r="CB204" s="127">
        <f t="shared" si="245"/>
        <v>36.512545900430929</v>
      </c>
      <c r="CC204" s="15">
        <f t="shared" si="246"/>
        <v>3.5976559248286031</v>
      </c>
      <c r="CD204" s="98">
        <f t="shared" si="247"/>
        <v>1</v>
      </c>
      <c r="CE204" s="128">
        <f>IF(CD204&gt;0,12,0)</f>
        <v>12</v>
      </c>
      <c r="CF204" s="128">
        <f t="shared" si="248"/>
        <v>144</v>
      </c>
      <c r="CG204" s="15">
        <f t="shared" si="249"/>
        <v>43.171871097943239</v>
      </c>
      <c r="CH204" s="127">
        <f t="shared" ca="1" si="250"/>
        <v>3.6019236849906249</v>
      </c>
      <c r="CI204" s="127">
        <f t="shared" ca="1" si="256"/>
        <v>36.66870567845703</v>
      </c>
    </row>
    <row r="205" spans="24:87" x14ac:dyDescent="0.2">
      <c r="X205" s="121">
        <f t="shared" si="211"/>
        <v>44652</v>
      </c>
      <c r="Y205" s="73">
        <f t="shared" si="212"/>
        <v>37.458797906089245</v>
      </c>
      <c r="Z205" s="15">
        <f t="shared" si="213"/>
        <v>3.6232416064340205</v>
      </c>
      <c r="AA205" s="98">
        <f t="shared" si="214"/>
        <v>1</v>
      </c>
      <c r="AB205" s="128">
        <f>IF(AA205&gt;0,13,0)</f>
        <v>13</v>
      </c>
      <c r="AC205" s="128">
        <f t="shared" si="215"/>
        <v>169</v>
      </c>
      <c r="AD205" s="15">
        <f t="shared" si="216"/>
        <v>47.102140883642264</v>
      </c>
      <c r="AE205" s="127">
        <f t="shared" ca="1" si="217"/>
        <v>3.6983901224695162</v>
      </c>
      <c r="AF205" s="127">
        <f t="shared" ca="1" si="251"/>
        <v>40.382241539248106</v>
      </c>
      <c r="AH205" s="121">
        <f t="shared" si="218"/>
        <v>44652</v>
      </c>
      <c r="AI205" s="73">
        <f t="shared" si="219"/>
        <v>37.378242455124273</v>
      </c>
      <c r="AJ205" s="15">
        <f t="shared" si="220"/>
        <v>3.621088782600038</v>
      </c>
      <c r="AK205" s="98">
        <f t="shared" si="221"/>
        <v>1</v>
      </c>
      <c r="AL205" s="128">
        <f>IF(AK205&gt;0,13,0)</f>
        <v>13</v>
      </c>
      <c r="AM205" s="128">
        <f t="shared" si="222"/>
        <v>169</v>
      </c>
      <c r="AN205" s="15">
        <f t="shared" si="223"/>
        <v>47.074154173800494</v>
      </c>
      <c r="AO205" s="127">
        <f t="shared" ca="1" si="224"/>
        <v>3.717381908543667</v>
      </c>
      <c r="AP205" s="127">
        <f t="shared" ca="1" si="252"/>
        <v>41.156501448997759</v>
      </c>
      <c r="AR205" s="121">
        <f t="shared" si="225"/>
        <v>44652</v>
      </c>
      <c r="AS205" s="73">
        <f>+$AI205</f>
        <v>37.378242455124273</v>
      </c>
      <c r="AT205" s="15">
        <f t="shared" si="226"/>
        <v>3.621088782600038</v>
      </c>
      <c r="AU205" s="98">
        <f t="shared" si="227"/>
        <v>1</v>
      </c>
      <c r="AV205" s="128">
        <f>IF(AU205&gt;0,13,0)</f>
        <v>13</v>
      </c>
      <c r="AW205" s="128">
        <f t="shared" si="228"/>
        <v>169</v>
      </c>
      <c r="AX205" s="15">
        <f t="shared" si="229"/>
        <v>47.074154173800494</v>
      </c>
      <c r="AY205" s="127">
        <f t="shared" ca="1" si="230"/>
        <v>3.5917042425913404</v>
      </c>
      <c r="AZ205" s="127">
        <f t="shared" ca="1" si="253"/>
        <v>36.295880231733982</v>
      </c>
      <c r="BB205" s="121">
        <f t="shared" si="231"/>
        <v>44652</v>
      </c>
      <c r="BC205" s="131">
        <v>0</v>
      </c>
      <c r="BD205" s="15">
        <f t="shared" si="232"/>
        <v>0</v>
      </c>
      <c r="BE205" s="98">
        <f t="shared" si="233"/>
        <v>0</v>
      </c>
      <c r="BF205" s="128">
        <f>IF(BE205&gt;0,13,0)</f>
        <v>0</v>
      </c>
      <c r="BG205" s="128">
        <f t="shared" si="234"/>
        <v>0</v>
      </c>
      <c r="BH205" s="15">
        <f t="shared" si="235"/>
        <v>0</v>
      </c>
      <c r="BI205" s="127">
        <f t="shared" ca="1" si="236"/>
        <v>3.6568373206354861</v>
      </c>
      <c r="BJ205" s="127">
        <f t="shared" ca="1" si="254"/>
        <v>38.738631055505664</v>
      </c>
      <c r="BL205" s="121">
        <f t="shared" si="237"/>
        <v>44652</v>
      </c>
      <c r="BM205" s="131">
        <v>0</v>
      </c>
      <c r="BN205" s="15">
        <f t="shared" si="238"/>
        <v>0</v>
      </c>
      <c r="BO205" s="98">
        <f t="shared" si="239"/>
        <v>0</v>
      </c>
      <c r="BP205" s="128">
        <f>IF(BO205&gt;0,13,0)</f>
        <v>0</v>
      </c>
      <c r="BQ205" s="128">
        <f t="shared" si="240"/>
        <v>0</v>
      </c>
      <c r="BR205" s="15">
        <f t="shared" si="241"/>
        <v>0</v>
      </c>
      <c r="BS205" s="127">
        <f t="shared" ca="1" si="242"/>
        <v>3.5459584216918016</v>
      </c>
      <c r="BT205" s="127">
        <f t="shared" ca="1" si="255"/>
        <v>34.672900682698888</v>
      </c>
      <c r="BZ205" s="583">
        <f t="shared" si="243"/>
        <v>1</v>
      </c>
      <c r="CA205" s="121">
        <f t="shared" si="244"/>
        <v>44652</v>
      </c>
      <c r="CB205" s="127">
        <f t="shared" si="245"/>
        <v>37.378242455124273</v>
      </c>
      <c r="CC205" s="15">
        <f t="shared" si="246"/>
        <v>3.621088782600038</v>
      </c>
      <c r="CD205" s="98">
        <f t="shared" si="247"/>
        <v>1</v>
      </c>
      <c r="CE205" s="128">
        <f>IF(CD205&gt;0,13,0)</f>
        <v>13</v>
      </c>
      <c r="CF205" s="128">
        <f t="shared" si="248"/>
        <v>169</v>
      </c>
      <c r="CG205" s="15">
        <f t="shared" si="249"/>
        <v>47.074154173800494</v>
      </c>
      <c r="CH205" s="127">
        <f t="shared" ca="1" si="250"/>
        <v>3.6019236849906249</v>
      </c>
      <c r="CI205" s="127">
        <f t="shared" ca="1" si="256"/>
        <v>36.66870567845703</v>
      </c>
    </row>
    <row r="206" spans="24:87" x14ac:dyDescent="0.2">
      <c r="X206" s="121">
        <f t="shared" si="211"/>
        <v>44682</v>
      </c>
      <c r="Y206" s="73">
        <f t="shared" si="212"/>
        <v>39.220997237718201</v>
      </c>
      <c r="Z206" s="15">
        <f t="shared" si="213"/>
        <v>3.6692122472098156</v>
      </c>
      <c r="AA206" s="98">
        <f t="shared" si="214"/>
        <v>1</v>
      </c>
      <c r="AB206" s="128">
        <f>IF(AA206&gt;0,14,0)</f>
        <v>14</v>
      </c>
      <c r="AC206" s="128">
        <f t="shared" si="215"/>
        <v>196</v>
      </c>
      <c r="AD206" s="15">
        <f t="shared" si="216"/>
        <v>51.368971460937416</v>
      </c>
      <c r="AE206" s="127">
        <f t="shared" ca="1" si="217"/>
        <v>3.6983901224695162</v>
      </c>
      <c r="AF206" s="127">
        <f t="shared" ca="1" si="251"/>
        <v>40.382241539248106</v>
      </c>
      <c r="AH206" s="121">
        <f t="shared" si="218"/>
        <v>44682</v>
      </c>
      <c r="AI206" s="73">
        <f t="shared" si="219"/>
        <v>39.635451324897012</v>
      </c>
      <c r="AJ206" s="15">
        <f t="shared" si="220"/>
        <v>3.6797239532533528</v>
      </c>
      <c r="AK206" s="98">
        <f t="shared" si="221"/>
        <v>1</v>
      </c>
      <c r="AL206" s="128">
        <f>IF(AK206&gt;0,14,0)</f>
        <v>14</v>
      </c>
      <c r="AM206" s="128">
        <f t="shared" si="222"/>
        <v>196</v>
      </c>
      <c r="AN206" s="15">
        <f t="shared" si="223"/>
        <v>51.516135345546942</v>
      </c>
      <c r="AO206" s="127">
        <f t="shared" ca="1" si="224"/>
        <v>3.717381908543667</v>
      </c>
      <c r="AP206" s="127">
        <f t="shared" ca="1" si="252"/>
        <v>41.156501448997759</v>
      </c>
      <c r="AR206" s="121">
        <f t="shared" si="225"/>
        <v>44682</v>
      </c>
      <c r="AS206" s="73">
        <f t="shared" si="257"/>
        <v>39.635451324897012</v>
      </c>
      <c r="AT206" s="15">
        <f t="shared" si="226"/>
        <v>3.6797239532533528</v>
      </c>
      <c r="AU206" s="98">
        <f t="shared" si="227"/>
        <v>1</v>
      </c>
      <c r="AV206" s="128">
        <f>IF(AU206&gt;0,14,0)</f>
        <v>14</v>
      </c>
      <c r="AW206" s="128">
        <f t="shared" si="228"/>
        <v>196</v>
      </c>
      <c r="AX206" s="15">
        <f t="shared" si="229"/>
        <v>51.516135345546942</v>
      </c>
      <c r="AY206" s="127">
        <f t="shared" ca="1" si="230"/>
        <v>3.5917042425913404</v>
      </c>
      <c r="AZ206" s="127">
        <f t="shared" ca="1" si="253"/>
        <v>36.295880231733982</v>
      </c>
      <c r="BB206" s="121">
        <f t="shared" si="231"/>
        <v>44682</v>
      </c>
      <c r="BC206" s="131">
        <v>0</v>
      </c>
      <c r="BD206" s="15">
        <f t="shared" si="232"/>
        <v>0</v>
      </c>
      <c r="BE206" s="98">
        <f t="shared" si="233"/>
        <v>0</v>
      </c>
      <c r="BF206" s="128">
        <f>IF(BE206&gt;0,14,0)</f>
        <v>0</v>
      </c>
      <c r="BG206" s="128">
        <f t="shared" si="234"/>
        <v>0</v>
      </c>
      <c r="BH206" s="15">
        <f t="shared" si="235"/>
        <v>0</v>
      </c>
      <c r="BI206" s="127">
        <f t="shared" ca="1" si="236"/>
        <v>3.6568373206354861</v>
      </c>
      <c r="BJ206" s="127">
        <f t="shared" ca="1" si="254"/>
        <v>38.738631055505664</v>
      </c>
      <c r="BL206" s="121">
        <f t="shared" si="237"/>
        <v>44682</v>
      </c>
      <c r="BM206" s="131">
        <v>0</v>
      </c>
      <c r="BN206" s="15">
        <f t="shared" si="238"/>
        <v>0</v>
      </c>
      <c r="BO206" s="98">
        <f t="shared" si="239"/>
        <v>0</v>
      </c>
      <c r="BP206" s="128">
        <f>IF(BO206&gt;0,14,0)</f>
        <v>0</v>
      </c>
      <c r="BQ206" s="128">
        <f t="shared" si="240"/>
        <v>0</v>
      </c>
      <c r="BR206" s="15">
        <f t="shared" si="241"/>
        <v>0</v>
      </c>
      <c r="BS206" s="127">
        <f t="shared" ca="1" si="242"/>
        <v>3.5459584216918016</v>
      </c>
      <c r="BT206" s="127">
        <f t="shared" ca="1" si="255"/>
        <v>34.672900682698888</v>
      </c>
      <c r="BZ206" s="583">
        <f t="shared" si="243"/>
        <v>1</v>
      </c>
      <c r="CA206" s="121">
        <f t="shared" si="244"/>
        <v>44682</v>
      </c>
      <c r="CB206" s="127">
        <f t="shared" si="245"/>
        <v>39.635451324897012</v>
      </c>
      <c r="CC206" s="15">
        <f t="shared" si="246"/>
        <v>3.6797239532533528</v>
      </c>
      <c r="CD206" s="98">
        <f t="shared" si="247"/>
        <v>1</v>
      </c>
      <c r="CE206" s="128">
        <f>IF(CD206&gt;0,14,0)</f>
        <v>14</v>
      </c>
      <c r="CF206" s="128">
        <f t="shared" si="248"/>
        <v>196</v>
      </c>
      <c r="CG206" s="15">
        <f t="shared" si="249"/>
        <v>51.516135345546942</v>
      </c>
      <c r="CH206" s="127">
        <f t="shared" ca="1" si="250"/>
        <v>3.6019236849906249</v>
      </c>
      <c r="CI206" s="127">
        <f t="shared" ca="1" si="256"/>
        <v>36.66870567845703</v>
      </c>
    </row>
    <row r="207" spans="24:87" x14ac:dyDescent="0.2">
      <c r="X207" s="121">
        <f t="shared" si="211"/>
        <v>44713</v>
      </c>
      <c r="Y207" s="73">
        <f t="shared" si="212"/>
        <v>39.387231494672243</v>
      </c>
      <c r="Z207" s="15">
        <f t="shared" si="213"/>
        <v>3.6734416900413627</v>
      </c>
      <c r="AA207" s="98">
        <f t="shared" si="214"/>
        <v>1</v>
      </c>
      <c r="AB207" s="128">
        <f>IF(AA207&gt;0,15,0)</f>
        <v>15</v>
      </c>
      <c r="AC207" s="128">
        <f t="shared" si="215"/>
        <v>225</v>
      </c>
      <c r="AD207" s="15">
        <f t="shared" si="216"/>
        <v>55.101625350620438</v>
      </c>
      <c r="AE207" s="127">
        <f t="shared" ca="1" si="217"/>
        <v>3.6983901224695162</v>
      </c>
      <c r="AF207" s="127">
        <f t="shared" ca="1" si="251"/>
        <v>40.382241539248106</v>
      </c>
      <c r="AH207" s="121">
        <f t="shared" si="218"/>
        <v>44713</v>
      </c>
      <c r="AI207" s="73">
        <f t="shared" si="219"/>
        <v>39.925626777122076</v>
      </c>
      <c r="AJ207" s="15">
        <f t="shared" si="220"/>
        <v>3.6870183928412712</v>
      </c>
      <c r="AK207" s="98">
        <f t="shared" si="221"/>
        <v>1</v>
      </c>
      <c r="AL207" s="128">
        <f>IF(AK207&gt;0,15,0)</f>
        <v>15</v>
      </c>
      <c r="AM207" s="128">
        <f t="shared" si="222"/>
        <v>225</v>
      </c>
      <c r="AN207" s="15">
        <f t="shared" si="223"/>
        <v>55.305275892619065</v>
      </c>
      <c r="AO207" s="127">
        <f t="shared" ca="1" si="224"/>
        <v>3.717381908543667</v>
      </c>
      <c r="AP207" s="127">
        <f t="shared" ca="1" si="252"/>
        <v>41.156501448997759</v>
      </c>
      <c r="AR207" s="121">
        <f t="shared" si="225"/>
        <v>44713</v>
      </c>
      <c r="AS207" s="73">
        <f t="shared" si="257"/>
        <v>39.925626777122076</v>
      </c>
      <c r="AT207" s="15">
        <f t="shared" si="226"/>
        <v>3.6870183928412712</v>
      </c>
      <c r="AU207" s="98">
        <f t="shared" si="227"/>
        <v>1</v>
      </c>
      <c r="AV207" s="128">
        <f>IF(AU207&gt;0,15,0)</f>
        <v>15</v>
      </c>
      <c r="AW207" s="128">
        <f t="shared" si="228"/>
        <v>225</v>
      </c>
      <c r="AX207" s="15">
        <f t="shared" si="229"/>
        <v>55.305275892619065</v>
      </c>
      <c r="AY207" s="127">
        <f t="shared" ca="1" si="230"/>
        <v>3.5917042425913404</v>
      </c>
      <c r="AZ207" s="127">
        <f t="shared" ca="1" si="253"/>
        <v>36.295880231733982</v>
      </c>
      <c r="BB207" s="121">
        <f t="shared" si="231"/>
        <v>44713</v>
      </c>
      <c r="BC207" s="131">
        <v>0</v>
      </c>
      <c r="BD207" s="15">
        <f t="shared" si="232"/>
        <v>0</v>
      </c>
      <c r="BE207" s="98">
        <f t="shared" si="233"/>
        <v>0</v>
      </c>
      <c r="BF207" s="128">
        <f>IF(BE207&gt;0,15,0)</f>
        <v>0</v>
      </c>
      <c r="BG207" s="128">
        <f t="shared" si="234"/>
        <v>0</v>
      </c>
      <c r="BH207" s="15">
        <f t="shared" si="235"/>
        <v>0</v>
      </c>
      <c r="BI207" s="127">
        <f t="shared" ca="1" si="236"/>
        <v>3.6568373206354861</v>
      </c>
      <c r="BJ207" s="127">
        <f t="shared" ca="1" si="254"/>
        <v>38.738631055505664</v>
      </c>
      <c r="BL207" s="121">
        <f t="shared" si="237"/>
        <v>44713</v>
      </c>
      <c r="BM207" s="131">
        <v>0</v>
      </c>
      <c r="BN207" s="15">
        <f t="shared" si="238"/>
        <v>0</v>
      </c>
      <c r="BO207" s="98">
        <f t="shared" si="239"/>
        <v>0</v>
      </c>
      <c r="BP207" s="128">
        <f>IF(BO207&gt;0,15,0)</f>
        <v>0</v>
      </c>
      <c r="BQ207" s="128">
        <f t="shared" si="240"/>
        <v>0</v>
      </c>
      <c r="BR207" s="15">
        <f t="shared" si="241"/>
        <v>0</v>
      </c>
      <c r="BS207" s="127">
        <f t="shared" ca="1" si="242"/>
        <v>3.5459584216918016</v>
      </c>
      <c r="BT207" s="127">
        <f t="shared" ca="1" si="255"/>
        <v>34.672900682698888</v>
      </c>
      <c r="BZ207" s="583">
        <f t="shared" si="243"/>
        <v>1</v>
      </c>
      <c r="CA207" s="121">
        <f t="shared" si="244"/>
        <v>44713</v>
      </c>
      <c r="CB207" s="127">
        <f t="shared" si="245"/>
        <v>39.925626777122076</v>
      </c>
      <c r="CC207" s="15">
        <f t="shared" si="246"/>
        <v>3.6870183928412712</v>
      </c>
      <c r="CD207" s="98">
        <f t="shared" si="247"/>
        <v>1</v>
      </c>
      <c r="CE207" s="128">
        <f>IF(CD207&gt;0,15,0)</f>
        <v>15</v>
      </c>
      <c r="CF207" s="128">
        <f t="shared" si="248"/>
        <v>225</v>
      </c>
      <c r="CG207" s="15">
        <f t="shared" si="249"/>
        <v>55.305275892619065</v>
      </c>
      <c r="CH207" s="127">
        <f t="shared" ca="1" si="250"/>
        <v>3.6019236849906249</v>
      </c>
      <c r="CI207" s="127">
        <f t="shared" ca="1" si="256"/>
        <v>36.66870567845703</v>
      </c>
    </row>
    <row r="208" spans="24:87" x14ac:dyDescent="0.2">
      <c r="X208" s="121">
        <f t="shared" si="211"/>
        <v>44743</v>
      </c>
      <c r="Y208" s="73">
        <f t="shared" si="212"/>
        <v>37.986203504258292</v>
      </c>
      <c r="Z208" s="15">
        <f t="shared" si="213"/>
        <v>3.6372230281246725</v>
      </c>
      <c r="AA208" s="98">
        <f t="shared" si="214"/>
        <v>1</v>
      </c>
      <c r="AB208" s="128">
        <f>IF(AA208&gt;0,16,0)</f>
        <v>16</v>
      </c>
      <c r="AC208" s="128">
        <f t="shared" si="215"/>
        <v>256</v>
      </c>
      <c r="AD208" s="15">
        <f t="shared" si="216"/>
        <v>58.195568449994759</v>
      </c>
      <c r="AE208" s="127">
        <f t="shared" ca="1" si="217"/>
        <v>3.6983901224695162</v>
      </c>
      <c r="AF208" s="127">
        <f t="shared" ca="1" si="251"/>
        <v>40.382241539248106</v>
      </c>
      <c r="AH208" s="121">
        <f t="shared" si="218"/>
        <v>44743</v>
      </c>
      <c r="AI208" s="73">
        <f t="shared" si="219"/>
        <v>40.596193967224536</v>
      </c>
      <c r="AJ208" s="15">
        <f t="shared" si="220"/>
        <v>3.7036743175637405</v>
      </c>
      <c r="AK208" s="98">
        <f t="shared" si="221"/>
        <v>1</v>
      </c>
      <c r="AL208" s="128">
        <f>IF(AK208&gt;0,16,0)</f>
        <v>16</v>
      </c>
      <c r="AM208" s="128">
        <f t="shared" si="222"/>
        <v>256</v>
      </c>
      <c r="AN208" s="15">
        <f t="shared" si="223"/>
        <v>59.258789081019849</v>
      </c>
      <c r="AO208" s="127">
        <f t="shared" ca="1" si="224"/>
        <v>3.717381908543667</v>
      </c>
      <c r="AP208" s="127">
        <f t="shared" ca="1" si="252"/>
        <v>41.156501448997759</v>
      </c>
      <c r="AR208" s="121">
        <f t="shared" si="225"/>
        <v>44743</v>
      </c>
      <c r="AS208" s="73">
        <f t="shared" si="257"/>
        <v>40.596193967224536</v>
      </c>
      <c r="AT208" s="15">
        <f t="shared" si="226"/>
        <v>3.7036743175637405</v>
      </c>
      <c r="AU208" s="98">
        <f t="shared" si="227"/>
        <v>1</v>
      </c>
      <c r="AV208" s="128">
        <f>IF(AU208&gt;0,16,0)</f>
        <v>16</v>
      </c>
      <c r="AW208" s="128">
        <f t="shared" si="228"/>
        <v>256</v>
      </c>
      <c r="AX208" s="15">
        <f t="shared" si="229"/>
        <v>59.258789081019849</v>
      </c>
      <c r="AY208" s="127">
        <f t="shared" ca="1" si="230"/>
        <v>3.5917042425913404</v>
      </c>
      <c r="AZ208" s="127">
        <f t="shared" ca="1" si="253"/>
        <v>36.295880231733982</v>
      </c>
      <c r="BB208" s="121">
        <f t="shared" si="231"/>
        <v>44743</v>
      </c>
      <c r="BC208" s="131">
        <v>0</v>
      </c>
      <c r="BD208" s="15">
        <f t="shared" si="232"/>
        <v>0</v>
      </c>
      <c r="BE208" s="98">
        <f t="shared" si="233"/>
        <v>0</v>
      </c>
      <c r="BF208" s="128">
        <f>IF(BE208&gt;0,16,0)</f>
        <v>0</v>
      </c>
      <c r="BG208" s="128">
        <f t="shared" si="234"/>
        <v>0</v>
      </c>
      <c r="BH208" s="15">
        <f t="shared" si="235"/>
        <v>0</v>
      </c>
      <c r="BI208" s="127">
        <f t="shared" ca="1" si="236"/>
        <v>3.6568373206354861</v>
      </c>
      <c r="BJ208" s="127">
        <f t="shared" ca="1" si="254"/>
        <v>38.738631055505664</v>
      </c>
      <c r="BL208" s="121">
        <f t="shared" si="237"/>
        <v>44743</v>
      </c>
      <c r="BM208" s="131">
        <v>0</v>
      </c>
      <c r="BN208" s="15">
        <f t="shared" si="238"/>
        <v>0</v>
      </c>
      <c r="BO208" s="98">
        <f t="shared" si="239"/>
        <v>0</v>
      </c>
      <c r="BP208" s="128">
        <f>IF(BO208&gt;0,16,0)</f>
        <v>0</v>
      </c>
      <c r="BQ208" s="128">
        <f t="shared" si="240"/>
        <v>0</v>
      </c>
      <c r="BR208" s="15">
        <f t="shared" si="241"/>
        <v>0</v>
      </c>
      <c r="BS208" s="127">
        <f t="shared" ca="1" si="242"/>
        <v>3.5459584216918016</v>
      </c>
      <c r="BT208" s="127">
        <f t="shared" ca="1" si="255"/>
        <v>34.672900682698888</v>
      </c>
      <c r="BZ208" s="583">
        <f t="shared" si="243"/>
        <v>1</v>
      </c>
      <c r="CA208" s="121">
        <f t="shared" si="244"/>
        <v>44743</v>
      </c>
      <c r="CB208" s="127">
        <f t="shared" si="245"/>
        <v>40.596193967224536</v>
      </c>
      <c r="CC208" s="15">
        <f t="shared" si="246"/>
        <v>3.7036743175637405</v>
      </c>
      <c r="CD208" s="98">
        <f t="shared" si="247"/>
        <v>1</v>
      </c>
      <c r="CE208" s="128">
        <f>IF(CD208&gt;0,16,0)</f>
        <v>16</v>
      </c>
      <c r="CF208" s="128">
        <f t="shared" si="248"/>
        <v>256</v>
      </c>
      <c r="CG208" s="15">
        <f t="shared" si="249"/>
        <v>59.258789081019849</v>
      </c>
      <c r="CH208" s="127">
        <f t="shared" ca="1" si="250"/>
        <v>3.6019236849906249</v>
      </c>
      <c r="CI208" s="127">
        <f t="shared" ca="1" si="256"/>
        <v>36.66870567845703</v>
      </c>
    </row>
    <row r="209" spans="24:87" x14ac:dyDescent="0.2">
      <c r="X209" s="121">
        <f t="shared" si="211"/>
        <v>44774</v>
      </c>
      <c r="Y209" s="73">
        <f t="shared" si="212"/>
        <v>44.71334857009554</v>
      </c>
      <c r="Z209" s="15">
        <f t="shared" si="213"/>
        <v>3.8002720827689416</v>
      </c>
      <c r="AA209" s="98">
        <f t="shared" si="214"/>
        <v>1</v>
      </c>
      <c r="AB209" s="128">
        <f>IF(AA209&gt;0,17,0)</f>
        <v>17</v>
      </c>
      <c r="AC209" s="128">
        <f t="shared" si="215"/>
        <v>289</v>
      </c>
      <c r="AD209" s="15">
        <f t="shared" si="216"/>
        <v>64.604625407072007</v>
      </c>
      <c r="AE209" s="127">
        <f t="shared" ca="1" si="217"/>
        <v>3.6983901224695162</v>
      </c>
      <c r="AF209" s="127">
        <f t="shared" ca="1" si="251"/>
        <v>40.382241539248106</v>
      </c>
      <c r="AH209" s="121">
        <f t="shared" si="218"/>
        <v>44774</v>
      </c>
      <c r="AI209" s="73">
        <f t="shared" si="219"/>
        <v>40.608172475026038</v>
      </c>
      <c r="AJ209" s="15">
        <f t="shared" si="220"/>
        <v>3.7039693388393982</v>
      </c>
      <c r="AK209" s="98">
        <f t="shared" si="221"/>
        <v>1</v>
      </c>
      <c r="AL209" s="128">
        <f>IF(AK209&gt;0,17,0)</f>
        <v>17</v>
      </c>
      <c r="AM209" s="128">
        <f t="shared" si="222"/>
        <v>289</v>
      </c>
      <c r="AN209" s="15">
        <f t="shared" si="223"/>
        <v>62.967478760269771</v>
      </c>
      <c r="AO209" s="127">
        <f t="shared" ca="1" si="224"/>
        <v>3.717381908543667</v>
      </c>
      <c r="AP209" s="127">
        <f t="shared" ca="1" si="252"/>
        <v>41.156501448997759</v>
      </c>
      <c r="AR209" s="121">
        <f t="shared" si="225"/>
        <v>44774</v>
      </c>
      <c r="AS209" s="73">
        <f t="shared" si="257"/>
        <v>40.608172475026038</v>
      </c>
      <c r="AT209" s="15">
        <f t="shared" si="226"/>
        <v>3.7039693388393982</v>
      </c>
      <c r="AU209" s="98">
        <f t="shared" si="227"/>
        <v>1</v>
      </c>
      <c r="AV209" s="128">
        <f>IF(AU209&gt;0,17,0)</f>
        <v>17</v>
      </c>
      <c r="AW209" s="128">
        <f t="shared" si="228"/>
        <v>289</v>
      </c>
      <c r="AX209" s="15">
        <f t="shared" si="229"/>
        <v>62.967478760269771</v>
      </c>
      <c r="AY209" s="127">
        <f t="shared" ca="1" si="230"/>
        <v>3.5917042425913404</v>
      </c>
      <c r="AZ209" s="127">
        <f t="shared" ca="1" si="253"/>
        <v>36.295880231733982</v>
      </c>
      <c r="BB209" s="121">
        <f t="shared" si="231"/>
        <v>44774</v>
      </c>
      <c r="BC209" s="73">
        <f t="shared" ref="BC209:BC226" si="258">+$AI209</f>
        <v>40.608172475026038</v>
      </c>
      <c r="BD209" s="15">
        <f t="shared" si="232"/>
        <v>3.7039693388393982</v>
      </c>
      <c r="BE209" s="98">
        <f t="shared" si="233"/>
        <v>1</v>
      </c>
      <c r="BF209" s="128">
        <f>IF(BE209&gt;0,17,0)</f>
        <v>17</v>
      </c>
      <c r="BG209" s="128">
        <f t="shared" si="234"/>
        <v>289</v>
      </c>
      <c r="BH209" s="15">
        <f t="shared" si="235"/>
        <v>62.967478760269771</v>
      </c>
      <c r="BI209" s="127">
        <f t="shared" ca="1" si="236"/>
        <v>3.6568373206354861</v>
      </c>
      <c r="BJ209" s="127">
        <f t="shared" ca="1" si="254"/>
        <v>38.738631055505664</v>
      </c>
      <c r="BL209" s="121">
        <f t="shared" si="237"/>
        <v>44774</v>
      </c>
      <c r="BM209" s="131">
        <v>0</v>
      </c>
      <c r="BN209" s="15">
        <f t="shared" si="238"/>
        <v>0</v>
      </c>
      <c r="BO209" s="98">
        <f t="shared" si="239"/>
        <v>0</v>
      </c>
      <c r="BP209" s="128">
        <f>IF(BO209&gt;0,17,0)</f>
        <v>0</v>
      </c>
      <c r="BQ209" s="128">
        <f t="shared" si="240"/>
        <v>0</v>
      </c>
      <c r="BR209" s="15">
        <f t="shared" si="241"/>
        <v>0</v>
      </c>
      <c r="BS209" s="127">
        <f t="shared" ca="1" si="242"/>
        <v>3.5459584216918016</v>
      </c>
      <c r="BT209" s="127">
        <f t="shared" ca="1" si="255"/>
        <v>34.672900682698888</v>
      </c>
      <c r="BZ209" s="583">
        <f t="shared" si="243"/>
        <v>1</v>
      </c>
      <c r="CA209" s="121">
        <f t="shared" si="244"/>
        <v>44774</v>
      </c>
      <c r="CB209" s="127">
        <f t="shared" si="245"/>
        <v>40.608172475026038</v>
      </c>
      <c r="CC209" s="15">
        <f t="shared" si="246"/>
        <v>3.7039693388393982</v>
      </c>
      <c r="CD209" s="98">
        <f t="shared" si="247"/>
        <v>1</v>
      </c>
      <c r="CE209" s="128">
        <f>IF(CD209&gt;0,17,0)</f>
        <v>17</v>
      </c>
      <c r="CF209" s="128">
        <f t="shared" si="248"/>
        <v>289</v>
      </c>
      <c r="CG209" s="15">
        <f t="shared" si="249"/>
        <v>62.967478760269771</v>
      </c>
      <c r="CH209" s="127">
        <f t="shared" ca="1" si="250"/>
        <v>3.6019236849906249</v>
      </c>
      <c r="CI209" s="127">
        <f t="shared" ca="1" si="256"/>
        <v>36.66870567845703</v>
      </c>
    </row>
    <row r="210" spans="24:87" x14ac:dyDescent="0.2">
      <c r="X210" s="121">
        <f t="shared" si="211"/>
        <v>44805</v>
      </c>
      <c r="Y210" s="73">
        <f t="shared" si="212"/>
        <v>40.787181949898923</v>
      </c>
      <c r="Z210" s="15">
        <f t="shared" si="213"/>
        <v>3.7083678641544102</v>
      </c>
      <c r="AA210" s="98">
        <f t="shared" si="214"/>
        <v>1</v>
      </c>
      <c r="AB210" s="128">
        <f>IF(AA210&gt;0,18,0)</f>
        <v>18</v>
      </c>
      <c r="AC210" s="128">
        <f t="shared" si="215"/>
        <v>324</v>
      </c>
      <c r="AD210" s="15">
        <f t="shared" si="216"/>
        <v>66.750621554779386</v>
      </c>
      <c r="AE210" s="127">
        <f t="shared" ca="1" si="217"/>
        <v>3.6983901224695162</v>
      </c>
      <c r="AF210" s="127">
        <f t="shared" ca="1" si="251"/>
        <v>40.382241539248106</v>
      </c>
      <c r="AH210" s="121">
        <f t="shared" si="218"/>
        <v>44805</v>
      </c>
      <c r="AI210" s="73">
        <f t="shared" si="219"/>
        <v>40.702829389673809</v>
      </c>
      <c r="AJ210" s="15">
        <f t="shared" si="220"/>
        <v>3.7062976082060768</v>
      </c>
      <c r="AK210" s="98">
        <f t="shared" si="221"/>
        <v>1</v>
      </c>
      <c r="AL210" s="128">
        <f>IF(AK210&gt;0,18,0)</f>
        <v>18</v>
      </c>
      <c r="AM210" s="128">
        <f t="shared" si="222"/>
        <v>324</v>
      </c>
      <c r="AN210" s="15">
        <f t="shared" si="223"/>
        <v>66.713356947709386</v>
      </c>
      <c r="AO210" s="127">
        <f t="shared" ca="1" si="224"/>
        <v>3.717381908543667</v>
      </c>
      <c r="AP210" s="127">
        <f t="shared" ca="1" si="252"/>
        <v>41.156501448997759</v>
      </c>
      <c r="AR210" s="121">
        <f t="shared" si="225"/>
        <v>44805</v>
      </c>
      <c r="AS210" s="73">
        <f t="shared" si="257"/>
        <v>40.702829389673809</v>
      </c>
      <c r="AT210" s="15">
        <f t="shared" si="226"/>
        <v>3.7062976082060768</v>
      </c>
      <c r="AU210" s="98">
        <f t="shared" si="227"/>
        <v>1</v>
      </c>
      <c r="AV210" s="128">
        <f>IF(AU210&gt;0,18,0)</f>
        <v>18</v>
      </c>
      <c r="AW210" s="128">
        <f t="shared" si="228"/>
        <v>324</v>
      </c>
      <c r="AX210" s="15">
        <f t="shared" si="229"/>
        <v>66.713356947709386</v>
      </c>
      <c r="AY210" s="127">
        <f t="shared" ca="1" si="230"/>
        <v>3.5917042425913404</v>
      </c>
      <c r="AZ210" s="127">
        <f t="shared" ca="1" si="253"/>
        <v>36.295880231733982</v>
      </c>
      <c r="BB210" s="121">
        <f t="shared" si="231"/>
        <v>44805</v>
      </c>
      <c r="BC210" s="73">
        <f t="shared" si="258"/>
        <v>40.702829389673809</v>
      </c>
      <c r="BD210" s="15">
        <f t="shared" si="232"/>
        <v>3.7062976082060768</v>
      </c>
      <c r="BE210" s="98">
        <f t="shared" si="233"/>
        <v>1</v>
      </c>
      <c r="BF210" s="128">
        <f>IF(BE210&gt;0,18,0)</f>
        <v>18</v>
      </c>
      <c r="BG210" s="128">
        <f t="shared" si="234"/>
        <v>324</v>
      </c>
      <c r="BH210" s="15">
        <f t="shared" si="235"/>
        <v>66.713356947709386</v>
      </c>
      <c r="BI210" s="127">
        <f t="shared" ca="1" si="236"/>
        <v>3.6568373206354861</v>
      </c>
      <c r="BJ210" s="127">
        <f t="shared" ca="1" si="254"/>
        <v>38.738631055505664</v>
      </c>
      <c r="BL210" s="121">
        <f t="shared" si="237"/>
        <v>44805</v>
      </c>
      <c r="BM210" s="131">
        <v>0</v>
      </c>
      <c r="BN210" s="15">
        <f t="shared" si="238"/>
        <v>0</v>
      </c>
      <c r="BO210" s="98">
        <f t="shared" si="239"/>
        <v>0</v>
      </c>
      <c r="BP210" s="128">
        <f>IF(BO210&gt;0,18,0)</f>
        <v>0</v>
      </c>
      <c r="BQ210" s="128">
        <f t="shared" si="240"/>
        <v>0</v>
      </c>
      <c r="BR210" s="15">
        <f t="shared" si="241"/>
        <v>0</v>
      </c>
      <c r="BS210" s="127">
        <f t="shared" ca="1" si="242"/>
        <v>3.5459584216918016</v>
      </c>
      <c r="BT210" s="127">
        <f t="shared" ca="1" si="255"/>
        <v>34.672900682698888</v>
      </c>
      <c r="BZ210" s="583">
        <f t="shared" si="243"/>
        <v>1</v>
      </c>
      <c r="CA210" s="121">
        <f t="shared" si="244"/>
        <v>44805</v>
      </c>
      <c r="CB210" s="127">
        <f t="shared" si="245"/>
        <v>40.702829389673809</v>
      </c>
      <c r="CC210" s="15">
        <f t="shared" si="246"/>
        <v>3.7062976082060768</v>
      </c>
      <c r="CD210" s="98">
        <f t="shared" si="247"/>
        <v>1</v>
      </c>
      <c r="CE210" s="128">
        <f>IF(CD210&gt;0,18,0)</f>
        <v>18</v>
      </c>
      <c r="CF210" s="128">
        <f t="shared" si="248"/>
        <v>324</v>
      </c>
      <c r="CG210" s="15">
        <f t="shared" si="249"/>
        <v>66.713356947709386</v>
      </c>
      <c r="CH210" s="127">
        <f t="shared" ca="1" si="250"/>
        <v>3.6019236849906249</v>
      </c>
      <c r="CI210" s="127">
        <f t="shared" ca="1" si="256"/>
        <v>36.66870567845703</v>
      </c>
    </row>
    <row r="211" spans="24:87" x14ac:dyDescent="0.2">
      <c r="X211" s="121">
        <f t="shared" si="211"/>
        <v>44835</v>
      </c>
      <c r="Y211" s="73">
        <f t="shared" si="212"/>
        <v>41.482201046704006</v>
      </c>
      <c r="Z211" s="15">
        <f t="shared" si="213"/>
        <v>3.725264444795974</v>
      </c>
      <c r="AA211" s="98">
        <f t="shared" si="214"/>
        <v>1</v>
      </c>
      <c r="AB211" s="128">
        <f>IF(AA211&gt;0,19,0)</f>
        <v>19</v>
      </c>
      <c r="AC211" s="128">
        <f t="shared" si="215"/>
        <v>361</v>
      </c>
      <c r="AD211" s="15">
        <f t="shared" si="216"/>
        <v>70.780024451123509</v>
      </c>
      <c r="AE211" s="127">
        <f t="shared" ca="1" si="217"/>
        <v>3.6983901224695162</v>
      </c>
      <c r="AF211" s="127">
        <f t="shared" ca="1" si="251"/>
        <v>40.382241539248106</v>
      </c>
      <c r="AH211" s="121">
        <f t="shared" si="218"/>
        <v>44835</v>
      </c>
      <c r="AI211" s="73">
        <f t="shared" si="219"/>
        <v>40.114725285484759</v>
      </c>
      <c r="AJ211" s="15">
        <f t="shared" si="220"/>
        <v>3.6917434810077907</v>
      </c>
      <c r="AK211" s="98">
        <f t="shared" si="221"/>
        <v>1</v>
      </c>
      <c r="AL211" s="128">
        <f>IF(AK211&gt;0,19,0)</f>
        <v>19</v>
      </c>
      <c r="AM211" s="128">
        <f t="shared" si="222"/>
        <v>361</v>
      </c>
      <c r="AN211" s="15">
        <f t="shared" si="223"/>
        <v>70.143126139148023</v>
      </c>
      <c r="AO211" s="127">
        <f t="shared" ca="1" si="224"/>
        <v>3.717381908543667</v>
      </c>
      <c r="AP211" s="127">
        <f t="shared" ca="1" si="252"/>
        <v>41.156501448997759</v>
      </c>
      <c r="AR211" s="121">
        <f t="shared" si="225"/>
        <v>44835</v>
      </c>
      <c r="AS211" s="73">
        <f t="shared" si="257"/>
        <v>40.114725285484759</v>
      </c>
      <c r="AT211" s="15">
        <f t="shared" si="226"/>
        <v>3.6917434810077907</v>
      </c>
      <c r="AU211" s="98">
        <f t="shared" si="227"/>
        <v>1</v>
      </c>
      <c r="AV211" s="128">
        <f>IF(AU211&gt;0,19,0)</f>
        <v>19</v>
      </c>
      <c r="AW211" s="128">
        <f t="shared" si="228"/>
        <v>361</v>
      </c>
      <c r="AX211" s="15">
        <f t="shared" si="229"/>
        <v>70.143126139148023</v>
      </c>
      <c r="AY211" s="127">
        <f t="shared" ca="1" si="230"/>
        <v>3.5917042425913404</v>
      </c>
      <c r="AZ211" s="127">
        <f t="shared" ca="1" si="253"/>
        <v>36.295880231733982</v>
      </c>
      <c r="BB211" s="121">
        <f t="shared" si="231"/>
        <v>44835</v>
      </c>
      <c r="BC211" s="73">
        <f t="shared" si="258"/>
        <v>40.114725285484759</v>
      </c>
      <c r="BD211" s="15">
        <f t="shared" si="232"/>
        <v>3.6917434810077907</v>
      </c>
      <c r="BE211" s="98">
        <f t="shared" si="233"/>
        <v>1</v>
      </c>
      <c r="BF211" s="128">
        <f>IF(BE211&gt;0,19,0)</f>
        <v>19</v>
      </c>
      <c r="BG211" s="128">
        <f t="shared" si="234"/>
        <v>361</v>
      </c>
      <c r="BH211" s="15">
        <f t="shared" si="235"/>
        <v>70.143126139148023</v>
      </c>
      <c r="BI211" s="127">
        <f t="shared" ca="1" si="236"/>
        <v>3.6568373206354861</v>
      </c>
      <c r="BJ211" s="127">
        <f t="shared" ca="1" si="254"/>
        <v>38.738631055505664</v>
      </c>
      <c r="BL211" s="121">
        <f t="shared" si="237"/>
        <v>44835</v>
      </c>
      <c r="BM211" s="131">
        <v>0</v>
      </c>
      <c r="BN211" s="15">
        <f t="shared" si="238"/>
        <v>0</v>
      </c>
      <c r="BO211" s="98">
        <f t="shared" si="239"/>
        <v>0</v>
      </c>
      <c r="BP211" s="128">
        <f>IF(BO211&gt;0,19,0)</f>
        <v>0</v>
      </c>
      <c r="BQ211" s="128">
        <f t="shared" si="240"/>
        <v>0</v>
      </c>
      <c r="BR211" s="15">
        <f t="shared" si="241"/>
        <v>0</v>
      </c>
      <c r="BS211" s="127">
        <f t="shared" ca="1" si="242"/>
        <v>3.5459584216918016</v>
      </c>
      <c r="BT211" s="127">
        <f t="shared" ca="1" si="255"/>
        <v>34.672900682698888</v>
      </c>
      <c r="BZ211" s="583">
        <f t="shared" si="243"/>
        <v>1</v>
      </c>
      <c r="CA211" s="121">
        <f t="shared" si="244"/>
        <v>44835</v>
      </c>
      <c r="CB211" s="127">
        <f t="shared" si="245"/>
        <v>40.114725285484759</v>
      </c>
      <c r="CC211" s="15">
        <f t="shared" si="246"/>
        <v>3.6917434810077907</v>
      </c>
      <c r="CD211" s="98">
        <f t="shared" si="247"/>
        <v>1</v>
      </c>
      <c r="CE211" s="128">
        <f>IF(CD211&gt;0,19,0)</f>
        <v>19</v>
      </c>
      <c r="CF211" s="128">
        <f t="shared" si="248"/>
        <v>361</v>
      </c>
      <c r="CG211" s="15">
        <f t="shared" si="249"/>
        <v>70.143126139148023</v>
      </c>
      <c r="CH211" s="127">
        <f t="shared" ca="1" si="250"/>
        <v>3.6019236849906249</v>
      </c>
      <c r="CI211" s="127">
        <f t="shared" ca="1" si="256"/>
        <v>36.66870567845703</v>
      </c>
    </row>
    <row r="212" spans="24:87" x14ac:dyDescent="0.2">
      <c r="X212" s="121">
        <f t="shared" si="211"/>
        <v>44866</v>
      </c>
      <c r="Y212" s="73">
        <f t="shared" si="212"/>
        <v>39.292868284527216</v>
      </c>
      <c r="Z212" s="15">
        <f t="shared" si="213"/>
        <v>3.6710430338207054</v>
      </c>
      <c r="AA212" s="98">
        <f t="shared" si="214"/>
        <v>1</v>
      </c>
      <c r="AB212" s="128">
        <f>IF(AA212&gt;0,20,0)</f>
        <v>20</v>
      </c>
      <c r="AC212" s="128">
        <f t="shared" si="215"/>
        <v>400</v>
      </c>
      <c r="AD212" s="15">
        <f t="shared" si="216"/>
        <v>73.420860676414108</v>
      </c>
      <c r="AE212" s="127">
        <f t="shared" ca="1" si="217"/>
        <v>3.6983901224695162</v>
      </c>
      <c r="AF212" s="127">
        <f t="shared" ca="1" si="251"/>
        <v>40.382241539248106</v>
      </c>
      <c r="AH212" s="121">
        <f t="shared" si="218"/>
        <v>44866</v>
      </c>
      <c r="AI212" s="73">
        <f t="shared" si="219"/>
        <v>38.594257188957094</v>
      </c>
      <c r="AJ212" s="15">
        <f t="shared" si="220"/>
        <v>3.6531034879141586</v>
      </c>
      <c r="AK212" s="98">
        <f t="shared" si="221"/>
        <v>1</v>
      </c>
      <c r="AL212" s="128">
        <f>IF(AK212&gt;0,20,0)</f>
        <v>20</v>
      </c>
      <c r="AM212" s="128">
        <f t="shared" si="222"/>
        <v>400</v>
      </c>
      <c r="AN212" s="15">
        <f t="shared" si="223"/>
        <v>73.062069758283172</v>
      </c>
      <c r="AO212" s="127">
        <f t="shared" ca="1" si="224"/>
        <v>3.717381908543667</v>
      </c>
      <c r="AP212" s="127">
        <f t="shared" ca="1" si="252"/>
        <v>41.156501448997759</v>
      </c>
      <c r="AR212" s="121">
        <f t="shared" si="225"/>
        <v>44866</v>
      </c>
      <c r="AS212" s="73">
        <f t="shared" si="257"/>
        <v>38.594257188957094</v>
      </c>
      <c r="AT212" s="15">
        <f t="shared" si="226"/>
        <v>3.6531034879141586</v>
      </c>
      <c r="AU212" s="98">
        <f t="shared" si="227"/>
        <v>1</v>
      </c>
      <c r="AV212" s="128">
        <f>IF(AU212&gt;0,20,0)</f>
        <v>20</v>
      </c>
      <c r="AW212" s="128">
        <f t="shared" si="228"/>
        <v>400</v>
      </c>
      <c r="AX212" s="15">
        <f t="shared" si="229"/>
        <v>73.062069758283172</v>
      </c>
      <c r="AY212" s="127">
        <f t="shared" ca="1" si="230"/>
        <v>3.5917042425913404</v>
      </c>
      <c r="AZ212" s="127">
        <f t="shared" ca="1" si="253"/>
        <v>36.295880231733982</v>
      </c>
      <c r="BB212" s="121">
        <f t="shared" si="231"/>
        <v>44866</v>
      </c>
      <c r="BC212" s="73">
        <f t="shared" si="258"/>
        <v>38.594257188957094</v>
      </c>
      <c r="BD212" s="15">
        <f t="shared" si="232"/>
        <v>3.6531034879141586</v>
      </c>
      <c r="BE212" s="98">
        <f t="shared" si="233"/>
        <v>1</v>
      </c>
      <c r="BF212" s="128">
        <f>IF(BE212&gt;0,20,0)</f>
        <v>20</v>
      </c>
      <c r="BG212" s="128">
        <f t="shared" si="234"/>
        <v>400</v>
      </c>
      <c r="BH212" s="15">
        <f t="shared" si="235"/>
        <v>73.062069758283172</v>
      </c>
      <c r="BI212" s="127">
        <f t="shared" ca="1" si="236"/>
        <v>3.6568373206354861</v>
      </c>
      <c r="BJ212" s="127">
        <f t="shared" ca="1" si="254"/>
        <v>38.738631055505664</v>
      </c>
      <c r="BL212" s="121">
        <f t="shared" si="237"/>
        <v>44866</v>
      </c>
      <c r="BM212" s="131">
        <v>0</v>
      </c>
      <c r="BN212" s="15">
        <f t="shared" si="238"/>
        <v>0</v>
      </c>
      <c r="BO212" s="98">
        <f t="shared" si="239"/>
        <v>0</v>
      </c>
      <c r="BP212" s="128">
        <f>IF(BO212&gt;0,20,0)</f>
        <v>0</v>
      </c>
      <c r="BQ212" s="128">
        <f t="shared" si="240"/>
        <v>0</v>
      </c>
      <c r="BR212" s="15">
        <f t="shared" si="241"/>
        <v>0</v>
      </c>
      <c r="BS212" s="127">
        <f t="shared" ca="1" si="242"/>
        <v>3.5459584216918016</v>
      </c>
      <c r="BT212" s="127">
        <f t="shared" ca="1" si="255"/>
        <v>34.672900682698888</v>
      </c>
      <c r="BZ212" s="583">
        <f t="shared" si="243"/>
        <v>1</v>
      </c>
      <c r="CA212" s="121">
        <f t="shared" si="244"/>
        <v>44866</v>
      </c>
      <c r="CB212" s="127">
        <f t="shared" si="245"/>
        <v>38.594257188957094</v>
      </c>
      <c r="CC212" s="15">
        <f t="shared" si="246"/>
        <v>3.6531034879141586</v>
      </c>
      <c r="CD212" s="98">
        <f t="shared" si="247"/>
        <v>1</v>
      </c>
      <c r="CE212" s="128">
        <f>IF(CD212&gt;0,20,0)</f>
        <v>20</v>
      </c>
      <c r="CF212" s="128">
        <f t="shared" si="248"/>
        <v>400</v>
      </c>
      <c r="CG212" s="15">
        <f t="shared" si="249"/>
        <v>73.062069758283172</v>
      </c>
      <c r="CH212" s="127">
        <f t="shared" ca="1" si="250"/>
        <v>3.6019236849906249</v>
      </c>
      <c r="CI212" s="127">
        <f t="shared" ca="1" si="256"/>
        <v>36.66870567845703</v>
      </c>
    </row>
    <row r="213" spans="24:87" x14ac:dyDescent="0.2">
      <c r="X213" s="121">
        <f t="shared" si="211"/>
        <v>44896</v>
      </c>
      <c r="Y213" s="73">
        <f t="shared" si="212"/>
        <v>39.955172982558864</v>
      </c>
      <c r="Z213" s="15">
        <f t="shared" si="213"/>
        <v>3.6877581502516397</v>
      </c>
      <c r="AA213" s="98">
        <f t="shared" si="214"/>
        <v>1</v>
      </c>
      <c r="AB213" s="128">
        <f>IF(AA213&gt;0,21,0)</f>
        <v>21</v>
      </c>
      <c r="AC213" s="128">
        <f t="shared" si="215"/>
        <v>441</v>
      </c>
      <c r="AD213" s="15">
        <f t="shared" si="216"/>
        <v>77.442921155284438</v>
      </c>
      <c r="AE213" s="127">
        <f t="shared" ca="1" si="217"/>
        <v>3.6983901224695162</v>
      </c>
      <c r="AF213" s="127">
        <f t="shared" ca="1" si="251"/>
        <v>40.382241539248106</v>
      </c>
      <c r="AH213" s="121">
        <f t="shared" si="218"/>
        <v>44896</v>
      </c>
      <c r="AI213" s="73">
        <f t="shared" si="219"/>
        <v>39.008408370093626</v>
      </c>
      <c r="AJ213" s="15">
        <f t="shared" si="220"/>
        <v>3.6637772221246419</v>
      </c>
      <c r="AK213" s="98">
        <f t="shared" si="221"/>
        <v>1</v>
      </c>
      <c r="AL213" s="128">
        <f>IF(AK213&gt;0,21,0)</f>
        <v>21</v>
      </c>
      <c r="AM213" s="128">
        <f t="shared" si="222"/>
        <v>441</v>
      </c>
      <c r="AN213" s="15">
        <f t="shared" si="223"/>
        <v>76.939321664617481</v>
      </c>
      <c r="AO213" s="127">
        <f t="shared" ca="1" si="224"/>
        <v>3.717381908543667</v>
      </c>
      <c r="AP213" s="127">
        <f t="shared" ca="1" si="252"/>
        <v>41.156501448997759</v>
      </c>
      <c r="AR213" s="121">
        <f t="shared" si="225"/>
        <v>44896</v>
      </c>
      <c r="AS213" s="73">
        <f t="shared" si="257"/>
        <v>39.008408370093626</v>
      </c>
      <c r="AT213" s="15">
        <f t="shared" si="226"/>
        <v>3.6637772221246419</v>
      </c>
      <c r="AU213" s="98">
        <f t="shared" si="227"/>
        <v>1</v>
      </c>
      <c r="AV213" s="128">
        <f>IF(AU213&gt;0,21,0)</f>
        <v>21</v>
      </c>
      <c r="AW213" s="128">
        <f t="shared" si="228"/>
        <v>441</v>
      </c>
      <c r="AX213" s="15">
        <f t="shared" si="229"/>
        <v>76.939321664617481</v>
      </c>
      <c r="AY213" s="127">
        <f t="shared" ca="1" si="230"/>
        <v>3.5917042425913404</v>
      </c>
      <c r="AZ213" s="127">
        <f t="shared" ca="1" si="253"/>
        <v>36.295880231733982</v>
      </c>
      <c r="BB213" s="121">
        <f t="shared" si="231"/>
        <v>44896</v>
      </c>
      <c r="BC213" s="73">
        <f t="shared" si="258"/>
        <v>39.008408370093626</v>
      </c>
      <c r="BD213" s="15">
        <f t="shared" si="232"/>
        <v>3.6637772221246419</v>
      </c>
      <c r="BE213" s="98">
        <f t="shared" si="233"/>
        <v>1</v>
      </c>
      <c r="BF213" s="128">
        <f>IF(BE213&gt;0,21,0)</f>
        <v>21</v>
      </c>
      <c r="BG213" s="128">
        <f t="shared" si="234"/>
        <v>441</v>
      </c>
      <c r="BH213" s="15">
        <f t="shared" si="235"/>
        <v>76.939321664617481</v>
      </c>
      <c r="BI213" s="127">
        <f t="shared" ca="1" si="236"/>
        <v>3.6568373206354861</v>
      </c>
      <c r="BJ213" s="127">
        <f t="shared" ca="1" si="254"/>
        <v>38.738631055505664</v>
      </c>
      <c r="BL213" s="121">
        <f t="shared" si="237"/>
        <v>44896</v>
      </c>
      <c r="BM213" s="131">
        <v>0</v>
      </c>
      <c r="BN213" s="15">
        <f t="shared" si="238"/>
        <v>0</v>
      </c>
      <c r="BO213" s="98">
        <f t="shared" si="239"/>
        <v>0</v>
      </c>
      <c r="BP213" s="128">
        <f>IF(BO213&gt;0,21,0)</f>
        <v>0</v>
      </c>
      <c r="BQ213" s="128">
        <f t="shared" si="240"/>
        <v>0</v>
      </c>
      <c r="BR213" s="15">
        <f t="shared" si="241"/>
        <v>0</v>
      </c>
      <c r="BS213" s="127">
        <f t="shared" ca="1" si="242"/>
        <v>3.5459584216918016</v>
      </c>
      <c r="BT213" s="127">
        <f t="shared" ca="1" si="255"/>
        <v>34.672900682698888</v>
      </c>
      <c r="BZ213" s="583">
        <f t="shared" si="243"/>
        <v>1</v>
      </c>
      <c r="CA213" s="121">
        <f t="shared" si="244"/>
        <v>44896</v>
      </c>
      <c r="CB213" s="127">
        <f t="shared" si="245"/>
        <v>39.008408370093626</v>
      </c>
      <c r="CC213" s="15">
        <f t="shared" si="246"/>
        <v>3.6637772221246419</v>
      </c>
      <c r="CD213" s="98">
        <f t="shared" si="247"/>
        <v>1</v>
      </c>
      <c r="CE213" s="128">
        <f>IF(CD213&gt;0,21,0)</f>
        <v>21</v>
      </c>
      <c r="CF213" s="128">
        <f t="shared" si="248"/>
        <v>441</v>
      </c>
      <c r="CG213" s="15">
        <f t="shared" si="249"/>
        <v>76.939321664617481</v>
      </c>
      <c r="CH213" s="127">
        <f t="shared" ca="1" si="250"/>
        <v>3.6019236849906249</v>
      </c>
      <c r="CI213" s="127">
        <f t="shared" ca="1" si="256"/>
        <v>36.66870567845703</v>
      </c>
    </row>
    <row r="214" spans="24:87" x14ac:dyDescent="0.2">
      <c r="X214" s="121">
        <f t="shared" si="211"/>
        <v>44927</v>
      </c>
      <c r="Y214" s="73">
        <f t="shared" si="212"/>
        <v>34.457578879124007</v>
      </c>
      <c r="Z214" s="15">
        <f t="shared" si="213"/>
        <v>3.539728969755251</v>
      </c>
      <c r="AA214" s="98">
        <f t="shared" si="214"/>
        <v>1</v>
      </c>
      <c r="AB214" s="128">
        <f>IF(AA214&gt;0,22,0)</f>
        <v>22</v>
      </c>
      <c r="AC214" s="128">
        <f t="shared" si="215"/>
        <v>484</v>
      </c>
      <c r="AD214" s="15">
        <f t="shared" si="216"/>
        <v>77.874037334615522</v>
      </c>
      <c r="AE214" s="127">
        <f t="shared" ca="1" si="217"/>
        <v>3.6983901224695162</v>
      </c>
      <c r="AF214" s="127">
        <f t="shared" ca="1" si="251"/>
        <v>40.382241539248106</v>
      </c>
      <c r="AH214" s="121">
        <f t="shared" si="218"/>
        <v>44927</v>
      </c>
      <c r="AI214" s="73">
        <f t="shared" ca="1" si="219"/>
        <v>38.091926906136003</v>
      </c>
      <c r="AJ214" s="15">
        <f t="shared" ca="1" si="220"/>
        <v>3.640002367452924</v>
      </c>
      <c r="AK214" s="98">
        <f t="shared" ca="1" si="221"/>
        <v>1</v>
      </c>
      <c r="AL214" s="128">
        <f ca="1">IF(AK214&gt;0,22,0)</f>
        <v>22</v>
      </c>
      <c r="AM214" s="128">
        <f t="shared" ca="1" si="222"/>
        <v>484</v>
      </c>
      <c r="AN214" s="15">
        <f t="shared" ca="1" si="223"/>
        <v>80.080052083964333</v>
      </c>
      <c r="AO214" s="127">
        <f t="shared" ca="1" si="224"/>
        <v>3.717381908543667</v>
      </c>
      <c r="AP214" s="127">
        <f t="shared" ca="1" si="252"/>
        <v>41.156501448997759</v>
      </c>
      <c r="AR214" s="121">
        <f t="shared" si="225"/>
        <v>44927</v>
      </c>
      <c r="AS214" s="73">
        <f t="shared" ca="1" si="257"/>
        <v>38.091926906136003</v>
      </c>
      <c r="AT214" s="15">
        <f t="shared" ca="1" si="226"/>
        <v>3.640002367452924</v>
      </c>
      <c r="AU214" s="98">
        <f t="shared" ca="1" si="227"/>
        <v>1</v>
      </c>
      <c r="AV214" s="128">
        <f ca="1">IF(AU214&gt;0,22,0)</f>
        <v>22</v>
      </c>
      <c r="AW214" s="128">
        <f t="shared" ca="1" si="228"/>
        <v>484</v>
      </c>
      <c r="AX214" s="15">
        <f t="shared" ca="1" si="229"/>
        <v>80.080052083964333</v>
      </c>
      <c r="AY214" s="127">
        <f t="shared" ca="1" si="230"/>
        <v>3.5917042425913404</v>
      </c>
      <c r="AZ214" s="127">
        <f t="shared" ca="1" si="253"/>
        <v>36.295880231733982</v>
      </c>
      <c r="BB214" s="121">
        <f t="shared" si="231"/>
        <v>44927</v>
      </c>
      <c r="BC214" s="73">
        <f t="shared" ca="1" si="258"/>
        <v>38.091926906136003</v>
      </c>
      <c r="BD214" s="15">
        <f t="shared" ca="1" si="232"/>
        <v>3.640002367452924</v>
      </c>
      <c r="BE214" s="98">
        <f t="shared" ca="1" si="233"/>
        <v>1</v>
      </c>
      <c r="BF214" s="128">
        <f ca="1">IF(BE214&gt;0,22,0)</f>
        <v>22</v>
      </c>
      <c r="BG214" s="128">
        <f t="shared" ca="1" si="234"/>
        <v>484</v>
      </c>
      <c r="BH214" s="15">
        <f t="shared" ca="1" si="235"/>
        <v>80.080052083964333</v>
      </c>
      <c r="BI214" s="127">
        <f t="shared" ca="1" si="236"/>
        <v>3.6568373206354861</v>
      </c>
      <c r="BJ214" s="127">
        <f t="shared" ca="1" si="254"/>
        <v>38.738631055505664</v>
      </c>
      <c r="BL214" s="121">
        <f t="shared" si="237"/>
        <v>44927</v>
      </c>
      <c r="BM214" s="131">
        <v>0</v>
      </c>
      <c r="BN214" s="15">
        <f t="shared" si="238"/>
        <v>0</v>
      </c>
      <c r="BO214" s="98">
        <f t="shared" si="239"/>
        <v>0</v>
      </c>
      <c r="BP214" s="128">
        <f>IF(BO214&gt;0,22,0)</f>
        <v>0</v>
      </c>
      <c r="BQ214" s="128">
        <f t="shared" si="240"/>
        <v>0</v>
      </c>
      <c r="BR214" s="15">
        <f t="shared" si="241"/>
        <v>0</v>
      </c>
      <c r="BS214" s="127">
        <f t="shared" ca="1" si="242"/>
        <v>3.5459584216918016</v>
      </c>
      <c r="BT214" s="127">
        <f t="shared" ca="1" si="255"/>
        <v>34.672900682698888</v>
      </c>
      <c r="BZ214" s="583">
        <f t="shared" si="243"/>
        <v>1</v>
      </c>
      <c r="CA214" s="121">
        <f t="shared" si="244"/>
        <v>44927</v>
      </c>
      <c r="CB214" s="127">
        <f t="shared" ca="1" si="245"/>
        <v>38.091926906136003</v>
      </c>
      <c r="CC214" s="15">
        <f t="shared" ca="1" si="246"/>
        <v>3.640002367452924</v>
      </c>
      <c r="CD214" s="98">
        <f t="shared" ca="1" si="247"/>
        <v>1</v>
      </c>
      <c r="CE214" s="128">
        <f ca="1">IF(CD214&gt;0,22,0)</f>
        <v>22</v>
      </c>
      <c r="CF214" s="128">
        <f t="shared" ca="1" si="248"/>
        <v>484</v>
      </c>
      <c r="CG214" s="15">
        <f t="shared" ca="1" si="249"/>
        <v>80.080052083964333</v>
      </c>
      <c r="CH214" s="127">
        <f t="shared" ca="1" si="250"/>
        <v>3.6019236849906249</v>
      </c>
      <c r="CI214" s="127">
        <f t="shared" ca="1" si="256"/>
        <v>36.66870567845703</v>
      </c>
    </row>
    <row r="215" spans="24:87" x14ac:dyDescent="0.2">
      <c r="X215" s="121">
        <f t="shared" si="211"/>
        <v>44958</v>
      </c>
      <c r="Y215" s="73">
        <f t="shared" si="212"/>
        <v>35.59053999092955</v>
      </c>
      <c r="Z215" s="15">
        <f t="shared" si="213"/>
        <v>3.5720798719534885</v>
      </c>
      <c r="AA215" s="98">
        <f t="shared" si="214"/>
        <v>1</v>
      </c>
      <c r="AB215" s="128">
        <f>IF(AA215&gt;0,23,0)</f>
        <v>23</v>
      </c>
      <c r="AC215" s="128">
        <f t="shared" si="215"/>
        <v>529</v>
      </c>
      <c r="AD215" s="15">
        <f t="shared" si="216"/>
        <v>82.157837054930241</v>
      </c>
      <c r="AE215" s="127">
        <f t="shared" ca="1" si="217"/>
        <v>3.6983901224695162</v>
      </c>
      <c r="AF215" s="127">
        <f t="shared" ca="1" si="251"/>
        <v>40.382241539248106</v>
      </c>
      <c r="AH215" s="121">
        <f t="shared" si="218"/>
        <v>44958</v>
      </c>
      <c r="AI215" s="73">
        <f t="shared" ca="1" si="219"/>
        <v>38.251779489981921</v>
      </c>
      <c r="AJ215" s="15">
        <f t="shared" ca="1" si="220"/>
        <v>3.6441900818043078</v>
      </c>
      <c r="AK215" s="98">
        <f t="shared" ca="1" si="221"/>
        <v>1</v>
      </c>
      <c r="AL215" s="128">
        <f ca="1">IF(AK215&gt;0,23,0)</f>
        <v>23</v>
      </c>
      <c r="AM215" s="128">
        <f t="shared" ca="1" si="222"/>
        <v>529</v>
      </c>
      <c r="AN215" s="15">
        <f t="shared" ca="1" si="223"/>
        <v>83.81637188149908</v>
      </c>
      <c r="AO215" s="127">
        <f t="shared" ca="1" si="224"/>
        <v>3.717381908543667</v>
      </c>
      <c r="AP215" s="127">
        <f t="shared" ca="1" si="252"/>
        <v>41.156501448997759</v>
      </c>
      <c r="AR215" s="121">
        <f t="shared" si="225"/>
        <v>44958</v>
      </c>
      <c r="AS215" s="73">
        <f t="shared" ca="1" si="257"/>
        <v>38.251779489981921</v>
      </c>
      <c r="AT215" s="15">
        <f t="shared" ca="1" si="226"/>
        <v>3.6441900818043078</v>
      </c>
      <c r="AU215" s="98">
        <f t="shared" ca="1" si="227"/>
        <v>1</v>
      </c>
      <c r="AV215" s="128">
        <f ca="1">IF(AU215&gt;0,23,0)</f>
        <v>23</v>
      </c>
      <c r="AW215" s="128">
        <f t="shared" ca="1" si="228"/>
        <v>529</v>
      </c>
      <c r="AX215" s="15">
        <f t="shared" ca="1" si="229"/>
        <v>83.81637188149908</v>
      </c>
      <c r="AY215" s="127">
        <f t="shared" ca="1" si="230"/>
        <v>3.5917042425913404</v>
      </c>
      <c r="AZ215" s="127">
        <f t="shared" ca="1" si="253"/>
        <v>36.295880231733982</v>
      </c>
      <c r="BB215" s="121">
        <f t="shared" si="231"/>
        <v>44958</v>
      </c>
      <c r="BC215" s="73">
        <f t="shared" ca="1" si="258"/>
        <v>38.251779489981921</v>
      </c>
      <c r="BD215" s="15">
        <f t="shared" ca="1" si="232"/>
        <v>3.6441900818043078</v>
      </c>
      <c r="BE215" s="98">
        <f t="shared" ca="1" si="233"/>
        <v>1</v>
      </c>
      <c r="BF215" s="128">
        <f ca="1">IF(BE215&gt;0,23,0)</f>
        <v>23</v>
      </c>
      <c r="BG215" s="128">
        <f t="shared" ca="1" si="234"/>
        <v>529</v>
      </c>
      <c r="BH215" s="15">
        <f t="shared" ca="1" si="235"/>
        <v>83.81637188149908</v>
      </c>
      <c r="BI215" s="127">
        <f t="shared" ca="1" si="236"/>
        <v>3.6568373206354861</v>
      </c>
      <c r="BJ215" s="127">
        <f t="shared" ca="1" si="254"/>
        <v>38.738631055505664</v>
      </c>
      <c r="BL215" s="121">
        <f t="shared" si="237"/>
        <v>44958</v>
      </c>
      <c r="BM215" s="73">
        <f t="shared" ref="BM215:BM226" ca="1" si="259">+$AI215</f>
        <v>38.251779489981921</v>
      </c>
      <c r="BN215" s="15">
        <f t="shared" ca="1" si="238"/>
        <v>3.6441900818043078</v>
      </c>
      <c r="BO215" s="98">
        <f t="shared" ca="1" si="239"/>
        <v>1</v>
      </c>
      <c r="BP215" s="128">
        <f ca="1">IF(BO215&gt;0,23,0)</f>
        <v>23</v>
      </c>
      <c r="BQ215" s="128">
        <f t="shared" ca="1" si="240"/>
        <v>529</v>
      </c>
      <c r="BR215" s="15">
        <f t="shared" ca="1" si="241"/>
        <v>83.81637188149908</v>
      </c>
      <c r="BS215" s="127">
        <f t="shared" ca="1" si="242"/>
        <v>3.5459584216918016</v>
      </c>
      <c r="BT215" s="127">
        <f t="shared" ca="1" si="255"/>
        <v>34.672900682698888</v>
      </c>
      <c r="BZ215" s="583">
        <f t="shared" si="243"/>
        <v>1</v>
      </c>
      <c r="CA215" s="121">
        <f t="shared" si="244"/>
        <v>44958</v>
      </c>
      <c r="CB215" s="127">
        <f t="shared" ca="1" si="245"/>
        <v>38.251779489981921</v>
      </c>
      <c r="CC215" s="15">
        <f t="shared" ca="1" si="246"/>
        <v>3.6441900818043078</v>
      </c>
      <c r="CD215" s="98">
        <f t="shared" ca="1" si="247"/>
        <v>1</v>
      </c>
      <c r="CE215" s="128">
        <f ca="1">IF(CD215&gt;0,23,0)</f>
        <v>23</v>
      </c>
      <c r="CF215" s="128">
        <f t="shared" ca="1" si="248"/>
        <v>529</v>
      </c>
      <c r="CG215" s="15">
        <f t="shared" ca="1" si="249"/>
        <v>83.81637188149908</v>
      </c>
      <c r="CH215" s="127">
        <f t="shared" ca="1" si="250"/>
        <v>3.6019236849906249</v>
      </c>
      <c r="CI215" s="127">
        <f t="shared" ca="1" si="256"/>
        <v>36.66870567845703</v>
      </c>
    </row>
    <row r="216" spans="24:87" x14ac:dyDescent="0.2">
      <c r="X216" s="121">
        <f t="shared" si="211"/>
        <v>44986</v>
      </c>
      <c r="Y216" s="73">
        <f t="shared" si="212"/>
        <v>43.272089036718107</v>
      </c>
      <c r="Z216" s="15">
        <f t="shared" si="213"/>
        <v>3.7675078321728073</v>
      </c>
      <c r="AA216" s="98">
        <f t="shared" si="214"/>
        <v>1</v>
      </c>
      <c r="AB216" s="128">
        <f>IF(AA216&gt;0,24,0)</f>
        <v>24</v>
      </c>
      <c r="AC216" s="128">
        <f t="shared" si="215"/>
        <v>576</v>
      </c>
      <c r="AD216" s="15">
        <f t="shared" si="216"/>
        <v>90.420187972147374</v>
      </c>
      <c r="AE216" s="127">
        <f t="shared" ca="1" si="217"/>
        <v>3.6983901224695162</v>
      </c>
      <c r="AF216" s="127">
        <f t="shared" ca="1" si="251"/>
        <v>40.382241539248106</v>
      </c>
      <c r="AH216" s="121">
        <f t="shared" si="218"/>
        <v>44986</v>
      </c>
      <c r="AI216" s="73">
        <f t="shared" ca="1" si="219"/>
        <v>38.420343103770144</v>
      </c>
      <c r="AJ216" s="15">
        <f t="shared" ca="1" si="220"/>
        <v>3.6485870876433291</v>
      </c>
      <c r="AK216" s="98">
        <f t="shared" ca="1" si="221"/>
        <v>1</v>
      </c>
      <c r="AL216" s="128">
        <f ca="1">IF(AK216&gt;0,24,0)</f>
        <v>24</v>
      </c>
      <c r="AM216" s="128">
        <f t="shared" ca="1" si="222"/>
        <v>576</v>
      </c>
      <c r="AN216" s="15">
        <f t="shared" ca="1" si="223"/>
        <v>87.566090103439905</v>
      </c>
      <c r="AO216" s="127">
        <f t="shared" ca="1" si="224"/>
        <v>3.717381908543667</v>
      </c>
      <c r="AP216" s="127">
        <f t="shared" ca="1" si="252"/>
        <v>41.156501448997759</v>
      </c>
      <c r="AR216" s="121">
        <f t="shared" si="225"/>
        <v>44986</v>
      </c>
      <c r="AS216" s="73">
        <f t="shared" ca="1" si="257"/>
        <v>38.420343103770144</v>
      </c>
      <c r="AT216" s="15">
        <f t="shared" ca="1" si="226"/>
        <v>3.6485870876433291</v>
      </c>
      <c r="AU216" s="98">
        <f t="shared" ca="1" si="227"/>
        <v>1</v>
      </c>
      <c r="AV216" s="128">
        <f ca="1">IF(AU216&gt;0,24,0)</f>
        <v>24</v>
      </c>
      <c r="AW216" s="128">
        <f t="shared" ca="1" si="228"/>
        <v>576</v>
      </c>
      <c r="AX216" s="15">
        <f t="shared" ca="1" si="229"/>
        <v>87.566090103439905</v>
      </c>
      <c r="AY216" s="127">
        <f t="shared" ca="1" si="230"/>
        <v>3.5917042425913404</v>
      </c>
      <c r="AZ216" s="127">
        <f t="shared" ca="1" si="253"/>
        <v>36.295880231733982</v>
      </c>
      <c r="BB216" s="121">
        <f t="shared" si="231"/>
        <v>44986</v>
      </c>
      <c r="BC216" s="73">
        <f t="shared" ca="1" si="258"/>
        <v>38.420343103770144</v>
      </c>
      <c r="BD216" s="15">
        <f t="shared" ca="1" si="232"/>
        <v>3.6485870876433291</v>
      </c>
      <c r="BE216" s="98">
        <f t="shared" ca="1" si="233"/>
        <v>1</v>
      </c>
      <c r="BF216" s="128">
        <f ca="1">IF(BE216&gt;0,24,0)</f>
        <v>24</v>
      </c>
      <c r="BG216" s="128">
        <f t="shared" ca="1" si="234"/>
        <v>576</v>
      </c>
      <c r="BH216" s="15">
        <f t="shared" ca="1" si="235"/>
        <v>87.566090103439905</v>
      </c>
      <c r="BI216" s="127">
        <f t="shared" ca="1" si="236"/>
        <v>3.6568373206354861</v>
      </c>
      <c r="BJ216" s="127">
        <f t="shared" ca="1" si="254"/>
        <v>38.738631055505664</v>
      </c>
      <c r="BL216" s="121">
        <f t="shared" si="237"/>
        <v>44986</v>
      </c>
      <c r="BM216" s="73">
        <f t="shared" ca="1" si="259"/>
        <v>38.420343103770144</v>
      </c>
      <c r="BN216" s="15">
        <f t="shared" ca="1" si="238"/>
        <v>3.6485870876433291</v>
      </c>
      <c r="BO216" s="98">
        <f t="shared" ca="1" si="239"/>
        <v>1</v>
      </c>
      <c r="BP216" s="128">
        <f ca="1">IF(BO216&gt;0,24,0)</f>
        <v>24</v>
      </c>
      <c r="BQ216" s="128">
        <f t="shared" ca="1" si="240"/>
        <v>576</v>
      </c>
      <c r="BR216" s="15">
        <f t="shared" ca="1" si="241"/>
        <v>87.566090103439905</v>
      </c>
      <c r="BS216" s="127">
        <f t="shared" ca="1" si="242"/>
        <v>3.5459584216918016</v>
      </c>
      <c r="BT216" s="127">
        <f t="shared" ca="1" si="255"/>
        <v>34.672900682698888</v>
      </c>
      <c r="BZ216" s="583">
        <f t="shared" si="243"/>
        <v>1</v>
      </c>
      <c r="CA216" s="121">
        <f t="shared" si="244"/>
        <v>44986</v>
      </c>
      <c r="CB216" s="127">
        <f t="shared" ca="1" si="245"/>
        <v>38.420343103770144</v>
      </c>
      <c r="CC216" s="15">
        <f t="shared" ca="1" si="246"/>
        <v>3.6485870876433291</v>
      </c>
      <c r="CD216" s="98">
        <f t="shared" ca="1" si="247"/>
        <v>1</v>
      </c>
      <c r="CE216" s="128">
        <f ca="1">IF(CD216&gt;0,24,0)</f>
        <v>24</v>
      </c>
      <c r="CF216" s="128">
        <f t="shared" ca="1" si="248"/>
        <v>576</v>
      </c>
      <c r="CG216" s="15">
        <f t="shared" ca="1" si="249"/>
        <v>87.566090103439905</v>
      </c>
      <c r="CH216" s="127">
        <f t="shared" ca="1" si="250"/>
        <v>3.6019236849906249</v>
      </c>
      <c r="CI216" s="127">
        <f t="shared" ca="1" si="256"/>
        <v>36.66870567845703</v>
      </c>
    </row>
    <row r="217" spans="24:87" x14ac:dyDescent="0.2">
      <c r="X217" s="121">
        <f t="shared" si="211"/>
        <v>45017</v>
      </c>
      <c r="Y217" s="73">
        <f t="shared" ca="1" si="212"/>
        <v>35.983312262958279</v>
      </c>
      <c r="Z217" s="15">
        <f t="shared" ca="1" si="213"/>
        <v>3.5830552827332469</v>
      </c>
      <c r="AA217" s="98">
        <f t="shared" ca="1" si="214"/>
        <v>1</v>
      </c>
      <c r="AB217" s="128">
        <f ca="1">IF(AA217&gt;0,25,0)</f>
        <v>25</v>
      </c>
      <c r="AC217" s="128">
        <f t="shared" ca="1" si="215"/>
        <v>625</v>
      </c>
      <c r="AD217" s="15">
        <f t="shared" ca="1" si="216"/>
        <v>89.576382068331171</v>
      </c>
      <c r="AE217" s="127">
        <f t="shared" ca="1" si="217"/>
        <v>3.6983901224695162</v>
      </c>
      <c r="AF217" s="127">
        <f t="shared" ca="1" si="251"/>
        <v>40.382241539248106</v>
      </c>
      <c r="AH217" s="121">
        <f t="shared" si="218"/>
        <v>45017</v>
      </c>
      <c r="AI217" s="73">
        <f t="shared" ca="1" si="219"/>
        <v>39.06438800339523</v>
      </c>
      <c r="AJ217" s="15">
        <f t="shared" ca="1" si="220"/>
        <v>3.6652112592155417</v>
      </c>
      <c r="AK217" s="98">
        <f t="shared" ca="1" si="221"/>
        <v>1</v>
      </c>
      <c r="AL217" s="128">
        <f ca="1">IF(AK217&gt;0,25,0)</f>
        <v>25</v>
      </c>
      <c r="AM217" s="128">
        <f t="shared" ca="1" si="222"/>
        <v>625</v>
      </c>
      <c r="AN217" s="15">
        <f t="shared" ca="1" si="223"/>
        <v>91.630281480388547</v>
      </c>
      <c r="AO217" s="127">
        <f t="shared" ca="1" si="224"/>
        <v>3.717381908543667</v>
      </c>
      <c r="AP217" s="127">
        <f t="shared" ca="1" si="252"/>
        <v>41.156501448997759</v>
      </c>
      <c r="AR217" s="121">
        <f t="shared" si="225"/>
        <v>45017</v>
      </c>
      <c r="AS217" s="73">
        <f t="shared" ca="1" si="257"/>
        <v>39.06438800339523</v>
      </c>
      <c r="AT217" s="15">
        <f t="shared" ca="1" si="226"/>
        <v>3.6652112592155417</v>
      </c>
      <c r="AU217" s="98">
        <f t="shared" ca="1" si="227"/>
        <v>1</v>
      </c>
      <c r="AV217" s="128">
        <f ca="1">IF(AU217&gt;0,25,0)</f>
        <v>25</v>
      </c>
      <c r="AW217" s="128">
        <f t="shared" ca="1" si="228"/>
        <v>625</v>
      </c>
      <c r="AX217" s="15">
        <f t="shared" ca="1" si="229"/>
        <v>91.630281480388547</v>
      </c>
      <c r="AY217" s="127">
        <f t="shared" ca="1" si="230"/>
        <v>3.5917042425913404</v>
      </c>
      <c r="AZ217" s="127">
        <f t="shared" ca="1" si="253"/>
        <v>36.295880231733982</v>
      </c>
      <c r="BB217" s="121">
        <f t="shared" si="231"/>
        <v>45017</v>
      </c>
      <c r="BC217" s="73">
        <f t="shared" ca="1" si="258"/>
        <v>39.06438800339523</v>
      </c>
      <c r="BD217" s="15">
        <f t="shared" ca="1" si="232"/>
        <v>3.6652112592155417</v>
      </c>
      <c r="BE217" s="98">
        <f t="shared" ca="1" si="233"/>
        <v>1</v>
      </c>
      <c r="BF217" s="128">
        <f ca="1">IF(BE217&gt;0,25,0)</f>
        <v>25</v>
      </c>
      <c r="BG217" s="128">
        <f t="shared" ca="1" si="234"/>
        <v>625</v>
      </c>
      <c r="BH217" s="15">
        <f t="shared" ca="1" si="235"/>
        <v>91.630281480388547</v>
      </c>
      <c r="BI217" s="127">
        <f t="shared" ca="1" si="236"/>
        <v>3.6568373206354861</v>
      </c>
      <c r="BJ217" s="127">
        <f t="shared" ca="1" si="254"/>
        <v>38.738631055505664</v>
      </c>
      <c r="BL217" s="121">
        <f t="shared" si="237"/>
        <v>45017</v>
      </c>
      <c r="BM217" s="73">
        <f t="shared" ca="1" si="259"/>
        <v>39.06438800339523</v>
      </c>
      <c r="BN217" s="15">
        <f t="shared" ca="1" si="238"/>
        <v>3.6652112592155417</v>
      </c>
      <c r="BO217" s="98">
        <f t="shared" ca="1" si="239"/>
        <v>1</v>
      </c>
      <c r="BP217" s="128">
        <f ca="1">IF(BO217&gt;0,25,0)</f>
        <v>25</v>
      </c>
      <c r="BQ217" s="128">
        <f t="shared" ca="1" si="240"/>
        <v>625</v>
      </c>
      <c r="BR217" s="15">
        <f t="shared" ca="1" si="241"/>
        <v>91.630281480388547</v>
      </c>
      <c r="BS217" s="127">
        <f t="shared" ca="1" si="242"/>
        <v>3.5459584216918016</v>
      </c>
      <c r="BT217" s="127">
        <f t="shared" ca="1" si="255"/>
        <v>34.672900682698888</v>
      </c>
      <c r="BZ217" s="583">
        <f t="shared" si="243"/>
        <v>1</v>
      </c>
      <c r="CA217" s="121">
        <f t="shared" si="244"/>
        <v>45017</v>
      </c>
      <c r="CB217" s="127">
        <f t="shared" ca="1" si="245"/>
        <v>39.06438800339523</v>
      </c>
      <c r="CC217" s="15">
        <f t="shared" ca="1" si="246"/>
        <v>3.6652112592155417</v>
      </c>
      <c r="CD217" s="98">
        <f t="shared" ca="1" si="247"/>
        <v>1</v>
      </c>
      <c r="CE217" s="128">
        <f ca="1">IF(CD217&gt;0,25,0)</f>
        <v>25</v>
      </c>
      <c r="CF217" s="128">
        <f t="shared" ca="1" si="248"/>
        <v>625</v>
      </c>
      <c r="CG217" s="15">
        <f t="shared" ca="1" si="249"/>
        <v>91.630281480388547</v>
      </c>
      <c r="CH217" s="127">
        <f t="shared" ca="1" si="250"/>
        <v>3.6019236849906249</v>
      </c>
      <c r="CI217" s="127">
        <f t="shared" ca="1" si="256"/>
        <v>36.66870567845703</v>
      </c>
    </row>
    <row r="218" spans="24:87" x14ac:dyDescent="0.2">
      <c r="X218" s="121">
        <f t="shared" si="211"/>
        <v>45047</v>
      </c>
      <c r="Y218" s="73">
        <f t="shared" ca="1" si="212"/>
        <v>40.251983787602725</v>
      </c>
      <c r="Z218" s="15">
        <f t="shared" ca="1" si="213"/>
        <v>3.6951592892985405</v>
      </c>
      <c r="AA218" s="98">
        <f t="shared" ca="1" si="214"/>
        <v>1</v>
      </c>
      <c r="AB218" s="128">
        <f ca="1">IF(AA218&gt;0,26,0)</f>
        <v>26</v>
      </c>
      <c r="AC218" s="128">
        <f t="shared" ca="1" si="215"/>
        <v>676</v>
      </c>
      <c r="AD218" s="15">
        <f t="shared" ca="1" si="216"/>
        <v>96.074141521762058</v>
      </c>
      <c r="AE218" s="127">
        <f t="shared" ca="1" si="217"/>
        <v>3.6983901224695162</v>
      </c>
      <c r="AF218" s="127">
        <f t="shared" ca="1" si="251"/>
        <v>40.382241539248106</v>
      </c>
      <c r="AH218" s="121">
        <f t="shared" si="218"/>
        <v>45047</v>
      </c>
      <c r="AI218" s="73">
        <f t="shared" ca="1" si="219"/>
        <v>40.450772078602121</v>
      </c>
      <c r="AJ218" s="15">
        <f t="shared" ca="1" si="220"/>
        <v>3.7000857305560158</v>
      </c>
      <c r="AK218" s="98">
        <f t="shared" ca="1" si="221"/>
        <v>1</v>
      </c>
      <c r="AL218" s="128">
        <f ca="1">IF(AK218&gt;0,26,0)</f>
        <v>26</v>
      </c>
      <c r="AM218" s="128">
        <f t="shared" ca="1" si="222"/>
        <v>676</v>
      </c>
      <c r="AN218" s="15">
        <f t="shared" ca="1" si="223"/>
        <v>96.202228994456405</v>
      </c>
      <c r="AO218" s="127">
        <f t="shared" ca="1" si="224"/>
        <v>3.717381908543667</v>
      </c>
      <c r="AP218" s="127">
        <f t="shared" ca="1" si="252"/>
        <v>41.156501448997759</v>
      </c>
      <c r="AR218" s="121">
        <f t="shared" si="225"/>
        <v>45047</v>
      </c>
      <c r="AS218" s="73">
        <f t="shared" ca="1" si="257"/>
        <v>40.450772078602121</v>
      </c>
      <c r="AT218" s="15">
        <f t="shared" ca="1" si="226"/>
        <v>3.7000857305560158</v>
      </c>
      <c r="AU218" s="98">
        <f t="shared" ca="1" si="227"/>
        <v>1</v>
      </c>
      <c r="AV218" s="128">
        <f ca="1">IF(AU218&gt;0,26,0)</f>
        <v>26</v>
      </c>
      <c r="AW218" s="128">
        <f t="shared" ca="1" si="228"/>
        <v>676</v>
      </c>
      <c r="AX218" s="15">
        <f t="shared" ca="1" si="229"/>
        <v>96.202228994456405</v>
      </c>
      <c r="AY218" s="127">
        <f t="shared" ca="1" si="230"/>
        <v>3.5917042425913404</v>
      </c>
      <c r="AZ218" s="127">
        <f t="shared" ca="1" si="253"/>
        <v>36.295880231733982</v>
      </c>
      <c r="BB218" s="121">
        <f t="shared" si="231"/>
        <v>45047</v>
      </c>
      <c r="BC218" s="73">
        <f t="shared" ca="1" si="258"/>
        <v>40.450772078602121</v>
      </c>
      <c r="BD218" s="15">
        <f t="shared" ca="1" si="232"/>
        <v>3.7000857305560158</v>
      </c>
      <c r="BE218" s="98">
        <f t="shared" ca="1" si="233"/>
        <v>1</v>
      </c>
      <c r="BF218" s="128">
        <f ca="1">IF(BE218&gt;0,26,0)</f>
        <v>26</v>
      </c>
      <c r="BG218" s="128">
        <f t="shared" ca="1" si="234"/>
        <v>676</v>
      </c>
      <c r="BH218" s="15">
        <f t="shared" ca="1" si="235"/>
        <v>96.202228994456405</v>
      </c>
      <c r="BI218" s="127">
        <f t="shared" ca="1" si="236"/>
        <v>3.6568373206354861</v>
      </c>
      <c r="BJ218" s="127">
        <f t="shared" ca="1" si="254"/>
        <v>38.738631055505664</v>
      </c>
      <c r="BL218" s="121">
        <f t="shared" si="237"/>
        <v>45047</v>
      </c>
      <c r="BM218" s="73">
        <f t="shared" ca="1" si="259"/>
        <v>40.450772078602121</v>
      </c>
      <c r="BN218" s="15">
        <f t="shared" ca="1" si="238"/>
        <v>3.7000857305560158</v>
      </c>
      <c r="BO218" s="98">
        <f t="shared" ca="1" si="239"/>
        <v>1</v>
      </c>
      <c r="BP218" s="128">
        <f ca="1">IF(BO218&gt;0,26,0)</f>
        <v>26</v>
      </c>
      <c r="BQ218" s="128">
        <f t="shared" ca="1" si="240"/>
        <v>676</v>
      </c>
      <c r="BR218" s="15">
        <f t="shared" ca="1" si="241"/>
        <v>96.202228994456405</v>
      </c>
      <c r="BS218" s="127">
        <f t="shared" ca="1" si="242"/>
        <v>3.5459584216918016</v>
      </c>
      <c r="BT218" s="127">
        <f t="shared" ca="1" si="255"/>
        <v>34.672900682698888</v>
      </c>
      <c r="BZ218" s="583">
        <f t="shared" si="243"/>
        <v>1</v>
      </c>
      <c r="CA218" s="121">
        <f t="shared" si="244"/>
        <v>45047</v>
      </c>
      <c r="CB218" s="127">
        <f t="shared" ca="1" si="245"/>
        <v>40.450772078602121</v>
      </c>
      <c r="CC218" s="15">
        <f t="shared" ca="1" si="246"/>
        <v>3.7000857305560158</v>
      </c>
      <c r="CD218" s="98">
        <f t="shared" ca="1" si="247"/>
        <v>1</v>
      </c>
      <c r="CE218" s="128">
        <f ca="1">IF(CD218&gt;0,26,0)</f>
        <v>26</v>
      </c>
      <c r="CF218" s="128">
        <f t="shared" ca="1" si="248"/>
        <v>676</v>
      </c>
      <c r="CG218" s="15">
        <f t="shared" ca="1" si="249"/>
        <v>96.202228994456405</v>
      </c>
      <c r="CH218" s="127">
        <f t="shared" ca="1" si="250"/>
        <v>3.6019236849906249</v>
      </c>
      <c r="CI218" s="127">
        <f t="shared" ca="1" si="256"/>
        <v>36.66870567845703</v>
      </c>
    </row>
    <row r="219" spans="24:87" x14ac:dyDescent="0.2">
      <c r="X219" s="121">
        <f t="shared" si="211"/>
        <v>45078</v>
      </c>
      <c r="Y219" s="73">
        <f t="shared" ca="1" si="212"/>
        <v>40.966554665288186</v>
      </c>
      <c r="Z219" s="15">
        <f t="shared" ca="1" si="213"/>
        <v>3.7127559939364687</v>
      </c>
      <c r="AA219" s="98">
        <f t="shared" ca="1" si="214"/>
        <v>1</v>
      </c>
      <c r="AB219" s="128">
        <f ca="1">IF(AA219&gt;0,27,0)</f>
        <v>27</v>
      </c>
      <c r="AC219" s="128">
        <f t="shared" ca="1" si="215"/>
        <v>729</v>
      </c>
      <c r="AD219" s="15">
        <f t="shared" ca="1" si="216"/>
        <v>100.24441183628466</v>
      </c>
      <c r="AE219" s="127">
        <f t="shared" ca="1" si="217"/>
        <v>3.6983901224695162</v>
      </c>
      <c r="AF219" s="127">
        <f t="shared" ca="1" si="251"/>
        <v>40.382241539248106</v>
      </c>
      <c r="AH219" s="121">
        <f t="shared" si="218"/>
        <v>45078</v>
      </c>
      <c r="AI219" s="73">
        <f t="shared" ca="1" si="219"/>
        <v>39.844760491322859</v>
      </c>
      <c r="AJ219" s="15">
        <f t="shared" ca="1" si="220"/>
        <v>3.6849909158220546</v>
      </c>
      <c r="AK219" s="98">
        <f t="shared" ca="1" si="221"/>
        <v>1</v>
      </c>
      <c r="AL219" s="128">
        <f ca="1">IF(AK219&gt;0,27,0)</f>
        <v>27</v>
      </c>
      <c r="AM219" s="128">
        <f t="shared" ca="1" si="222"/>
        <v>729</v>
      </c>
      <c r="AN219" s="15">
        <f t="shared" ca="1" si="223"/>
        <v>99.49475472719547</v>
      </c>
      <c r="AO219" s="127">
        <f t="shared" ca="1" si="224"/>
        <v>3.717381908543667</v>
      </c>
      <c r="AP219" s="127">
        <f t="shared" ca="1" si="252"/>
        <v>41.156501448997759</v>
      </c>
      <c r="AR219" s="121">
        <f t="shared" si="225"/>
        <v>45078</v>
      </c>
      <c r="AS219" s="73">
        <f t="shared" ca="1" si="257"/>
        <v>39.844760491322859</v>
      </c>
      <c r="AT219" s="15">
        <f t="shared" ca="1" si="226"/>
        <v>3.6849909158220546</v>
      </c>
      <c r="AU219" s="98">
        <f t="shared" ca="1" si="227"/>
        <v>1</v>
      </c>
      <c r="AV219" s="128">
        <f ca="1">IF(AU219&gt;0,27,0)</f>
        <v>27</v>
      </c>
      <c r="AW219" s="128">
        <f t="shared" ca="1" si="228"/>
        <v>729</v>
      </c>
      <c r="AX219" s="15">
        <f t="shared" ca="1" si="229"/>
        <v>99.49475472719547</v>
      </c>
      <c r="AY219" s="127">
        <f t="shared" ca="1" si="230"/>
        <v>3.5917042425913404</v>
      </c>
      <c r="AZ219" s="127">
        <f t="shared" ca="1" si="253"/>
        <v>36.295880231733982</v>
      </c>
      <c r="BB219" s="121">
        <f t="shared" si="231"/>
        <v>45078</v>
      </c>
      <c r="BC219" s="73">
        <f t="shared" ca="1" si="258"/>
        <v>39.844760491322859</v>
      </c>
      <c r="BD219" s="15">
        <f t="shared" ca="1" si="232"/>
        <v>3.6849909158220546</v>
      </c>
      <c r="BE219" s="98">
        <f t="shared" ca="1" si="233"/>
        <v>1</v>
      </c>
      <c r="BF219" s="128">
        <f ca="1">IF(BE219&gt;0,27,0)</f>
        <v>27</v>
      </c>
      <c r="BG219" s="128">
        <f t="shared" ca="1" si="234"/>
        <v>729</v>
      </c>
      <c r="BH219" s="15">
        <f t="shared" ca="1" si="235"/>
        <v>99.49475472719547</v>
      </c>
      <c r="BI219" s="127">
        <f t="shared" ca="1" si="236"/>
        <v>3.6568373206354861</v>
      </c>
      <c r="BJ219" s="127">
        <f t="shared" ca="1" si="254"/>
        <v>38.738631055505664</v>
      </c>
      <c r="BL219" s="121">
        <f t="shared" si="237"/>
        <v>45078</v>
      </c>
      <c r="BM219" s="73">
        <f t="shared" ca="1" si="259"/>
        <v>39.844760491322859</v>
      </c>
      <c r="BN219" s="15">
        <f t="shared" ca="1" si="238"/>
        <v>3.6849909158220546</v>
      </c>
      <c r="BO219" s="98">
        <f t="shared" ca="1" si="239"/>
        <v>1</v>
      </c>
      <c r="BP219" s="128">
        <f ca="1">IF(BO219&gt;0,27,0)</f>
        <v>27</v>
      </c>
      <c r="BQ219" s="128">
        <f t="shared" ca="1" si="240"/>
        <v>729</v>
      </c>
      <c r="BR219" s="15">
        <f t="shared" ca="1" si="241"/>
        <v>99.49475472719547</v>
      </c>
      <c r="BS219" s="127">
        <f t="shared" ca="1" si="242"/>
        <v>3.5459584216918016</v>
      </c>
      <c r="BT219" s="127">
        <f t="shared" ca="1" si="255"/>
        <v>34.672900682698888</v>
      </c>
      <c r="BZ219" s="583">
        <f t="shared" si="243"/>
        <v>1</v>
      </c>
      <c r="CA219" s="121">
        <f t="shared" si="244"/>
        <v>45078</v>
      </c>
      <c r="CB219" s="127">
        <f t="shared" ca="1" si="245"/>
        <v>39.844760491322859</v>
      </c>
      <c r="CC219" s="15">
        <f t="shared" ca="1" si="246"/>
        <v>3.6849909158220546</v>
      </c>
      <c r="CD219" s="98">
        <f t="shared" ca="1" si="247"/>
        <v>1</v>
      </c>
      <c r="CE219" s="128">
        <f ca="1">IF(CD219&gt;0,27,0)</f>
        <v>27</v>
      </c>
      <c r="CF219" s="128">
        <f t="shared" ca="1" si="248"/>
        <v>729</v>
      </c>
      <c r="CG219" s="15">
        <f t="shared" ca="1" si="249"/>
        <v>99.49475472719547</v>
      </c>
      <c r="CH219" s="127">
        <f t="shared" ca="1" si="250"/>
        <v>3.6019236849906249</v>
      </c>
      <c r="CI219" s="127">
        <f t="shared" ca="1" si="256"/>
        <v>36.66870567845703</v>
      </c>
    </row>
    <row r="220" spans="24:87" x14ac:dyDescent="0.2">
      <c r="X220" s="121">
        <f t="shared" si="211"/>
        <v>45108</v>
      </c>
      <c r="Y220" s="73">
        <f t="shared" ca="1" si="212"/>
        <v>38.321848276874519</v>
      </c>
      <c r="Z220" s="15">
        <f t="shared" ca="1" si="213"/>
        <v>3.6460201846345561</v>
      </c>
      <c r="AA220" s="98">
        <f t="shared" ca="1" si="214"/>
        <v>1</v>
      </c>
      <c r="AB220" s="128">
        <f ca="1">IF(AA220&gt;0,28,0)</f>
        <v>28</v>
      </c>
      <c r="AC220" s="128">
        <f t="shared" ca="1" si="215"/>
        <v>784</v>
      </c>
      <c r="AD220" s="15">
        <f t="shared" ca="1" si="216"/>
        <v>102.08856516976758</v>
      </c>
      <c r="AE220" s="127">
        <f t="shared" ca="1" si="217"/>
        <v>3.6983901224695162</v>
      </c>
      <c r="AF220" s="127">
        <f t="shared" ca="1" si="251"/>
        <v>40.382241539248106</v>
      </c>
      <c r="AH220" s="121">
        <f t="shared" si="218"/>
        <v>45108</v>
      </c>
      <c r="AI220" s="73">
        <f t="shared" ca="1" si="219"/>
        <v>41.406584482410494</v>
      </c>
      <c r="AJ220" s="15">
        <f t="shared" ca="1" si="220"/>
        <v>3.7234399136537317</v>
      </c>
      <c r="AK220" s="98">
        <f t="shared" ca="1" si="221"/>
        <v>1</v>
      </c>
      <c r="AL220" s="128">
        <f ca="1">IF(AK220&gt;0,28,0)</f>
        <v>28</v>
      </c>
      <c r="AM220" s="128">
        <f t="shared" ca="1" si="222"/>
        <v>784</v>
      </c>
      <c r="AN220" s="15">
        <f t="shared" ca="1" si="223"/>
        <v>104.25631758230449</v>
      </c>
      <c r="AO220" s="127">
        <f t="shared" ca="1" si="224"/>
        <v>3.717381908543667</v>
      </c>
      <c r="AP220" s="127">
        <f t="shared" ca="1" si="252"/>
        <v>41.156501448997759</v>
      </c>
      <c r="AR220" s="121">
        <f t="shared" si="225"/>
        <v>45108</v>
      </c>
      <c r="AS220" s="73">
        <f t="shared" ca="1" si="257"/>
        <v>41.406584482410494</v>
      </c>
      <c r="AT220" s="15">
        <f t="shared" ca="1" si="226"/>
        <v>3.7234399136537317</v>
      </c>
      <c r="AU220" s="98">
        <f t="shared" ca="1" si="227"/>
        <v>1</v>
      </c>
      <c r="AV220" s="128">
        <f ca="1">IF(AU220&gt;0,28,0)</f>
        <v>28</v>
      </c>
      <c r="AW220" s="128">
        <f t="shared" ca="1" si="228"/>
        <v>784</v>
      </c>
      <c r="AX220" s="15">
        <f t="shared" ca="1" si="229"/>
        <v>104.25631758230449</v>
      </c>
      <c r="AY220" s="127">
        <f t="shared" ca="1" si="230"/>
        <v>3.5917042425913404</v>
      </c>
      <c r="AZ220" s="127">
        <f t="shared" ca="1" si="253"/>
        <v>36.295880231733982</v>
      </c>
      <c r="BB220" s="121">
        <f t="shared" si="231"/>
        <v>45108</v>
      </c>
      <c r="BC220" s="73">
        <f t="shared" ca="1" si="258"/>
        <v>41.406584482410494</v>
      </c>
      <c r="BD220" s="15">
        <f t="shared" ca="1" si="232"/>
        <v>3.7234399136537317</v>
      </c>
      <c r="BE220" s="98">
        <f t="shared" ca="1" si="233"/>
        <v>1</v>
      </c>
      <c r="BF220" s="128">
        <f ca="1">IF(BE220&gt;0,28,0)</f>
        <v>28</v>
      </c>
      <c r="BG220" s="128">
        <f t="shared" ca="1" si="234"/>
        <v>784</v>
      </c>
      <c r="BH220" s="15">
        <f t="shared" ca="1" si="235"/>
        <v>104.25631758230449</v>
      </c>
      <c r="BI220" s="127">
        <f t="shared" ca="1" si="236"/>
        <v>3.6568373206354861</v>
      </c>
      <c r="BJ220" s="127">
        <f t="shared" ca="1" si="254"/>
        <v>38.738631055505664</v>
      </c>
      <c r="BL220" s="121">
        <f t="shared" si="237"/>
        <v>45108</v>
      </c>
      <c r="BM220" s="73">
        <f t="shared" ca="1" si="259"/>
        <v>41.406584482410494</v>
      </c>
      <c r="BN220" s="15">
        <f t="shared" ca="1" si="238"/>
        <v>3.7234399136537317</v>
      </c>
      <c r="BO220" s="98">
        <f t="shared" ca="1" si="239"/>
        <v>1</v>
      </c>
      <c r="BP220" s="128">
        <f ca="1">IF(BO220&gt;0,28,0)</f>
        <v>28</v>
      </c>
      <c r="BQ220" s="128">
        <f t="shared" ca="1" si="240"/>
        <v>784</v>
      </c>
      <c r="BR220" s="15">
        <f t="shared" ca="1" si="241"/>
        <v>104.25631758230449</v>
      </c>
      <c r="BS220" s="127">
        <f t="shared" ca="1" si="242"/>
        <v>3.5459584216918016</v>
      </c>
      <c r="BT220" s="127">
        <f t="shared" ca="1" si="255"/>
        <v>34.672900682698888</v>
      </c>
      <c r="BZ220" s="583">
        <f t="shared" si="243"/>
        <v>1</v>
      </c>
      <c r="CA220" s="121">
        <f t="shared" si="244"/>
        <v>45108</v>
      </c>
      <c r="CB220" s="127">
        <f t="shared" ca="1" si="245"/>
        <v>41.406584482410494</v>
      </c>
      <c r="CC220" s="15">
        <f t="shared" ca="1" si="246"/>
        <v>3.7234399136537317</v>
      </c>
      <c r="CD220" s="98">
        <f t="shared" ca="1" si="247"/>
        <v>1</v>
      </c>
      <c r="CE220" s="128">
        <f ca="1">IF(CD220&gt;0,28,0)</f>
        <v>28</v>
      </c>
      <c r="CF220" s="128">
        <f t="shared" ca="1" si="248"/>
        <v>784</v>
      </c>
      <c r="CG220" s="15">
        <f t="shared" ca="1" si="249"/>
        <v>104.25631758230449</v>
      </c>
      <c r="CH220" s="127">
        <f t="shared" ca="1" si="250"/>
        <v>3.6019236849906249</v>
      </c>
      <c r="CI220" s="127">
        <f t="shared" ca="1" si="256"/>
        <v>36.66870567845703</v>
      </c>
    </row>
    <row r="221" spans="24:87" x14ac:dyDescent="0.2">
      <c r="X221" s="121">
        <f t="shared" si="211"/>
        <v>45139</v>
      </c>
      <c r="Y221" s="73">
        <f t="shared" ca="1" si="212"/>
        <v>43.908844442170953</v>
      </c>
      <c r="Z221" s="15">
        <f t="shared" ca="1" si="213"/>
        <v>3.7821157677201889</v>
      </c>
      <c r="AA221" s="98">
        <f t="shared" ca="1" si="214"/>
        <v>1</v>
      </c>
      <c r="AB221" s="128">
        <f ca="1">IF(AA221&gt;0,29,0)</f>
        <v>29</v>
      </c>
      <c r="AC221" s="128">
        <f t="shared" ca="1" si="215"/>
        <v>841</v>
      </c>
      <c r="AD221" s="15">
        <f t="shared" ca="1" si="216"/>
        <v>109.68135726388547</v>
      </c>
      <c r="AE221" s="127">
        <f t="shared" ca="1" si="217"/>
        <v>3.6983901224695162</v>
      </c>
      <c r="AF221" s="127">
        <f t="shared" ca="1" si="251"/>
        <v>40.382241539248106</v>
      </c>
      <c r="AH221" s="121">
        <f t="shared" si="218"/>
        <v>45139</v>
      </c>
      <c r="AI221" s="73">
        <f t="shared" ca="1" si="219"/>
        <v>41.715835758736723</v>
      </c>
      <c r="AJ221" s="15">
        <f t="shared" ca="1" si="220"/>
        <v>3.7308808111224576</v>
      </c>
      <c r="AK221" s="98">
        <f t="shared" ca="1" si="221"/>
        <v>1</v>
      </c>
      <c r="AL221" s="128">
        <f ca="1">IF(AK221&gt;0,29,0)</f>
        <v>29</v>
      </c>
      <c r="AM221" s="128">
        <f t="shared" ca="1" si="222"/>
        <v>841</v>
      </c>
      <c r="AN221" s="15">
        <f t="shared" ca="1" si="223"/>
        <v>108.19554352255128</v>
      </c>
      <c r="AO221" s="127">
        <f t="shared" ca="1" si="224"/>
        <v>3.717381908543667</v>
      </c>
      <c r="AP221" s="127">
        <f t="shared" ca="1" si="252"/>
        <v>41.156501448997759</v>
      </c>
      <c r="AR221" s="121">
        <f t="shared" si="225"/>
        <v>45139</v>
      </c>
      <c r="AS221" s="73">
        <f t="shared" ca="1" si="257"/>
        <v>41.715835758736723</v>
      </c>
      <c r="AT221" s="15">
        <f t="shared" ca="1" si="226"/>
        <v>3.7308808111224576</v>
      </c>
      <c r="AU221" s="98">
        <f t="shared" ca="1" si="227"/>
        <v>1</v>
      </c>
      <c r="AV221" s="128">
        <f ca="1">IF(AU221&gt;0,29,0)</f>
        <v>29</v>
      </c>
      <c r="AW221" s="128">
        <f t="shared" ca="1" si="228"/>
        <v>841</v>
      </c>
      <c r="AX221" s="15">
        <f t="shared" ca="1" si="229"/>
        <v>108.19554352255128</v>
      </c>
      <c r="AY221" s="127">
        <f t="shared" ca="1" si="230"/>
        <v>3.5917042425913404</v>
      </c>
      <c r="AZ221" s="127">
        <f t="shared" ca="1" si="253"/>
        <v>36.295880231733982</v>
      </c>
      <c r="BB221" s="121">
        <f t="shared" si="231"/>
        <v>45139</v>
      </c>
      <c r="BC221" s="73">
        <f t="shared" ca="1" si="258"/>
        <v>41.715835758736723</v>
      </c>
      <c r="BD221" s="15">
        <f t="shared" ca="1" si="232"/>
        <v>3.7308808111224576</v>
      </c>
      <c r="BE221" s="98">
        <f t="shared" ca="1" si="233"/>
        <v>1</v>
      </c>
      <c r="BF221" s="128">
        <f ca="1">IF(BE221&gt;0,29,0)</f>
        <v>29</v>
      </c>
      <c r="BG221" s="128">
        <f t="shared" ca="1" si="234"/>
        <v>841</v>
      </c>
      <c r="BH221" s="15">
        <f t="shared" ca="1" si="235"/>
        <v>108.19554352255128</v>
      </c>
      <c r="BI221" s="127">
        <f t="shared" ca="1" si="236"/>
        <v>3.6568373206354861</v>
      </c>
      <c r="BJ221" s="127">
        <f t="shared" ca="1" si="254"/>
        <v>38.738631055505664</v>
      </c>
      <c r="BL221" s="121">
        <f t="shared" si="237"/>
        <v>45139</v>
      </c>
      <c r="BM221" s="73">
        <f t="shared" ca="1" si="259"/>
        <v>41.715835758736723</v>
      </c>
      <c r="BN221" s="15">
        <f t="shared" ca="1" si="238"/>
        <v>3.7308808111224576</v>
      </c>
      <c r="BO221" s="98">
        <f t="shared" ca="1" si="239"/>
        <v>1</v>
      </c>
      <c r="BP221" s="128">
        <f ca="1">IF(BO221&gt;0,29,0)</f>
        <v>29</v>
      </c>
      <c r="BQ221" s="128">
        <f t="shared" ca="1" si="240"/>
        <v>841</v>
      </c>
      <c r="BR221" s="15">
        <f t="shared" ca="1" si="241"/>
        <v>108.19554352255128</v>
      </c>
      <c r="BS221" s="127">
        <f t="shared" ca="1" si="242"/>
        <v>3.5459584216918016</v>
      </c>
      <c r="BT221" s="127">
        <f t="shared" ca="1" si="255"/>
        <v>34.672900682698888</v>
      </c>
      <c r="BZ221" s="583">
        <f t="shared" si="243"/>
        <v>1</v>
      </c>
      <c r="CA221" s="121">
        <f t="shared" si="244"/>
        <v>45139</v>
      </c>
      <c r="CB221" s="127">
        <f t="shared" ca="1" si="245"/>
        <v>41.715835758736723</v>
      </c>
      <c r="CC221" s="15">
        <f t="shared" ca="1" si="246"/>
        <v>3.7308808111224576</v>
      </c>
      <c r="CD221" s="98">
        <f t="shared" ca="1" si="247"/>
        <v>1</v>
      </c>
      <c r="CE221" s="128">
        <f ca="1">IF(CD221&gt;0,29,0)</f>
        <v>29</v>
      </c>
      <c r="CF221" s="128">
        <f t="shared" ca="1" si="248"/>
        <v>841</v>
      </c>
      <c r="CG221" s="15">
        <f t="shared" ca="1" si="249"/>
        <v>108.19554352255128</v>
      </c>
      <c r="CH221" s="127">
        <f t="shared" ca="1" si="250"/>
        <v>3.6019236849906249</v>
      </c>
      <c r="CI221" s="127">
        <f t="shared" ca="1" si="256"/>
        <v>36.66870567845703</v>
      </c>
    </row>
    <row r="222" spans="24:87" x14ac:dyDescent="0.2">
      <c r="X222" s="121">
        <f t="shared" si="211"/>
        <v>45170</v>
      </c>
      <c r="Y222" s="73">
        <f t="shared" ca="1" si="212"/>
        <v>39.63601951304247</v>
      </c>
      <c r="Z222" s="15">
        <f t="shared" ca="1" si="213"/>
        <v>3.6797382885025787</v>
      </c>
      <c r="AA222" s="98">
        <f t="shared" ca="1" si="214"/>
        <v>1</v>
      </c>
      <c r="AB222" s="128">
        <f ca="1">IF(AA222&gt;0,30,0)</f>
        <v>30</v>
      </c>
      <c r="AC222" s="128">
        <f t="shared" ca="1" si="215"/>
        <v>900</v>
      </c>
      <c r="AD222" s="15">
        <f t="shared" ca="1" si="216"/>
        <v>110.39214865507736</v>
      </c>
      <c r="AE222" s="127">
        <f t="shared" ca="1" si="217"/>
        <v>3.6983901224695162</v>
      </c>
      <c r="AF222" s="127">
        <f t="shared" ca="1" si="251"/>
        <v>40.382241539248106</v>
      </c>
      <c r="AH222" s="121">
        <f t="shared" si="218"/>
        <v>45170</v>
      </c>
      <c r="AI222" s="73">
        <f t="shared" ca="1" si="219"/>
        <v>41.510183064828567</v>
      </c>
      <c r="AJ222" s="15">
        <f t="shared" ca="1" si="220"/>
        <v>3.7259387721932273</v>
      </c>
      <c r="AK222" s="98">
        <f t="shared" ca="1" si="221"/>
        <v>1</v>
      </c>
      <c r="AL222" s="128">
        <f ca="1">IF(AK222&gt;0,30,0)</f>
        <v>30</v>
      </c>
      <c r="AM222" s="128">
        <f t="shared" ca="1" si="222"/>
        <v>900</v>
      </c>
      <c r="AN222" s="15">
        <f t="shared" ca="1" si="223"/>
        <v>111.77816316579683</v>
      </c>
      <c r="AO222" s="127">
        <f t="shared" ca="1" si="224"/>
        <v>3.717381908543667</v>
      </c>
      <c r="AP222" s="127">
        <f t="shared" ca="1" si="252"/>
        <v>41.156501448997759</v>
      </c>
      <c r="AR222" s="121">
        <f t="shared" si="225"/>
        <v>45170</v>
      </c>
      <c r="AS222" s="73">
        <f t="shared" ca="1" si="257"/>
        <v>41.510183064828567</v>
      </c>
      <c r="AT222" s="15">
        <f t="shared" ca="1" si="226"/>
        <v>3.7259387721932273</v>
      </c>
      <c r="AU222" s="98">
        <f t="shared" ca="1" si="227"/>
        <v>1</v>
      </c>
      <c r="AV222" s="128">
        <f ca="1">IF(AU222&gt;0,30,0)</f>
        <v>30</v>
      </c>
      <c r="AW222" s="128">
        <f t="shared" ca="1" si="228"/>
        <v>900</v>
      </c>
      <c r="AX222" s="15">
        <f t="shared" ca="1" si="229"/>
        <v>111.77816316579683</v>
      </c>
      <c r="AY222" s="127">
        <f t="shared" ca="1" si="230"/>
        <v>3.5917042425913404</v>
      </c>
      <c r="AZ222" s="127">
        <f t="shared" ca="1" si="253"/>
        <v>36.295880231733982</v>
      </c>
      <c r="BB222" s="121">
        <f t="shared" si="231"/>
        <v>45170</v>
      </c>
      <c r="BC222" s="73">
        <f t="shared" ca="1" si="258"/>
        <v>41.510183064828567</v>
      </c>
      <c r="BD222" s="15">
        <f t="shared" ca="1" si="232"/>
        <v>3.7259387721932273</v>
      </c>
      <c r="BE222" s="98">
        <f t="shared" ca="1" si="233"/>
        <v>1</v>
      </c>
      <c r="BF222" s="128">
        <f ca="1">IF(BE222&gt;0,30,0)</f>
        <v>30</v>
      </c>
      <c r="BG222" s="128">
        <f t="shared" ca="1" si="234"/>
        <v>900</v>
      </c>
      <c r="BH222" s="15">
        <f t="shared" ca="1" si="235"/>
        <v>111.77816316579683</v>
      </c>
      <c r="BI222" s="127">
        <f t="shared" ca="1" si="236"/>
        <v>3.6568373206354861</v>
      </c>
      <c r="BJ222" s="127">
        <f t="shared" ca="1" si="254"/>
        <v>38.738631055505664</v>
      </c>
      <c r="BL222" s="121">
        <f t="shared" si="237"/>
        <v>45170</v>
      </c>
      <c r="BM222" s="73">
        <f t="shared" ca="1" si="259"/>
        <v>41.510183064828567</v>
      </c>
      <c r="BN222" s="15">
        <f t="shared" ca="1" si="238"/>
        <v>3.7259387721932273</v>
      </c>
      <c r="BO222" s="98">
        <f t="shared" ca="1" si="239"/>
        <v>1</v>
      </c>
      <c r="BP222" s="128">
        <f ca="1">IF(BO222&gt;0,30,0)</f>
        <v>30</v>
      </c>
      <c r="BQ222" s="128">
        <f t="shared" ca="1" si="240"/>
        <v>900</v>
      </c>
      <c r="BR222" s="15">
        <f t="shared" ca="1" si="241"/>
        <v>111.77816316579683</v>
      </c>
      <c r="BS222" s="127">
        <f t="shared" ca="1" si="242"/>
        <v>3.5459584216918016</v>
      </c>
      <c r="BT222" s="127">
        <f t="shared" ca="1" si="255"/>
        <v>34.672900682698888</v>
      </c>
      <c r="BZ222" s="583">
        <f t="shared" si="243"/>
        <v>1</v>
      </c>
      <c r="CA222" s="121">
        <f t="shared" si="244"/>
        <v>45170</v>
      </c>
      <c r="CB222" s="127">
        <f t="shared" ca="1" si="245"/>
        <v>41.510183064828567</v>
      </c>
      <c r="CC222" s="15">
        <f t="shared" ca="1" si="246"/>
        <v>3.7259387721932273</v>
      </c>
      <c r="CD222" s="98">
        <f t="shared" ca="1" si="247"/>
        <v>1</v>
      </c>
      <c r="CE222" s="128">
        <f ca="1">IF(CD222&gt;0,30,0)</f>
        <v>30</v>
      </c>
      <c r="CF222" s="128">
        <f t="shared" ca="1" si="248"/>
        <v>900</v>
      </c>
      <c r="CG222" s="15">
        <f t="shared" ca="1" si="249"/>
        <v>111.77816316579683</v>
      </c>
      <c r="CH222" s="127">
        <f t="shared" ca="1" si="250"/>
        <v>3.6019236849906249</v>
      </c>
      <c r="CI222" s="127">
        <f t="shared" ca="1" si="256"/>
        <v>36.66870567845703</v>
      </c>
    </row>
    <row r="223" spans="24:87" x14ac:dyDescent="0.2">
      <c r="X223" s="121">
        <f t="shared" si="211"/>
        <v>45200</v>
      </c>
      <c r="Y223" s="73">
        <f t="shared" ca="1" si="212"/>
        <v>45.354256209484092</v>
      </c>
      <c r="Z223" s="15">
        <f t="shared" ca="1" si="213"/>
        <v>3.8145040246266078</v>
      </c>
      <c r="AA223" s="98">
        <f t="shared" ca="1" si="214"/>
        <v>1</v>
      </c>
      <c r="AB223" s="128">
        <f ca="1">IF(AA223&gt;0,31,0)</f>
        <v>31</v>
      </c>
      <c r="AC223" s="128">
        <f t="shared" ca="1" si="215"/>
        <v>961</v>
      </c>
      <c r="AD223" s="15">
        <f t="shared" ca="1" si="216"/>
        <v>118.24962476342483</v>
      </c>
      <c r="AE223" s="127">
        <f t="shared" ca="1" si="217"/>
        <v>3.6983901224695162</v>
      </c>
      <c r="AF223" s="127">
        <f t="shared" ca="1" si="251"/>
        <v>40.382241539248106</v>
      </c>
      <c r="AH223" s="121">
        <f t="shared" si="218"/>
        <v>45200</v>
      </c>
      <c r="AI223" s="73">
        <f t="shared" ca="1" si="219"/>
        <v>41.299326223385044</v>
      </c>
      <c r="AJ223" s="15">
        <f t="shared" ca="1" si="220"/>
        <v>3.7208461856301569</v>
      </c>
      <c r="AK223" s="98">
        <f t="shared" ca="1" si="221"/>
        <v>1</v>
      </c>
      <c r="AL223" s="128">
        <f ca="1">IF(AK223&gt;0,31,0)</f>
        <v>31</v>
      </c>
      <c r="AM223" s="128">
        <f t="shared" ca="1" si="222"/>
        <v>961</v>
      </c>
      <c r="AN223" s="15">
        <f t="shared" ca="1" si="223"/>
        <v>115.34623175453487</v>
      </c>
      <c r="AO223" s="127">
        <f t="shared" ca="1" si="224"/>
        <v>3.717381908543667</v>
      </c>
      <c r="AP223" s="127">
        <f t="shared" ca="1" si="252"/>
        <v>41.156501448997759</v>
      </c>
      <c r="AR223" s="121">
        <f t="shared" si="225"/>
        <v>45200</v>
      </c>
      <c r="AS223" s="73">
        <f t="shared" ca="1" si="257"/>
        <v>41.299326223385044</v>
      </c>
      <c r="AT223" s="15">
        <f t="shared" ca="1" si="226"/>
        <v>3.7208461856301569</v>
      </c>
      <c r="AU223" s="98">
        <f t="shared" ca="1" si="227"/>
        <v>1</v>
      </c>
      <c r="AV223" s="128">
        <f ca="1">IF(AU223&gt;0,31,0)</f>
        <v>31</v>
      </c>
      <c r="AW223" s="128">
        <f t="shared" ca="1" si="228"/>
        <v>961</v>
      </c>
      <c r="AX223" s="15">
        <f t="shared" ca="1" si="229"/>
        <v>115.34623175453487</v>
      </c>
      <c r="AY223" s="127">
        <f t="shared" ca="1" si="230"/>
        <v>3.5917042425913404</v>
      </c>
      <c r="AZ223" s="127">
        <f t="shared" ca="1" si="253"/>
        <v>36.295880231733982</v>
      </c>
      <c r="BB223" s="121">
        <f t="shared" si="231"/>
        <v>45200</v>
      </c>
      <c r="BC223" s="73">
        <f t="shared" ca="1" si="258"/>
        <v>41.299326223385044</v>
      </c>
      <c r="BD223" s="15">
        <f t="shared" ca="1" si="232"/>
        <v>3.7208461856301569</v>
      </c>
      <c r="BE223" s="98">
        <f t="shared" ca="1" si="233"/>
        <v>1</v>
      </c>
      <c r="BF223" s="128">
        <f ca="1">IF(BE223&gt;0,31,0)</f>
        <v>31</v>
      </c>
      <c r="BG223" s="128">
        <f t="shared" ca="1" si="234"/>
        <v>961</v>
      </c>
      <c r="BH223" s="15">
        <f t="shared" ca="1" si="235"/>
        <v>115.34623175453487</v>
      </c>
      <c r="BI223" s="127">
        <f t="shared" ca="1" si="236"/>
        <v>3.6568373206354861</v>
      </c>
      <c r="BJ223" s="127">
        <f t="shared" ca="1" si="254"/>
        <v>38.738631055505664</v>
      </c>
      <c r="BL223" s="121">
        <f t="shared" si="237"/>
        <v>45200</v>
      </c>
      <c r="BM223" s="73">
        <f t="shared" ca="1" si="259"/>
        <v>41.299326223385044</v>
      </c>
      <c r="BN223" s="15">
        <f t="shared" ca="1" si="238"/>
        <v>3.7208461856301569</v>
      </c>
      <c r="BO223" s="98">
        <f t="shared" ca="1" si="239"/>
        <v>1</v>
      </c>
      <c r="BP223" s="128">
        <f ca="1">IF(BO223&gt;0,31,0)</f>
        <v>31</v>
      </c>
      <c r="BQ223" s="128">
        <f t="shared" ca="1" si="240"/>
        <v>961</v>
      </c>
      <c r="BR223" s="15">
        <f t="shared" ca="1" si="241"/>
        <v>115.34623175453487</v>
      </c>
      <c r="BS223" s="127">
        <f t="shared" ca="1" si="242"/>
        <v>3.5459584216918016</v>
      </c>
      <c r="BT223" s="127">
        <f t="shared" ca="1" si="255"/>
        <v>34.672900682698888</v>
      </c>
      <c r="BZ223" s="583">
        <f t="shared" si="243"/>
        <v>1</v>
      </c>
      <c r="CA223" s="121">
        <f t="shared" si="244"/>
        <v>45200</v>
      </c>
      <c r="CB223" s="127">
        <f t="shared" ca="1" si="245"/>
        <v>41.299326223385044</v>
      </c>
      <c r="CC223" s="15">
        <f t="shared" ca="1" si="246"/>
        <v>3.7208461856301569</v>
      </c>
      <c r="CD223" s="98">
        <f t="shared" ca="1" si="247"/>
        <v>1</v>
      </c>
      <c r="CE223" s="128">
        <f ca="1">IF(CD223&gt;0,31,0)</f>
        <v>31</v>
      </c>
      <c r="CF223" s="128">
        <f t="shared" ca="1" si="248"/>
        <v>961</v>
      </c>
      <c r="CG223" s="15">
        <f t="shared" ca="1" si="249"/>
        <v>115.34623175453487</v>
      </c>
      <c r="CH223" s="127">
        <f t="shared" ca="1" si="250"/>
        <v>3.6019236849906249</v>
      </c>
      <c r="CI223" s="127">
        <f t="shared" ca="1" si="256"/>
        <v>36.66870567845703</v>
      </c>
    </row>
    <row r="224" spans="24:87" x14ac:dyDescent="0.2">
      <c r="X224" s="121">
        <f t="shared" si="211"/>
        <v>45231</v>
      </c>
      <c r="Y224" s="73">
        <f t="shared" ca="1" si="212"/>
        <v>42.107491445560107</v>
      </c>
      <c r="Z224" s="15">
        <f t="shared" ca="1" si="213"/>
        <v>3.7402256689332285</v>
      </c>
      <c r="AA224" s="98">
        <f t="shared" ca="1" si="214"/>
        <v>1</v>
      </c>
      <c r="AB224" s="128">
        <f ca="1">IF(AA224&gt;0,32,0)</f>
        <v>32</v>
      </c>
      <c r="AC224" s="128">
        <f t="shared" ca="1" si="215"/>
        <v>1024</v>
      </c>
      <c r="AD224" s="15">
        <f t="shared" ca="1" si="216"/>
        <v>119.68722140586331</v>
      </c>
      <c r="AE224" s="127">
        <f t="shared" ca="1" si="217"/>
        <v>3.6983901224695162</v>
      </c>
      <c r="AF224" s="127">
        <f t="shared" ca="1" si="251"/>
        <v>40.382241539248106</v>
      </c>
      <c r="AH224" s="121">
        <f t="shared" si="218"/>
        <v>45231</v>
      </c>
      <c r="AI224" s="73">
        <f t="shared" ca="1" si="219"/>
        <v>40.237972508640247</v>
      </c>
      <c r="AJ224" s="15">
        <f t="shared" ca="1" si="220"/>
        <v>3.6948111395479692</v>
      </c>
      <c r="AK224" s="98">
        <f t="shared" ca="1" si="221"/>
        <v>1</v>
      </c>
      <c r="AL224" s="128">
        <f ca="1">IF(AK224&gt;0,32,0)</f>
        <v>32</v>
      </c>
      <c r="AM224" s="128">
        <f t="shared" ca="1" si="222"/>
        <v>1024</v>
      </c>
      <c r="AN224" s="15">
        <f t="shared" ca="1" si="223"/>
        <v>118.23395646553502</v>
      </c>
      <c r="AO224" s="127">
        <f t="shared" ca="1" si="224"/>
        <v>3.717381908543667</v>
      </c>
      <c r="AP224" s="127">
        <f t="shared" ca="1" si="252"/>
        <v>41.156501448997759</v>
      </c>
      <c r="AR224" s="121">
        <f t="shared" si="225"/>
        <v>45231</v>
      </c>
      <c r="AS224" s="73">
        <f t="shared" ca="1" si="257"/>
        <v>40.237972508640247</v>
      </c>
      <c r="AT224" s="15">
        <f t="shared" ca="1" si="226"/>
        <v>3.6948111395479692</v>
      </c>
      <c r="AU224" s="98">
        <f t="shared" ca="1" si="227"/>
        <v>1</v>
      </c>
      <c r="AV224" s="128">
        <f ca="1">IF(AU224&gt;0,32,0)</f>
        <v>32</v>
      </c>
      <c r="AW224" s="128">
        <f t="shared" ca="1" si="228"/>
        <v>1024</v>
      </c>
      <c r="AX224" s="15">
        <f t="shared" ca="1" si="229"/>
        <v>118.23395646553502</v>
      </c>
      <c r="AY224" s="127">
        <f t="shared" ca="1" si="230"/>
        <v>3.5917042425913404</v>
      </c>
      <c r="AZ224" s="127">
        <f t="shared" ca="1" si="253"/>
        <v>36.295880231733982</v>
      </c>
      <c r="BB224" s="121">
        <f t="shared" si="231"/>
        <v>45231</v>
      </c>
      <c r="BC224" s="73">
        <f t="shared" ca="1" si="258"/>
        <v>40.237972508640247</v>
      </c>
      <c r="BD224" s="15">
        <f t="shared" ca="1" si="232"/>
        <v>3.6948111395479692</v>
      </c>
      <c r="BE224" s="98">
        <f t="shared" ca="1" si="233"/>
        <v>1</v>
      </c>
      <c r="BF224" s="128">
        <f ca="1">IF(BE224&gt;0,32,0)</f>
        <v>32</v>
      </c>
      <c r="BG224" s="128">
        <f t="shared" ca="1" si="234"/>
        <v>1024</v>
      </c>
      <c r="BH224" s="15">
        <f t="shared" ca="1" si="235"/>
        <v>118.23395646553502</v>
      </c>
      <c r="BI224" s="127">
        <f t="shared" ca="1" si="236"/>
        <v>3.6568373206354861</v>
      </c>
      <c r="BJ224" s="127">
        <f t="shared" ca="1" si="254"/>
        <v>38.738631055505664</v>
      </c>
      <c r="BL224" s="121">
        <f t="shared" si="237"/>
        <v>45231</v>
      </c>
      <c r="BM224" s="73">
        <f t="shared" ca="1" si="259"/>
        <v>40.237972508640247</v>
      </c>
      <c r="BN224" s="15">
        <f t="shared" ca="1" si="238"/>
        <v>3.6948111395479692</v>
      </c>
      <c r="BO224" s="98">
        <f t="shared" ca="1" si="239"/>
        <v>1</v>
      </c>
      <c r="BP224" s="128">
        <f ca="1">IF(BO224&gt;0,32,0)</f>
        <v>32</v>
      </c>
      <c r="BQ224" s="128">
        <f t="shared" ca="1" si="240"/>
        <v>1024</v>
      </c>
      <c r="BR224" s="15">
        <f t="shared" ca="1" si="241"/>
        <v>118.23395646553502</v>
      </c>
      <c r="BS224" s="127">
        <f t="shared" ca="1" si="242"/>
        <v>3.5459584216918016</v>
      </c>
      <c r="BT224" s="127">
        <f t="shared" ca="1" si="255"/>
        <v>34.672900682698888</v>
      </c>
      <c r="BZ224" s="583">
        <f t="shared" si="243"/>
        <v>0</v>
      </c>
      <c r="CA224" s="121">
        <f t="shared" si="244"/>
        <v>45231</v>
      </c>
      <c r="CB224" s="127">
        <f t="shared" ca="1" si="245"/>
        <v>0</v>
      </c>
      <c r="CC224" s="15">
        <f t="shared" ca="1" si="246"/>
        <v>0</v>
      </c>
      <c r="CD224" s="98">
        <f t="shared" ca="1" si="247"/>
        <v>0</v>
      </c>
      <c r="CE224" s="128">
        <f ca="1">IF(CD224&gt;0,32,0)</f>
        <v>0</v>
      </c>
      <c r="CF224" s="128">
        <f t="shared" ca="1" si="248"/>
        <v>0</v>
      </c>
      <c r="CG224" s="15">
        <f t="shared" ca="1" si="249"/>
        <v>0</v>
      </c>
      <c r="CH224" s="127">
        <f t="shared" ca="1" si="250"/>
        <v>3.6019236849906249</v>
      </c>
      <c r="CI224" s="127">
        <f t="shared" ca="1" si="256"/>
        <v>36.66870567845703</v>
      </c>
    </row>
    <row r="225" spans="24:87" x14ac:dyDescent="0.2">
      <c r="X225" s="121">
        <f t="shared" si="211"/>
        <v>45261</v>
      </c>
      <c r="Y225" s="73">
        <f t="shared" ca="1" si="212"/>
        <v>39.732638501839261</v>
      </c>
      <c r="Z225" s="15">
        <f t="shared" ca="1" si="213"/>
        <v>3.6821729784404167</v>
      </c>
      <c r="AA225" s="98">
        <f t="shared" ca="1" si="214"/>
        <v>1</v>
      </c>
      <c r="AB225" s="128">
        <f ca="1">IF(AA225&gt;0,33,0)</f>
        <v>33</v>
      </c>
      <c r="AC225" s="128">
        <f t="shared" ca="1" si="215"/>
        <v>1089</v>
      </c>
      <c r="AD225" s="15">
        <f t="shared" ca="1" si="216"/>
        <v>121.51170828853375</v>
      </c>
      <c r="AE225" s="127">
        <f t="shared" ca="1" si="217"/>
        <v>3.6983901224695162</v>
      </c>
      <c r="AF225" s="127">
        <f t="shared" ca="1" si="251"/>
        <v>40.382241539248106</v>
      </c>
      <c r="AH225" s="121">
        <f t="shared" si="218"/>
        <v>45261</v>
      </c>
      <c r="AI225" s="73">
        <f t="shared" ca="1" si="219"/>
        <v>40.606969054338499</v>
      </c>
      <c r="AJ225" s="15">
        <f t="shared" ca="1" si="220"/>
        <v>3.7039397034619315</v>
      </c>
      <c r="AK225" s="98">
        <f t="shared" ca="1" si="221"/>
        <v>1</v>
      </c>
      <c r="AL225" s="128">
        <f ca="1">IF(AK225&gt;0,33,0)</f>
        <v>33</v>
      </c>
      <c r="AM225" s="128">
        <f t="shared" ca="1" si="222"/>
        <v>1089</v>
      </c>
      <c r="AN225" s="15">
        <f t="shared" ca="1" si="223"/>
        <v>122.23001021424373</v>
      </c>
      <c r="AO225" s="127">
        <f t="shared" ca="1" si="224"/>
        <v>3.717381908543667</v>
      </c>
      <c r="AP225" s="127">
        <f t="shared" ca="1" si="252"/>
        <v>41.156501448997759</v>
      </c>
      <c r="AR225" s="121">
        <f t="shared" si="225"/>
        <v>45261</v>
      </c>
      <c r="AS225" s="73">
        <f t="shared" ca="1" si="257"/>
        <v>40.606969054338499</v>
      </c>
      <c r="AT225" s="15">
        <f t="shared" ca="1" si="226"/>
        <v>3.7039397034619315</v>
      </c>
      <c r="AU225" s="98">
        <f t="shared" ca="1" si="227"/>
        <v>1</v>
      </c>
      <c r="AV225" s="128">
        <f ca="1">IF(AU225&gt;0,33,0)</f>
        <v>33</v>
      </c>
      <c r="AW225" s="128">
        <f t="shared" ca="1" si="228"/>
        <v>1089</v>
      </c>
      <c r="AX225" s="15">
        <f t="shared" ca="1" si="229"/>
        <v>122.23001021424373</v>
      </c>
      <c r="AY225" s="127">
        <f t="shared" ca="1" si="230"/>
        <v>3.5917042425913404</v>
      </c>
      <c r="AZ225" s="127">
        <f t="shared" ca="1" si="253"/>
        <v>36.295880231733982</v>
      </c>
      <c r="BB225" s="121">
        <f t="shared" si="231"/>
        <v>45261</v>
      </c>
      <c r="BC225" s="73">
        <f t="shared" ca="1" si="258"/>
        <v>40.606969054338499</v>
      </c>
      <c r="BD225" s="15">
        <f t="shared" ca="1" si="232"/>
        <v>3.7039397034619315</v>
      </c>
      <c r="BE225" s="98">
        <f t="shared" ca="1" si="233"/>
        <v>1</v>
      </c>
      <c r="BF225" s="128">
        <f ca="1">IF(BE225&gt;0,33,0)</f>
        <v>33</v>
      </c>
      <c r="BG225" s="128">
        <f t="shared" ca="1" si="234"/>
        <v>1089</v>
      </c>
      <c r="BH225" s="15">
        <f t="shared" ca="1" si="235"/>
        <v>122.23001021424373</v>
      </c>
      <c r="BI225" s="127">
        <f t="shared" ca="1" si="236"/>
        <v>3.6568373206354861</v>
      </c>
      <c r="BJ225" s="127">
        <f t="shared" ca="1" si="254"/>
        <v>38.738631055505664</v>
      </c>
      <c r="BL225" s="121">
        <f t="shared" si="237"/>
        <v>45261</v>
      </c>
      <c r="BM225" s="73">
        <f t="shared" ca="1" si="259"/>
        <v>40.606969054338499</v>
      </c>
      <c r="BN225" s="15">
        <f t="shared" ca="1" si="238"/>
        <v>3.7039397034619315</v>
      </c>
      <c r="BO225" s="98">
        <f t="shared" ca="1" si="239"/>
        <v>1</v>
      </c>
      <c r="BP225" s="128">
        <f ca="1">IF(BO225&gt;0,33,0)</f>
        <v>33</v>
      </c>
      <c r="BQ225" s="128">
        <f t="shared" ca="1" si="240"/>
        <v>1089</v>
      </c>
      <c r="BR225" s="15">
        <f t="shared" ca="1" si="241"/>
        <v>122.23001021424373</v>
      </c>
      <c r="BS225" s="127">
        <f t="shared" ca="1" si="242"/>
        <v>3.5459584216918016</v>
      </c>
      <c r="BT225" s="127">
        <f t="shared" ca="1" si="255"/>
        <v>34.672900682698888</v>
      </c>
      <c r="BZ225" s="583">
        <f t="shared" si="243"/>
        <v>0</v>
      </c>
      <c r="CA225" s="121">
        <f t="shared" si="244"/>
        <v>45261</v>
      </c>
      <c r="CB225" s="127">
        <f t="shared" ca="1" si="245"/>
        <v>0</v>
      </c>
      <c r="CC225" s="15">
        <f t="shared" ca="1" si="246"/>
        <v>0</v>
      </c>
      <c r="CD225" s="98">
        <f t="shared" ca="1" si="247"/>
        <v>0</v>
      </c>
      <c r="CE225" s="128">
        <f ca="1">IF(CD225&gt;0,33,0)</f>
        <v>0</v>
      </c>
      <c r="CF225" s="128">
        <f t="shared" ca="1" si="248"/>
        <v>0</v>
      </c>
      <c r="CG225" s="15">
        <f t="shared" ca="1" si="249"/>
        <v>0</v>
      </c>
      <c r="CH225" s="127">
        <f t="shared" ca="1" si="250"/>
        <v>3.6019236849906249</v>
      </c>
      <c r="CI225" s="127">
        <f t="shared" ca="1" si="256"/>
        <v>36.66870567845703</v>
      </c>
    </row>
    <row r="226" spans="24:87" x14ac:dyDescent="0.2">
      <c r="X226" s="121">
        <f t="shared" si="211"/>
        <v>45292</v>
      </c>
      <c r="Y226" s="73">
        <f t="shared" ca="1" si="212"/>
        <v>37.056707228213348</v>
      </c>
      <c r="Z226" s="15">
        <f t="shared" ca="1" si="213"/>
        <v>3.612449367158447</v>
      </c>
      <c r="AA226" s="98">
        <f t="shared" ca="1" si="214"/>
        <v>1</v>
      </c>
      <c r="AB226" s="128">
        <f ca="1">IF(AA226&gt;0,34,0)</f>
        <v>34</v>
      </c>
      <c r="AC226" s="128">
        <f t="shared" ca="1" si="215"/>
        <v>1156</v>
      </c>
      <c r="AD226" s="15">
        <f t="shared" ca="1" si="216"/>
        <v>122.8232784833872</v>
      </c>
      <c r="AE226" s="127">
        <f t="shared" ca="1" si="217"/>
        <v>3.6983901224695162</v>
      </c>
      <c r="AF226" s="127">
        <f t="shared" ca="1" si="251"/>
        <v>40.382241539248106</v>
      </c>
      <c r="AH226" s="121">
        <f t="shared" si="218"/>
        <v>45292</v>
      </c>
      <c r="AI226" s="73">
        <f t="shared" ca="1" si="219"/>
        <v>39.657511623309382</v>
      </c>
      <c r="AJ226" s="15">
        <f t="shared" ca="1" si="220"/>
        <v>3.680280378392768</v>
      </c>
      <c r="AK226" s="98">
        <f t="shared" ca="1" si="221"/>
        <v>1</v>
      </c>
      <c r="AL226" s="128">
        <f ca="1">IF(AK226&gt;0,34,0)</f>
        <v>34</v>
      </c>
      <c r="AM226" s="128">
        <f t="shared" ca="1" si="222"/>
        <v>1156</v>
      </c>
      <c r="AN226" s="15">
        <f t="shared" ca="1" si="223"/>
        <v>125.12953286535411</v>
      </c>
      <c r="AO226" s="127">
        <f t="shared" ca="1" si="224"/>
        <v>3.717381908543667</v>
      </c>
      <c r="AP226" s="127">
        <f t="shared" ca="1" si="252"/>
        <v>41.156501448997759</v>
      </c>
      <c r="AR226" s="121">
        <f t="shared" si="225"/>
        <v>45292</v>
      </c>
      <c r="AS226" s="73">
        <f t="shared" ca="1" si="257"/>
        <v>39.657511623309382</v>
      </c>
      <c r="AT226" s="15">
        <f t="shared" ca="1" si="226"/>
        <v>3.680280378392768</v>
      </c>
      <c r="AU226" s="98">
        <f t="shared" ca="1" si="227"/>
        <v>1</v>
      </c>
      <c r="AV226" s="128">
        <f ca="1">IF(AU226&gt;0,34,0)</f>
        <v>34</v>
      </c>
      <c r="AW226" s="128">
        <f t="shared" ca="1" si="228"/>
        <v>1156</v>
      </c>
      <c r="AX226" s="15">
        <f t="shared" ca="1" si="229"/>
        <v>125.12953286535411</v>
      </c>
      <c r="AY226" s="127">
        <f t="shared" ca="1" si="230"/>
        <v>3.5917042425913404</v>
      </c>
      <c r="AZ226" s="127">
        <f t="shared" ca="1" si="253"/>
        <v>36.295880231733982</v>
      </c>
      <c r="BB226" s="121">
        <f t="shared" si="231"/>
        <v>45292</v>
      </c>
      <c r="BC226" s="73">
        <f t="shared" ca="1" si="258"/>
        <v>39.657511623309382</v>
      </c>
      <c r="BD226" s="15">
        <f t="shared" ca="1" si="232"/>
        <v>3.680280378392768</v>
      </c>
      <c r="BE226" s="98">
        <f t="shared" ca="1" si="233"/>
        <v>1</v>
      </c>
      <c r="BF226" s="128">
        <f ca="1">IF(BE226&gt;0,34,0)</f>
        <v>34</v>
      </c>
      <c r="BG226" s="128">
        <f t="shared" ca="1" si="234"/>
        <v>1156</v>
      </c>
      <c r="BH226" s="15">
        <f t="shared" ca="1" si="235"/>
        <v>125.12953286535411</v>
      </c>
      <c r="BI226" s="127">
        <f t="shared" ca="1" si="236"/>
        <v>3.6568373206354861</v>
      </c>
      <c r="BJ226" s="127">
        <f t="shared" ca="1" si="254"/>
        <v>38.738631055505664</v>
      </c>
      <c r="BL226" s="121">
        <f t="shared" si="237"/>
        <v>45292</v>
      </c>
      <c r="BM226" s="73">
        <f t="shared" ca="1" si="259"/>
        <v>39.657511623309382</v>
      </c>
      <c r="BN226" s="15">
        <f t="shared" ca="1" si="238"/>
        <v>3.680280378392768</v>
      </c>
      <c r="BO226" s="98">
        <f t="shared" ca="1" si="239"/>
        <v>1</v>
      </c>
      <c r="BP226" s="128">
        <f ca="1">IF(BO226&gt;0,34,0)</f>
        <v>34</v>
      </c>
      <c r="BQ226" s="128">
        <f t="shared" ca="1" si="240"/>
        <v>1156</v>
      </c>
      <c r="BR226" s="15">
        <f t="shared" ca="1" si="241"/>
        <v>125.12953286535411</v>
      </c>
      <c r="BS226" s="127">
        <f t="shared" ca="1" si="242"/>
        <v>3.5459584216918016</v>
      </c>
      <c r="BT226" s="127">
        <f t="shared" ca="1" si="255"/>
        <v>34.672900682698888</v>
      </c>
      <c r="BZ226" s="583">
        <f t="shared" si="243"/>
        <v>0</v>
      </c>
      <c r="CA226" s="121">
        <f t="shared" si="244"/>
        <v>45292</v>
      </c>
      <c r="CB226" s="127">
        <f t="shared" ca="1" si="245"/>
        <v>0</v>
      </c>
      <c r="CC226" s="15">
        <f t="shared" ca="1" si="246"/>
        <v>0</v>
      </c>
      <c r="CD226" s="98">
        <f t="shared" ca="1" si="247"/>
        <v>0</v>
      </c>
      <c r="CE226" s="128">
        <f ca="1">IF(CD226&gt;0,34,0)</f>
        <v>0</v>
      </c>
      <c r="CF226" s="128">
        <f t="shared" ca="1" si="248"/>
        <v>0</v>
      </c>
      <c r="CG226" s="15">
        <f t="shared" ca="1" si="249"/>
        <v>0</v>
      </c>
      <c r="CH226" s="127">
        <f t="shared" ca="1" si="250"/>
        <v>3.6019236849906249</v>
      </c>
      <c r="CI226" s="127">
        <f t="shared" ca="1" si="256"/>
        <v>36.66870567845703</v>
      </c>
    </row>
    <row r="227" spans="24:87" x14ac:dyDescent="0.2">
      <c r="X227" s="121">
        <f t="shared" si="211"/>
        <v>45323</v>
      </c>
      <c r="Y227" s="73">
        <f t="shared" ca="1" si="212"/>
        <v>37.540722153702205</v>
      </c>
      <c r="Z227" s="15">
        <f t="shared" ca="1" si="213"/>
        <v>3.625426267886021</v>
      </c>
      <c r="AA227" s="98">
        <f t="shared" ca="1" si="214"/>
        <v>1</v>
      </c>
      <c r="AB227" s="128">
        <f ca="1">IF(AA227&gt;0,35,0)</f>
        <v>35</v>
      </c>
      <c r="AC227" s="128">
        <f t="shared" ca="1" si="215"/>
        <v>1225</v>
      </c>
      <c r="AD227" s="15">
        <f t="shared" ca="1" si="216"/>
        <v>126.88991937601074</v>
      </c>
      <c r="AE227" s="127">
        <f t="shared" ca="1" si="217"/>
        <v>3.6983901224695162</v>
      </c>
      <c r="AF227" s="127">
        <f t="shared" ca="1" si="251"/>
        <v>40.382241539248106</v>
      </c>
      <c r="AH227" s="121">
        <f t="shared" si="218"/>
        <v>45323</v>
      </c>
      <c r="AI227" s="131">
        <v>0</v>
      </c>
      <c r="AJ227" s="15">
        <f t="shared" si="220"/>
        <v>0</v>
      </c>
      <c r="AK227" s="98">
        <f t="shared" si="221"/>
        <v>0</v>
      </c>
      <c r="AL227" s="128">
        <f>IF(AK227&gt;0,35,0)</f>
        <v>0</v>
      </c>
      <c r="AM227" s="128">
        <f t="shared" si="222"/>
        <v>0</v>
      </c>
      <c r="AN227" s="15">
        <f t="shared" si="223"/>
        <v>0</v>
      </c>
      <c r="AO227" s="127">
        <f t="shared" ca="1" si="224"/>
        <v>3.717381908543667</v>
      </c>
      <c r="AP227" s="127">
        <f t="shared" ca="1" si="252"/>
        <v>41.156501448997759</v>
      </c>
      <c r="AR227" s="121">
        <f t="shared" si="225"/>
        <v>45323</v>
      </c>
      <c r="AS227" s="131">
        <v>0</v>
      </c>
      <c r="AT227" s="15">
        <f t="shared" si="226"/>
        <v>0</v>
      </c>
      <c r="AU227" s="98">
        <f t="shared" si="227"/>
        <v>0</v>
      </c>
      <c r="AV227" s="128">
        <f>IF(AU227&gt;0,35,0)</f>
        <v>0</v>
      </c>
      <c r="AW227" s="128">
        <f t="shared" si="228"/>
        <v>0</v>
      </c>
      <c r="AX227" s="15">
        <f t="shared" si="229"/>
        <v>0</v>
      </c>
      <c r="AY227" s="127">
        <f t="shared" ca="1" si="230"/>
        <v>3.5917042425913404</v>
      </c>
      <c r="AZ227" s="127">
        <f t="shared" ca="1" si="253"/>
        <v>36.295880231733982</v>
      </c>
      <c r="BB227" s="121">
        <f t="shared" si="231"/>
        <v>45323</v>
      </c>
      <c r="BC227" s="131">
        <v>0</v>
      </c>
      <c r="BD227" s="15">
        <f t="shared" si="232"/>
        <v>0</v>
      </c>
      <c r="BE227" s="98">
        <f t="shared" si="233"/>
        <v>0</v>
      </c>
      <c r="BF227" s="128">
        <f>IF(BE227&gt;0,35,0)</f>
        <v>0</v>
      </c>
      <c r="BG227" s="128">
        <f t="shared" si="234"/>
        <v>0</v>
      </c>
      <c r="BH227" s="15">
        <f t="shared" si="235"/>
        <v>0</v>
      </c>
      <c r="BI227" s="127">
        <f t="shared" ca="1" si="236"/>
        <v>3.6568373206354861</v>
      </c>
      <c r="BJ227" s="127">
        <f t="shared" ca="1" si="254"/>
        <v>38.738631055505664</v>
      </c>
      <c r="BL227" s="121">
        <f t="shared" si="237"/>
        <v>45323</v>
      </c>
      <c r="BM227" s="131">
        <v>0</v>
      </c>
      <c r="BN227" s="15">
        <f t="shared" si="238"/>
        <v>0</v>
      </c>
      <c r="BO227" s="98">
        <f t="shared" si="239"/>
        <v>0</v>
      </c>
      <c r="BP227" s="128">
        <f>IF(BO227&gt;0,35,0)</f>
        <v>0</v>
      </c>
      <c r="BQ227" s="128">
        <f t="shared" si="240"/>
        <v>0</v>
      </c>
      <c r="BR227" s="15">
        <f t="shared" si="241"/>
        <v>0</v>
      </c>
      <c r="BS227" s="127">
        <f t="shared" ca="1" si="242"/>
        <v>3.5459584216918016</v>
      </c>
      <c r="BT227" s="127">
        <f t="shared" ca="1" si="255"/>
        <v>34.672900682698888</v>
      </c>
      <c r="BZ227" s="583">
        <f t="shared" si="243"/>
        <v>0</v>
      </c>
      <c r="CA227" s="121">
        <f t="shared" si="244"/>
        <v>45323</v>
      </c>
      <c r="CB227" s="127">
        <f t="shared" ca="1" si="245"/>
        <v>0</v>
      </c>
      <c r="CC227" s="15">
        <f t="shared" ca="1" si="246"/>
        <v>0</v>
      </c>
      <c r="CD227" s="98">
        <f t="shared" ca="1" si="247"/>
        <v>0</v>
      </c>
      <c r="CE227" s="128">
        <f ca="1">IF(CD227&gt;0,35,0)</f>
        <v>0</v>
      </c>
      <c r="CF227" s="128">
        <f t="shared" ca="1" si="248"/>
        <v>0</v>
      </c>
      <c r="CG227" s="15">
        <f t="shared" ca="1" si="249"/>
        <v>0</v>
      </c>
      <c r="CH227" s="127">
        <f t="shared" ca="1" si="250"/>
        <v>3.6019236849906249</v>
      </c>
      <c r="CI227" s="127">
        <f t="shared" ca="1" si="256"/>
        <v>36.66870567845703</v>
      </c>
    </row>
    <row r="228" spans="24:87" x14ac:dyDescent="0.2">
      <c r="X228" s="121">
        <f t="shared" si="211"/>
        <v>45352</v>
      </c>
      <c r="Y228" s="73">
        <f t="shared" ca="1" si="212"/>
        <v>41.849998787231975</v>
      </c>
      <c r="Z228" s="15">
        <f t="shared" ca="1" si="213"/>
        <v>3.7340917679565586</v>
      </c>
      <c r="AA228" s="98">
        <f t="shared" ca="1" si="214"/>
        <v>1</v>
      </c>
      <c r="AB228" s="128">
        <f ca="1">IF(AA228&gt;0,36,0)</f>
        <v>36</v>
      </c>
      <c r="AC228" s="128">
        <f t="shared" ca="1" si="215"/>
        <v>1296</v>
      </c>
      <c r="AD228" s="15">
        <f t="shared" ca="1" si="216"/>
        <v>134.42730364643612</v>
      </c>
      <c r="AE228" s="127">
        <f t="shared" ca="1" si="217"/>
        <v>3.6983901224695162</v>
      </c>
      <c r="AF228" s="127">
        <f t="shared" ca="1" si="251"/>
        <v>40.382241539248106</v>
      </c>
      <c r="AH228" s="121">
        <f t="shared" si="218"/>
        <v>45352</v>
      </c>
      <c r="AI228" s="131">
        <v>0</v>
      </c>
      <c r="AJ228" s="15">
        <f t="shared" si="220"/>
        <v>0</v>
      </c>
      <c r="AK228" s="98">
        <f t="shared" si="221"/>
        <v>0</v>
      </c>
      <c r="AL228" s="128">
        <f>IF(AK228&gt;0,36,0)</f>
        <v>0</v>
      </c>
      <c r="AM228" s="128">
        <f t="shared" si="222"/>
        <v>0</v>
      </c>
      <c r="AN228" s="15">
        <f t="shared" si="223"/>
        <v>0</v>
      </c>
      <c r="AO228" s="127">
        <f t="shared" ca="1" si="224"/>
        <v>3.717381908543667</v>
      </c>
      <c r="AP228" s="127">
        <f t="shared" ca="1" si="252"/>
        <v>41.156501448997759</v>
      </c>
      <c r="AR228" s="121">
        <f t="shared" si="225"/>
        <v>45352</v>
      </c>
      <c r="AS228" s="131">
        <v>0</v>
      </c>
      <c r="AT228" s="15">
        <f t="shared" si="226"/>
        <v>0</v>
      </c>
      <c r="AU228" s="98">
        <f t="shared" si="227"/>
        <v>0</v>
      </c>
      <c r="AV228" s="128">
        <f>IF(AU228&gt;0,36,0)</f>
        <v>0</v>
      </c>
      <c r="AW228" s="128">
        <f t="shared" si="228"/>
        <v>0</v>
      </c>
      <c r="AX228" s="15">
        <f t="shared" si="229"/>
        <v>0</v>
      </c>
      <c r="AY228" s="127">
        <f t="shared" ca="1" si="230"/>
        <v>3.5917042425913404</v>
      </c>
      <c r="AZ228" s="127">
        <f t="shared" ca="1" si="253"/>
        <v>36.295880231733982</v>
      </c>
      <c r="BB228" s="121">
        <f t="shared" si="231"/>
        <v>45352</v>
      </c>
      <c r="BC228" s="131">
        <v>0</v>
      </c>
      <c r="BD228" s="15">
        <f t="shared" si="232"/>
        <v>0</v>
      </c>
      <c r="BE228" s="98">
        <f t="shared" si="233"/>
        <v>0</v>
      </c>
      <c r="BF228" s="128">
        <f>IF(BE228&gt;0,36,0)</f>
        <v>0</v>
      </c>
      <c r="BG228" s="128">
        <f t="shared" si="234"/>
        <v>0</v>
      </c>
      <c r="BH228" s="15">
        <f t="shared" si="235"/>
        <v>0</v>
      </c>
      <c r="BI228" s="127">
        <f t="shared" ca="1" si="236"/>
        <v>3.6568373206354861</v>
      </c>
      <c r="BJ228" s="127">
        <f t="shared" ca="1" si="254"/>
        <v>38.738631055505664</v>
      </c>
      <c r="BL228" s="121">
        <f t="shared" si="237"/>
        <v>45352</v>
      </c>
      <c r="BM228" s="131">
        <v>0</v>
      </c>
      <c r="BN228" s="15">
        <f t="shared" si="238"/>
        <v>0</v>
      </c>
      <c r="BO228" s="98">
        <f t="shared" si="239"/>
        <v>0</v>
      </c>
      <c r="BP228" s="128">
        <f>IF(BO228&gt;0,36,0)</f>
        <v>0</v>
      </c>
      <c r="BQ228" s="128">
        <f t="shared" si="240"/>
        <v>0</v>
      </c>
      <c r="BR228" s="15">
        <f t="shared" si="241"/>
        <v>0</v>
      </c>
      <c r="BS228" s="127">
        <f t="shared" ca="1" si="242"/>
        <v>3.5459584216918016</v>
      </c>
      <c r="BT228" s="127">
        <f t="shared" ca="1" si="255"/>
        <v>34.672900682698888</v>
      </c>
      <c r="BZ228" s="583">
        <f t="shared" si="243"/>
        <v>0</v>
      </c>
      <c r="CA228" s="121">
        <f t="shared" si="244"/>
        <v>45352</v>
      </c>
      <c r="CB228" s="127">
        <f t="shared" ca="1" si="245"/>
        <v>0</v>
      </c>
      <c r="CC228" s="15">
        <f t="shared" ca="1" si="246"/>
        <v>0</v>
      </c>
      <c r="CD228" s="98">
        <f t="shared" ca="1" si="247"/>
        <v>0</v>
      </c>
      <c r="CE228" s="128">
        <f ca="1">IF(CD228&gt;0,36,0)</f>
        <v>0</v>
      </c>
      <c r="CF228" s="128">
        <f t="shared" ca="1" si="248"/>
        <v>0</v>
      </c>
      <c r="CG228" s="15">
        <f t="shared" ca="1" si="249"/>
        <v>0</v>
      </c>
      <c r="CH228" s="127">
        <f t="shared" ca="1" si="250"/>
        <v>3.6019236849906249</v>
      </c>
      <c r="CI228" s="127">
        <f t="shared" ca="1" si="256"/>
        <v>36.66870567845703</v>
      </c>
    </row>
    <row r="229" spans="24:87" x14ac:dyDescent="0.2">
      <c r="X229" s="121" t="s">
        <v>86</v>
      </c>
      <c r="Y229" s="73">
        <f t="shared" ref="Y229:AD229" ca="1" si="260">SUM(Y193:Y228)</f>
        <v>1448.7795681428072</v>
      </c>
      <c r="Z229" s="15">
        <f t="shared" ca="1" si="260"/>
        <v>132.82298133853058</v>
      </c>
      <c r="AA229" s="98">
        <f t="shared" ca="1" si="260"/>
        <v>36</v>
      </c>
      <c r="AB229" s="128">
        <f t="shared" ca="1" si="260"/>
        <v>666</v>
      </c>
      <c r="AC229" s="7">
        <f t="shared" ca="1" si="260"/>
        <v>16206</v>
      </c>
      <c r="AD229" s="15">
        <f t="shared" ca="1" si="260"/>
        <v>2455.3639535189791</v>
      </c>
      <c r="AE229" s="66"/>
      <c r="AF229" s="120"/>
      <c r="AH229" s="121" t="s">
        <v>86</v>
      </c>
      <c r="AI229" s="73">
        <f t="shared" ref="AI229:AN229" ca="1" si="261">SUM(AI193:AI228)</f>
        <v>1253.7065324572347</v>
      </c>
      <c r="AJ229" s="15">
        <f t="shared" ca="1" si="261"/>
        <v>114.65297342640798</v>
      </c>
      <c r="AK229" s="98">
        <f t="shared" ca="1" si="261"/>
        <v>31</v>
      </c>
      <c r="AL229" s="128">
        <f t="shared" ca="1" si="261"/>
        <v>589</v>
      </c>
      <c r="AM229" s="7">
        <f t="shared" ca="1" si="261"/>
        <v>13671</v>
      </c>
      <c r="AN229" s="15">
        <f t="shared" ca="1" si="261"/>
        <v>2174.0373188885528</v>
      </c>
      <c r="AO229" s="66"/>
      <c r="AP229" s="120"/>
      <c r="AR229" s="121" t="s">
        <v>86</v>
      </c>
      <c r="AS229" s="73">
        <f t="shared" ref="AS229:AX229" ca="1" si="262">SUM(AS193:AS228)</f>
        <v>951.74416453256549</v>
      </c>
      <c r="AT229" s="15">
        <f t="shared" ca="1" si="262"/>
        <v>88.311716740445192</v>
      </c>
      <c r="AU229" s="98">
        <f t="shared" ca="1" si="262"/>
        <v>24</v>
      </c>
      <c r="AV229" s="128">
        <f t="shared" ca="1" si="262"/>
        <v>540</v>
      </c>
      <c r="AW229" s="7">
        <f t="shared" ca="1" si="262"/>
        <v>13300</v>
      </c>
      <c r="AX229" s="15">
        <f t="shared" ca="1" si="262"/>
        <v>1990.1561724346882</v>
      </c>
      <c r="AY229" s="66"/>
      <c r="AZ229" s="120"/>
      <c r="BB229" s="121" t="s">
        <v>86</v>
      </c>
      <c r="BC229" s="73">
        <f t="shared" ref="BC229:BH229" ca="1" si="263">SUM(BC193:BC228)</f>
        <v>719.58674549809257</v>
      </c>
      <c r="BD229" s="15">
        <f t="shared" ca="1" si="263"/>
        <v>66.38209548458849</v>
      </c>
      <c r="BE229" s="98">
        <f t="shared" ca="1" si="263"/>
        <v>18</v>
      </c>
      <c r="BF229" s="128">
        <f t="shared" ca="1" si="263"/>
        <v>459</v>
      </c>
      <c r="BG229" s="7">
        <f t="shared" ca="1" si="263"/>
        <v>12189</v>
      </c>
      <c r="BH229" s="15">
        <f t="shared" ca="1" si="263"/>
        <v>1693.784888111292</v>
      </c>
      <c r="BI229" s="66"/>
      <c r="BJ229" s="120"/>
      <c r="BL229" s="121" t="s">
        <v>86</v>
      </c>
      <c r="BM229" s="73">
        <f t="shared" ref="BM229:BR229" ca="1" si="264">SUM(BM193:BM228)</f>
        <v>482.46642588272124</v>
      </c>
      <c r="BN229" s="15">
        <f t="shared" ca="1" si="264"/>
        <v>44.323201979043496</v>
      </c>
      <c r="BO229" s="98">
        <f t="shared" ca="1" si="264"/>
        <v>12</v>
      </c>
      <c r="BP229" s="128">
        <f t="shared" ca="1" si="264"/>
        <v>342</v>
      </c>
      <c r="BQ229" s="7">
        <f t="shared" ca="1" si="264"/>
        <v>9890</v>
      </c>
      <c r="BR229" s="15">
        <f t="shared" ca="1" si="264"/>
        <v>1263.8794827572997</v>
      </c>
      <c r="BS229" s="66"/>
      <c r="BT229" s="120"/>
      <c r="BZ229" s="583"/>
      <c r="CA229" s="121" t="s">
        <v>86</v>
      </c>
      <c r="CB229" s="73">
        <f t="shared" ref="CB229:CG229" ca="1" si="265">SUM(CB193:CB228)</f>
        <v>793.13235273660314</v>
      </c>
      <c r="CC229" s="15">
        <f t="shared" ca="1" si="265"/>
        <v>73.592225634272822</v>
      </c>
      <c r="CD229" s="98">
        <f t="shared" ca="1" si="265"/>
        <v>20</v>
      </c>
      <c r="CE229" s="128">
        <f t="shared" ca="1" si="265"/>
        <v>430</v>
      </c>
      <c r="CF229" s="7">
        <f t="shared" ca="1" si="265"/>
        <v>9910</v>
      </c>
      <c r="CG229" s="15">
        <f t="shared" ca="1" si="265"/>
        <v>1584.5176141570887</v>
      </c>
      <c r="CH229" s="66"/>
      <c r="CI229" s="120"/>
    </row>
    <row r="230" spans="24:87" x14ac:dyDescent="0.2">
      <c r="X230" s="7" t="s">
        <v>176</v>
      </c>
      <c r="Y230" s="7"/>
      <c r="Z230" s="15">
        <f ca="1">+Z229/AA229</f>
        <v>3.6895272594036275</v>
      </c>
      <c r="AA230" s="7"/>
      <c r="AB230" s="7">
        <f ca="1">+AB229/AA229</f>
        <v>18.5</v>
      </c>
      <c r="AC230" s="7">
        <f ca="1">+AC229/AA229</f>
        <v>450.16666666666669</v>
      </c>
      <c r="AD230" s="15">
        <f ca="1">+AD229/AA229</f>
        <v>68.204554264416089</v>
      </c>
      <c r="AH230" s="7" t="s">
        <v>176</v>
      </c>
      <c r="AI230" s="7"/>
      <c r="AJ230" s="15">
        <f ca="1">+AJ229/AK229</f>
        <v>3.6984830137550961</v>
      </c>
      <c r="AK230" s="7"/>
      <c r="AL230" s="7">
        <f ca="1">+AL229/AK229</f>
        <v>19</v>
      </c>
      <c r="AM230" s="7">
        <f ca="1">+AM229/AK229</f>
        <v>441</v>
      </c>
      <c r="AN230" s="15">
        <f ca="1">+AN229/AK229</f>
        <v>70.130236093179121</v>
      </c>
      <c r="AR230" s="7" t="s">
        <v>176</v>
      </c>
      <c r="AS230" s="7"/>
      <c r="AT230" s="15">
        <f ca="1">+AT229/AU229</f>
        <v>3.6796548641852165</v>
      </c>
      <c r="AU230" s="7"/>
      <c r="AV230" s="7">
        <f ca="1">+AV229/AU229</f>
        <v>22.5</v>
      </c>
      <c r="AW230" s="7">
        <f ca="1">+AW229/AU229</f>
        <v>554.16666666666663</v>
      </c>
      <c r="AX230" s="15">
        <f ca="1">+AX229/AU229</f>
        <v>82.923173851445341</v>
      </c>
      <c r="BB230" s="7" t="s">
        <v>176</v>
      </c>
      <c r="BC230" s="7"/>
      <c r="BD230" s="15">
        <f ca="1">+BD229/BE229</f>
        <v>3.6878941935882494</v>
      </c>
      <c r="BE230" s="7"/>
      <c r="BF230" s="7">
        <f ca="1">+BF229/BE229</f>
        <v>25.5</v>
      </c>
      <c r="BG230" s="7">
        <f ca="1">+BG229/BE229</f>
        <v>677.16666666666663</v>
      </c>
      <c r="BH230" s="15">
        <f ca="1">+BH229/BE229</f>
        <v>94.099160450627338</v>
      </c>
      <c r="BL230" s="7" t="s">
        <v>176</v>
      </c>
      <c r="BM230" s="7"/>
      <c r="BN230" s="15">
        <f ca="1">+BN229/BO229</f>
        <v>3.6936001649202912</v>
      </c>
      <c r="BO230" s="7"/>
      <c r="BP230" s="7">
        <f ca="1">+BP229/BO229</f>
        <v>28.5</v>
      </c>
      <c r="BQ230" s="7">
        <f ca="1">+BQ229/BO229</f>
        <v>824.16666666666663</v>
      </c>
      <c r="BR230" s="15">
        <f ca="1">+BR229/BO229</f>
        <v>105.32329022977497</v>
      </c>
      <c r="BZ230" s="583"/>
      <c r="CA230" s="7" t="s">
        <v>176</v>
      </c>
      <c r="CB230" s="7"/>
      <c r="CC230" s="15">
        <f ca="1">+CC229/CD229</f>
        <v>3.6796112817136413</v>
      </c>
      <c r="CD230" s="7"/>
      <c r="CE230" s="7">
        <f ca="1">+CE229/CD229</f>
        <v>21.5</v>
      </c>
      <c r="CF230" s="7">
        <f ca="1">+CF229/CD229</f>
        <v>495.5</v>
      </c>
      <c r="CG230" s="15">
        <f ca="1">+CG229/CD229</f>
        <v>79.225880707854429</v>
      </c>
    </row>
    <row r="232" spans="24:87" x14ac:dyDescent="0.2">
      <c r="X232" t="s">
        <v>205</v>
      </c>
      <c r="Y232">
        <f ca="1">AA229</f>
        <v>36</v>
      </c>
      <c r="AH232" t="s">
        <v>205</v>
      </c>
      <c r="AI232">
        <f ca="1">AK229</f>
        <v>31</v>
      </c>
      <c r="AR232" t="s">
        <v>205</v>
      </c>
      <c r="AS232">
        <f ca="1">AU229</f>
        <v>24</v>
      </c>
      <c r="BB232" t="s">
        <v>205</v>
      </c>
      <c r="BC232">
        <f ca="1">BE229</f>
        <v>18</v>
      </c>
      <c r="BL232" t="s">
        <v>205</v>
      </c>
      <c r="BM232">
        <f ca="1">BO229</f>
        <v>12</v>
      </c>
      <c r="CA232" t="s">
        <v>205</v>
      </c>
      <c r="CB232">
        <f ca="1">CD229</f>
        <v>20</v>
      </c>
    </row>
    <row r="233" spans="24:87" x14ac:dyDescent="0.2">
      <c r="X233" t="s">
        <v>254</v>
      </c>
      <c r="Y233" s="66">
        <f ca="1">Z229</f>
        <v>132.82298133853058</v>
      </c>
      <c r="AH233" t="s">
        <v>254</v>
      </c>
      <c r="AI233" s="66">
        <f ca="1">AJ229</f>
        <v>114.65297342640798</v>
      </c>
      <c r="AR233" t="s">
        <v>254</v>
      </c>
      <c r="AS233" s="66">
        <f ca="1">AT229</f>
        <v>88.311716740445192</v>
      </c>
      <c r="BB233" t="s">
        <v>254</v>
      </c>
      <c r="BC233" s="66">
        <f ca="1">BD229</f>
        <v>66.38209548458849</v>
      </c>
      <c r="BL233" t="s">
        <v>254</v>
      </c>
      <c r="BM233" s="66">
        <f ca="1">BN229</f>
        <v>44.323201979043496</v>
      </c>
      <c r="CA233" t="s">
        <v>254</v>
      </c>
      <c r="CB233" s="66">
        <f ca="1">CC229</f>
        <v>73.592225634272822</v>
      </c>
    </row>
    <row r="234" spans="24:87" x14ac:dyDescent="0.2">
      <c r="X234" t="s">
        <v>242</v>
      </c>
      <c r="AA234" t="s">
        <v>243</v>
      </c>
      <c r="AH234" t="s">
        <v>242</v>
      </c>
      <c r="AK234" t="s">
        <v>243</v>
      </c>
      <c r="AR234" t="s">
        <v>242</v>
      </c>
      <c r="AU234" t="s">
        <v>243</v>
      </c>
      <c r="BB234" t="s">
        <v>242</v>
      </c>
      <c r="BE234" t="s">
        <v>243</v>
      </c>
      <c r="BL234" t="s">
        <v>242</v>
      </c>
      <c r="BO234" t="s">
        <v>243</v>
      </c>
      <c r="CA234" t="s">
        <v>242</v>
      </c>
      <c r="CD234" t="s">
        <v>243</v>
      </c>
    </row>
    <row r="235" spans="24:87" x14ac:dyDescent="0.2">
      <c r="X235" s="1" t="s">
        <v>255</v>
      </c>
      <c r="Y235" s="59">
        <f ca="1">+AD230</f>
        <v>68.204554264416089</v>
      </c>
      <c r="AA235" t="s">
        <v>244</v>
      </c>
      <c r="AH235" s="1" t="s">
        <v>255</v>
      </c>
      <c r="AI235" s="59">
        <f ca="1">+AN230</f>
        <v>70.130236093179121</v>
      </c>
      <c r="AK235" t="s">
        <v>244</v>
      </c>
      <c r="AR235" s="1" t="s">
        <v>255</v>
      </c>
      <c r="AS235" s="59">
        <f ca="1">+AX230</f>
        <v>82.923173851445341</v>
      </c>
      <c r="AU235" t="s">
        <v>244</v>
      </c>
      <c r="BB235" s="1" t="s">
        <v>255</v>
      </c>
      <c r="BC235" s="59">
        <f ca="1">+BH230</f>
        <v>94.099160450627338</v>
      </c>
      <c r="BE235" t="s">
        <v>244</v>
      </c>
      <c r="BL235" s="1" t="s">
        <v>255</v>
      </c>
      <c r="BM235" s="59">
        <f ca="1">+BR230</f>
        <v>105.32329022977497</v>
      </c>
      <c r="BO235" t="s">
        <v>244</v>
      </c>
      <c r="CA235" s="1" t="s">
        <v>255</v>
      </c>
      <c r="CB235" s="59">
        <f ca="1">+CG230</f>
        <v>79.225880707854429</v>
      </c>
      <c r="CD235" t="s">
        <v>244</v>
      </c>
    </row>
    <row r="236" spans="24:87" x14ac:dyDescent="0.2">
      <c r="X236" s="28" t="s">
        <v>245</v>
      </c>
      <c r="Y236" s="59">
        <f ca="1">+AB230</f>
        <v>18.5</v>
      </c>
      <c r="AH236" s="28" t="s">
        <v>245</v>
      </c>
      <c r="AI236" s="59">
        <f ca="1">+AL230</f>
        <v>19</v>
      </c>
      <c r="AR236" s="28" t="s">
        <v>245</v>
      </c>
      <c r="AS236" s="59">
        <f ca="1">+AV230</f>
        <v>22.5</v>
      </c>
      <c r="BB236" s="28" t="s">
        <v>245</v>
      </c>
      <c r="BC236" s="59">
        <f ca="1">+BF230</f>
        <v>25.5</v>
      </c>
      <c r="BL236" s="28" t="s">
        <v>245</v>
      </c>
      <c r="BM236" s="59">
        <f ca="1">+BP230</f>
        <v>28.5</v>
      </c>
      <c r="CA236" s="28" t="s">
        <v>245</v>
      </c>
      <c r="CB236" s="59">
        <f ca="1">+CE230</f>
        <v>21.5</v>
      </c>
    </row>
    <row r="237" spans="24:87" x14ac:dyDescent="0.2">
      <c r="X237" s="1" t="s">
        <v>256</v>
      </c>
      <c r="Y237" s="59">
        <f ca="1">Y233/Y232</f>
        <v>3.6895272594036275</v>
      </c>
      <c r="AH237" s="1" t="s">
        <v>256</v>
      </c>
      <c r="AI237" s="59">
        <f ca="1">AI233/AI232</f>
        <v>3.6984830137550961</v>
      </c>
      <c r="AR237" s="1" t="s">
        <v>256</v>
      </c>
      <c r="AS237" s="59">
        <f ca="1">AS233/AS232</f>
        <v>3.6796548641852165</v>
      </c>
      <c r="BB237" s="1" t="s">
        <v>256</v>
      </c>
      <c r="BC237" s="59">
        <f ca="1">BC233/BC232</f>
        <v>3.6878941935882494</v>
      </c>
      <c r="BL237" s="1" t="s">
        <v>256</v>
      </c>
      <c r="BM237" s="59">
        <f ca="1">BM233/BM232</f>
        <v>3.6936001649202912</v>
      </c>
      <c r="CA237" s="1" t="s">
        <v>256</v>
      </c>
      <c r="CB237" s="59">
        <f ca="1">CB233/CB232</f>
        <v>3.6796112817136413</v>
      </c>
    </row>
    <row r="238" spans="24:87" x14ac:dyDescent="0.2">
      <c r="X238" s="1" t="s">
        <v>257</v>
      </c>
      <c r="Y238" s="59">
        <f ca="1">+AC230</f>
        <v>450.16666666666669</v>
      </c>
      <c r="AH238" s="1" t="s">
        <v>257</v>
      </c>
      <c r="AI238" s="59">
        <f ca="1">+AM230</f>
        <v>441</v>
      </c>
      <c r="AR238" s="1" t="s">
        <v>257</v>
      </c>
      <c r="AS238" s="59">
        <f ca="1">+AW230</f>
        <v>554.16666666666663</v>
      </c>
      <c r="BB238" s="1" t="s">
        <v>257</v>
      </c>
      <c r="BC238" s="59">
        <f ca="1">+BG230</f>
        <v>677.16666666666663</v>
      </c>
      <c r="BL238" s="1" t="s">
        <v>257</v>
      </c>
      <c r="BM238" s="59">
        <f ca="1">+BQ230</f>
        <v>824.16666666666663</v>
      </c>
      <c r="CA238" s="1" t="s">
        <v>257</v>
      </c>
      <c r="CB238" s="59">
        <f ca="1">+CF230</f>
        <v>495.5</v>
      </c>
    </row>
    <row r="239" spans="24:87" x14ac:dyDescent="0.2">
      <c r="X239" s="28" t="s">
        <v>246</v>
      </c>
      <c r="Y239" s="59">
        <f ca="1">Y236^2</f>
        <v>342.25</v>
      </c>
      <c r="AH239" s="28" t="s">
        <v>246</v>
      </c>
      <c r="AI239" s="59">
        <f ca="1">AI236^2</f>
        <v>361</v>
      </c>
      <c r="AR239" s="28" t="s">
        <v>246</v>
      </c>
      <c r="AS239" s="59">
        <f ca="1">AS236^2</f>
        <v>506.25</v>
      </c>
      <c r="BB239" s="28" t="s">
        <v>246</v>
      </c>
      <c r="BC239" s="59">
        <f ca="1">BC236^2</f>
        <v>650.25</v>
      </c>
      <c r="BL239" s="28" t="s">
        <v>246</v>
      </c>
      <c r="BM239" s="59">
        <f ca="1">BM236^2</f>
        <v>812.25</v>
      </c>
      <c r="CA239" s="28" t="s">
        <v>246</v>
      </c>
      <c r="CB239" s="59">
        <f ca="1">CB236^2</f>
        <v>462.25</v>
      </c>
    </row>
    <row r="240" spans="24:87" x14ac:dyDescent="0.2">
      <c r="X240" s="28" t="s">
        <v>247</v>
      </c>
      <c r="Y240" s="66">
        <f ca="1">(Y235-Y237*Y236)/(Y238-Y239)</f>
        <v>-4.7907367923723557E-4</v>
      </c>
      <c r="AH240" s="28" t="s">
        <v>247</v>
      </c>
      <c r="AI240" s="66">
        <f ca="1">(AI235-AI237*AI236)/(AI238-AI239)</f>
        <v>-1.7617646020962497E-3</v>
      </c>
      <c r="AR240" s="28" t="s">
        <v>247</v>
      </c>
      <c r="AS240" s="66">
        <f ca="1">(AS235-AS237*AS236)/(AS238-AS239)</f>
        <v>2.7326484997140322E-3</v>
      </c>
      <c r="BB240" s="28" t="s">
        <v>247</v>
      </c>
      <c r="BC240" s="66">
        <f ca="1">(BC235-BC237*BC236)/(BC238-BC239)</f>
        <v>2.149542320506887E-3</v>
      </c>
      <c r="BL240" s="28" t="s">
        <v>247</v>
      </c>
      <c r="BM240" s="66">
        <f ca="1">(BM235-BM237*BM236)/(BM238-BM239)</f>
        <v>4.6729115703495021E-3</v>
      </c>
      <c r="CA240" s="28" t="s">
        <v>247</v>
      </c>
      <c r="CB240" s="66">
        <f ca="1">(CB235-CB237*CB236)/(CB238-CB239)</f>
        <v>3.4357338649965811E-3</v>
      </c>
    </row>
    <row r="241" spans="24:80" x14ac:dyDescent="0.2">
      <c r="X241" s="28" t="s">
        <v>248</v>
      </c>
      <c r="Y241" s="66">
        <f ca="1">Y237-Y240*Y236</f>
        <v>3.6983901224695162</v>
      </c>
      <c r="AH241" s="28" t="s">
        <v>248</v>
      </c>
      <c r="AI241" s="66">
        <f ca="1">AI237-AI240*AI236</f>
        <v>3.7319565411949247</v>
      </c>
      <c r="AR241" s="28" t="s">
        <v>248</v>
      </c>
      <c r="AS241" s="66">
        <f ca="1">AS237-AS240*AS236</f>
        <v>3.6181702729416507</v>
      </c>
      <c r="BB241" s="28" t="s">
        <v>248</v>
      </c>
      <c r="BC241" s="66">
        <f ca="1">BC237-BC240*BC236</f>
        <v>3.6330808644153239</v>
      </c>
      <c r="BL241" s="28" t="s">
        <v>248</v>
      </c>
      <c r="BM241" s="66">
        <f ca="1">BM237-BM240*BM236</f>
        <v>3.5604221851653302</v>
      </c>
      <c r="CA241" s="28" t="s">
        <v>248</v>
      </c>
      <c r="CB241" s="66">
        <f ca="1">CB237-CB240*CB236</f>
        <v>3.6057430036162148</v>
      </c>
    </row>
    <row r="242" spans="24:80" x14ac:dyDescent="0.2">
      <c r="X242" t="s">
        <v>249</v>
      </c>
      <c r="Y242" s="126">
        <f ca="1">EXP(12*Y240+Y241)/EXP(Y241)-1</f>
        <v>-5.7323909373506732E-3</v>
      </c>
      <c r="AH242" t="s">
        <v>249</v>
      </c>
      <c r="AI242" s="126">
        <f ca="1">EXP(12*AI240+AI241)/EXP(AI241)-1</f>
        <v>-2.0919267130664165E-2</v>
      </c>
      <c r="AR242" t="s">
        <v>249</v>
      </c>
      <c r="AS242" s="126">
        <f ca="1">EXP(12*AS240+AS241)/EXP(AS241)-1</f>
        <v>3.333535781468E-2</v>
      </c>
      <c r="BB242" t="s">
        <v>249</v>
      </c>
      <c r="BC242" s="126">
        <f ca="1">EXP(12*BC240+BC241)/EXP(BC241)-1</f>
        <v>2.6130065129465363E-2</v>
      </c>
      <c r="BL242" t="s">
        <v>249</v>
      </c>
      <c r="BM242" s="126">
        <f ca="1">EXP(12*BM240+BM241)/EXP(BM241)-1</f>
        <v>5.7676941854371666E-2</v>
      </c>
      <c r="CA242" t="s">
        <v>249</v>
      </c>
      <c r="CB242" s="126">
        <f ca="1">EXP(12*CB240+CB241)/EXP(CB241)-1</f>
        <v>4.2090515227990233E-2</v>
      </c>
    </row>
    <row r="243" spans="24:80" x14ac:dyDescent="0.2">
      <c r="X243" t="s">
        <v>250</v>
      </c>
      <c r="Y243" t="str">
        <f ca="1">FIXED(Y242*100,1,TRUE)</f>
        <v>-0.6</v>
      </c>
      <c r="AH243" t="s">
        <v>250</v>
      </c>
      <c r="AI243" t="str">
        <f ca="1">FIXED(AI242*100,1,TRUE)</f>
        <v>-2.1</v>
      </c>
      <c r="AR243" t="s">
        <v>250</v>
      </c>
      <c r="AS243" t="str">
        <f ca="1">FIXED(AS242*100,1,TRUE)</f>
        <v>3.3</v>
      </c>
      <c r="BB243" t="s">
        <v>250</v>
      </c>
      <c r="BC243" t="str">
        <f ca="1">FIXED(BC242*100,1,TRUE)</f>
        <v>2.6</v>
      </c>
      <c r="BL243" t="s">
        <v>250</v>
      </c>
      <c r="BM243" t="str">
        <f ca="1">FIXED(BM242*100,1,TRUE)</f>
        <v>5.8</v>
      </c>
      <c r="CA243" t="s">
        <v>250</v>
      </c>
      <c r="CB243" t="str">
        <f ca="1">FIXED(CB242*100,1,TRUE)</f>
        <v>4.2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PrintBox">
                <anchor moveWithCells="1" sizeWithCells="1">
                  <from>
                    <xdr:col>116</xdr:col>
                    <xdr:colOff>200025</xdr:colOff>
                    <xdr:row>2</xdr:row>
                    <xdr:rowOff>38100</xdr:rowOff>
                  </from>
                  <to>
                    <xdr:col>118</xdr:col>
                    <xdr:colOff>47625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>
    <tabColor indexed="36"/>
  </sheetPr>
  <dimension ref="A1:AN170"/>
  <sheetViews>
    <sheetView workbookViewId="0"/>
  </sheetViews>
  <sheetFormatPr defaultRowHeight="11.25" x14ac:dyDescent="0.2"/>
  <cols>
    <col min="1" max="2" width="9.83203125" customWidth="1"/>
    <col min="3" max="4" width="10.83203125" customWidth="1"/>
    <col min="5" max="5" width="10.83203125" bestFit="1" customWidth="1"/>
    <col min="6" max="21" width="9.83203125" customWidth="1"/>
    <col min="22" max="25" width="11.83203125" customWidth="1"/>
    <col min="26" max="26" width="15.1640625" customWidth="1"/>
    <col min="27" max="27" width="15" customWidth="1"/>
    <col min="28" max="28" width="12" customWidth="1"/>
    <col min="29" max="29" width="10.33203125" customWidth="1"/>
    <col min="30" max="30" width="12" customWidth="1"/>
    <col min="31" max="32" width="11" customWidth="1"/>
    <col min="33" max="33" width="15.83203125" customWidth="1"/>
    <col min="34" max="34" width="12.5" customWidth="1"/>
  </cols>
  <sheetData>
    <row r="1" spans="1:40" x14ac:dyDescent="0.2">
      <c r="A1">
        <v>9</v>
      </c>
      <c r="B1">
        <v>9</v>
      </c>
      <c r="C1">
        <v>10</v>
      </c>
      <c r="D1">
        <v>10</v>
      </c>
      <c r="E1">
        <v>9</v>
      </c>
      <c r="F1">
        <v>9</v>
      </c>
      <c r="G1">
        <v>9</v>
      </c>
      <c r="H1">
        <v>9</v>
      </c>
      <c r="I1">
        <v>9</v>
      </c>
      <c r="J1">
        <v>9</v>
      </c>
      <c r="K1">
        <v>9</v>
      </c>
      <c r="L1">
        <v>9</v>
      </c>
      <c r="M1">
        <v>9</v>
      </c>
      <c r="N1">
        <v>9</v>
      </c>
      <c r="O1">
        <v>9</v>
      </c>
      <c r="P1">
        <v>9</v>
      </c>
      <c r="Q1">
        <v>9</v>
      </c>
      <c r="R1">
        <v>9</v>
      </c>
      <c r="S1">
        <v>9</v>
      </c>
      <c r="T1">
        <v>9</v>
      </c>
      <c r="U1">
        <v>9</v>
      </c>
      <c r="V1">
        <v>9</v>
      </c>
      <c r="W1">
        <v>9</v>
      </c>
      <c r="X1">
        <v>9</v>
      </c>
      <c r="Y1">
        <v>11</v>
      </c>
      <c r="Z1">
        <v>11</v>
      </c>
      <c r="AA1">
        <v>11</v>
      </c>
      <c r="AB1">
        <v>11</v>
      </c>
    </row>
    <row r="11" spans="1:40" ht="12.75" x14ac:dyDescent="0.2">
      <c r="A11" s="34" t="s">
        <v>716</v>
      </c>
      <c r="J11" s="178"/>
      <c r="K11" s="178"/>
      <c r="L11" s="178"/>
      <c r="M11" s="178"/>
      <c r="O11" s="130" t="s">
        <v>763</v>
      </c>
      <c r="Y11" t="str">
        <f>+A12</f>
        <v>Allied Pacific (APC Commerical)</v>
      </c>
      <c r="AE11" s="198" t="s">
        <v>717</v>
      </c>
      <c r="AN11" s="178"/>
    </row>
    <row r="12" spans="1:40" x14ac:dyDescent="0.2">
      <c r="A12" s="3" t="str">
        <f>Data!$C$1</f>
        <v>Allied Pacific (APC Commerical)</v>
      </c>
      <c r="C12" s="355"/>
      <c r="J12" s="178"/>
      <c r="K12" s="178"/>
      <c r="L12" s="178"/>
      <c r="M12" s="178"/>
      <c r="AE12" s="130" t="s">
        <v>871</v>
      </c>
      <c r="AG12" s="355"/>
      <c r="AN12" s="178"/>
    </row>
    <row r="13" spans="1:40" x14ac:dyDescent="0.2">
      <c r="A13" s="252" t="s">
        <v>977</v>
      </c>
      <c r="B13" s="7"/>
      <c r="C13" s="71">
        <f>Final!$C$3</f>
        <v>45382</v>
      </c>
      <c r="J13" s="178"/>
      <c r="K13" s="178"/>
      <c r="L13" s="178"/>
      <c r="M13" s="178"/>
      <c r="AE13" s="7" t="s">
        <v>124</v>
      </c>
      <c r="AF13" s="7"/>
      <c r="AG13" s="71">
        <v>37652</v>
      </c>
      <c r="AN13" s="178"/>
    </row>
    <row r="14" spans="1:40" x14ac:dyDescent="0.2">
      <c r="A14" t="s">
        <v>726</v>
      </c>
      <c r="J14" s="178"/>
      <c r="K14" s="178"/>
      <c r="L14" s="9"/>
      <c r="M14" s="453"/>
      <c r="N14" s="453"/>
      <c r="O14" s="570" t="s">
        <v>1002</v>
      </c>
      <c r="P14" s="453"/>
      <c r="Q14" s="453"/>
      <c r="R14" s="11"/>
      <c r="Y14" s="9"/>
      <c r="Z14" s="10" t="s">
        <v>729</v>
      </c>
      <c r="AA14" s="10"/>
      <c r="AB14" s="11"/>
      <c r="AC14" s="2"/>
      <c r="AE14" t="s">
        <v>718</v>
      </c>
      <c r="AN14" s="178"/>
    </row>
    <row r="15" spans="1:40" x14ac:dyDescent="0.2">
      <c r="Y15" s="2"/>
      <c r="Z15" s="2"/>
      <c r="AA15" s="2" t="s">
        <v>93</v>
      </c>
      <c r="AB15" s="2"/>
      <c r="AE15" s="1" t="s">
        <v>719</v>
      </c>
    </row>
    <row r="16" spans="1:40" x14ac:dyDescent="0.2">
      <c r="M16" s="571"/>
      <c r="N16" s="524" t="s">
        <v>575</v>
      </c>
      <c r="O16" s="569"/>
      <c r="P16" s="571"/>
      <c r="Q16" s="524" t="s">
        <v>576</v>
      </c>
      <c r="R16" s="569"/>
      <c r="Y16" s="2"/>
      <c r="Z16" s="2"/>
      <c r="AA16" s="2" t="s">
        <v>83</v>
      </c>
      <c r="AB16" s="2" t="s">
        <v>92</v>
      </c>
      <c r="AE16" s="1" t="s">
        <v>721</v>
      </c>
    </row>
    <row r="17" spans="1:40" x14ac:dyDescent="0.2">
      <c r="I17" s="125" t="s">
        <v>715</v>
      </c>
      <c r="J17" s="11"/>
      <c r="L17" s="2"/>
      <c r="M17" s="228" t="s">
        <v>234</v>
      </c>
      <c r="N17" s="2"/>
      <c r="O17" s="2" t="s">
        <v>236</v>
      </c>
      <c r="P17" s="254" t="s">
        <v>617</v>
      </c>
      <c r="Q17" s="2"/>
      <c r="R17" s="2" t="s">
        <v>236</v>
      </c>
      <c r="Y17" s="2" t="s">
        <v>298</v>
      </c>
      <c r="Z17" s="2" t="s">
        <v>109</v>
      </c>
      <c r="AA17" s="2" t="s">
        <v>299</v>
      </c>
      <c r="AB17" s="37" t="s">
        <v>656</v>
      </c>
      <c r="AE17" s="1" t="s">
        <v>720</v>
      </c>
      <c r="AM17" s="125" t="s">
        <v>715</v>
      </c>
      <c r="AN17" s="11"/>
    </row>
    <row r="18" spans="1:40" x14ac:dyDescent="0.2">
      <c r="B18" s="2"/>
      <c r="C18" s="2" t="s">
        <v>230</v>
      </c>
      <c r="D18" s="2" t="s">
        <v>231</v>
      </c>
      <c r="E18" s="2"/>
      <c r="F18" s="2" t="s">
        <v>96</v>
      </c>
      <c r="G18" s="2" t="s">
        <v>83</v>
      </c>
      <c r="I18" s="2" t="s">
        <v>164</v>
      </c>
      <c r="J18" s="2" t="s">
        <v>155</v>
      </c>
      <c r="L18" s="2"/>
      <c r="M18" s="2" t="s">
        <v>232</v>
      </c>
      <c r="N18" s="2" t="s">
        <v>235</v>
      </c>
      <c r="O18" s="2" t="s">
        <v>235</v>
      </c>
      <c r="P18" s="2" t="s">
        <v>232</v>
      </c>
      <c r="Q18" s="2" t="s">
        <v>235</v>
      </c>
      <c r="R18" s="2" t="s">
        <v>235</v>
      </c>
      <c r="T18" t="s">
        <v>376</v>
      </c>
      <c r="Y18" s="29" t="s">
        <v>95</v>
      </c>
      <c r="Z18" s="49">
        <f>+C13</f>
        <v>45382</v>
      </c>
      <c r="AA18" s="49">
        <f>+Z18</f>
        <v>45382</v>
      </c>
      <c r="AB18" s="29" t="s">
        <v>83</v>
      </c>
      <c r="AE18" s="1" t="s">
        <v>720</v>
      </c>
      <c r="AF18" s="2"/>
      <c r="AG18" s="2" t="s">
        <v>230</v>
      </c>
      <c r="AH18" s="2" t="s">
        <v>231</v>
      </c>
      <c r="AI18" s="2"/>
      <c r="AJ18" s="2" t="s">
        <v>96</v>
      </c>
      <c r="AK18" s="2" t="s">
        <v>83</v>
      </c>
      <c r="AM18" s="2" t="s">
        <v>164</v>
      </c>
      <c r="AN18" s="2" t="s">
        <v>155</v>
      </c>
    </row>
    <row r="19" spans="1:40" x14ac:dyDescent="0.2">
      <c r="A19" s="38" t="s">
        <v>41</v>
      </c>
      <c r="B19" s="8" t="s">
        <v>78</v>
      </c>
      <c r="C19" s="8" t="s">
        <v>136</v>
      </c>
      <c r="D19" s="8" t="s">
        <v>96</v>
      </c>
      <c r="E19" s="8" t="s">
        <v>83</v>
      </c>
      <c r="F19" s="8" t="s">
        <v>101</v>
      </c>
      <c r="G19" s="8" t="s">
        <v>101</v>
      </c>
      <c r="I19" s="8" t="s">
        <v>138</v>
      </c>
      <c r="J19" s="8" t="s">
        <v>157</v>
      </c>
      <c r="L19" s="8" t="s">
        <v>101</v>
      </c>
      <c r="M19" s="8" t="s">
        <v>233</v>
      </c>
      <c r="N19" s="8" t="s">
        <v>176</v>
      </c>
      <c r="O19" s="8" t="s">
        <v>176</v>
      </c>
      <c r="P19" s="8" t="s">
        <v>233</v>
      </c>
      <c r="Q19" s="8" t="s">
        <v>176</v>
      </c>
      <c r="R19" s="8" t="s">
        <v>176</v>
      </c>
      <c r="T19" s="50" t="s">
        <v>160</v>
      </c>
      <c r="W19" s="50" t="s">
        <v>655</v>
      </c>
      <c r="AE19" s="38" t="s">
        <v>41</v>
      </c>
      <c r="AF19" s="8" t="s">
        <v>78</v>
      </c>
      <c r="AG19" s="8" t="s">
        <v>136</v>
      </c>
      <c r="AH19" s="8" t="s">
        <v>96</v>
      </c>
      <c r="AI19" s="8" t="s">
        <v>83</v>
      </c>
      <c r="AJ19" s="8" t="s">
        <v>101</v>
      </c>
      <c r="AK19" s="8" t="s">
        <v>101</v>
      </c>
      <c r="AM19" s="8" t="s">
        <v>138</v>
      </c>
      <c r="AN19" s="8" t="s">
        <v>157</v>
      </c>
    </row>
    <row r="20" spans="1:40" x14ac:dyDescent="0.2">
      <c r="A20" s="121">
        <f>Data!AN43</f>
        <v>44287</v>
      </c>
      <c r="B20" s="41">
        <f>Data!AO43</f>
        <v>107101</v>
      </c>
      <c r="C20" s="41">
        <f>Data!$BO43</f>
        <v>3841701.2300000014</v>
      </c>
      <c r="D20" s="41">
        <f>Data!$BM43</f>
        <v>3841701.2300000014</v>
      </c>
      <c r="E20" s="41">
        <f>+C20-D20</f>
        <v>0</v>
      </c>
      <c r="F20" s="73">
        <f t="shared" ref="F20:F54" si="0">IF(B20=0,0,+C20/B20)</f>
        <v>35.869891317541402</v>
      </c>
      <c r="G20" s="73">
        <f t="shared" ref="G20:G54" si="1">IF(B20=0,0,+E20/B20)</f>
        <v>0</v>
      </c>
      <c r="H20" s="15"/>
      <c r="I20" s="15">
        <f>VLOOKUP($A20,PMPM!$A$81:$C$104,3)</f>
        <v>1</v>
      </c>
      <c r="J20" s="73">
        <f>F20*I20</f>
        <v>35.869891317541402</v>
      </c>
      <c r="L20" s="2">
        <f>IF(F20&gt;0,1,0)</f>
        <v>1</v>
      </c>
      <c r="M20">
        <f>($L19=1)*($L20=1)*($L21=1)</f>
        <v>0</v>
      </c>
      <c r="N20" s="573">
        <v>0</v>
      </c>
      <c r="O20" s="573">
        <v>0</v>
      </c>
      <c r="P20">
        <f>($L17=1)*($L18=1)*($L19=1)*($L20=1)*($L21=1)*($L22=1)</f>
        <v>0</v>
      </c>
      <c r="Q20" s="573">
        <v>0</v>
      </c>
      <c r="R20" s="573">
        <v>0</v>
      </c>
      <c r="Y20" s="138">
        <f>Final!A134</f>
        <v>44865</v>
      </c>
      <c r="Z20" s="53">
        <f ca="1">Final!B134</f>
        <v>7673367.1100000087</v>
      </c>
      <c r="AA20" s="53">
        <f ca="1">Final!C134</f>
        <v>176632.10716273403</v>
      </c>
      <c r="AB20" s="53">
        <f ca="1">Final!E134</f>
        <v>7849999.2171627432</v>
      </c>
      <c r="AE20" s="121"/>
      <c r="AF20" s="378"/>
      <c r="AG20" s="378"/>
      <c r="AH20" s="378"/>
      <c r="AI20" s="378"/>
      <c r="AJ20" s="379"/>
      <c r="AK20" s="379"/>
      <c r="AL20" s="269"/>
      <c r="AM20" s="269"/>
      <c r="AN20" s="379"/>
    </row>
    <row r="21" spans="1:40" x14ac:dyDescent="0.2">
      <c r="A21" s="121">
        <f>Data!AN42</f>
        <v>44317</v>
      </c>
      <c r="B21" s="41">
        <f>Data!AO42</f>
        <v>107146</v>
      </c>
      <c r="C21" s="41">
        <f>Data!$BO42</f>
        <v>3920682.8142403895</v>
      </c>
      <c r="D21" s="41">
        <f>Data!$BM42</f>
        <v>3920582.3300000024</v>
      </c>
      <c r="E21" s="41">
        <f t="shared" ref="E21:E55" si="2">+C21-D21</f>
        <v>100.48424038710073</v>
      </c>
      <c r="F21" s="73">
        <f t="shared" si="0"/>
        <v>36.591966235234068</v>
      </c>
      <c r="G21" s="73">
        <f t="shared" si="1"/>
        <v>9.3782540073451858E-4</v>
      </c>
      <c r="H21" s="15"/>
      <c r="I21" s="15">
        <f>VLOOKUP($A21,PMPM!$A$81:$C$104,3)</f>
        <v>1</v>
      </c>
      <c r="J21" s="73">
        <f t="shared" ref="J21:J55" si="3">F21*I21</f>
        <v>36.591966235234068</v>
      </c>
      <c r="L21" s="2">
        <f t="shared" ref="L21:L55" si="4">IF(F21&gt;0,1,0)</f>
        <v>1</v>
      </c>
      <c r="M21">
        <f>(L20=1)*(L21=1)*(L22=1)</f>
        <v>1</v>
      </c>
      <c r="N21" s="120">
        <f>AVERAGE($F20:$F22)*M21</f>
        <v>37.084129648463552</v>
      </c>
      <c r="O21" s="120">
        <f>AVERAGE($J20:$J22)*M21</f>
        <v>37.084129648463552</v>
      </c>
      <c r="P21">
        <f t="shared" ref="P21:P55" si="5">($L18=1)*($L19=1)*($L20=1)*($L21=1)*($L22=1)*($L23=1)</f>
        <v>0</v>
      </c>
      <c r="Q21" s="573">
        <v>0</v>
      </c>
      <c r="R21" s="573">
        <v>0</v>
      </c>
      <c r="T21" s="356">
        <f>PMPM!A52</f>
        <v>36526</v>
      </c>
      <c r="U21" s="357">
        <f>PMPM!B52</f>
        <v>0</v>
      </c>
      <c r="V21" s="178"/>
      <c r="W21" s="178" t="str">
        <f>PMPM!D52</f>
        <v>Add comments on Fee Schedule changes to this column.</v>
      </c>
      <c r="Y21" s="138">
        <f>Final!A133</f>
        <v>44895</v>
      </c>
      <c r="Z21" s="53">
        <f ca="1">Final!B133</f>
        <v>7819685.1700000148</v>
      </c>
      <c r="AA21" s="53">
        <f ca="1">Final!C133</f>
        <v>211850.92970538372</v>
      </c>
      <c r="AB21" s="53">
        <f ca="1">Final!E133</f>
        <v>8031536.0997053981</v>
      </c>
      <c r="AE21" s="121"/>
      <c r="AF21" s="378"/>
      <c r="AG21" s="378"/>
      <c r="AH21" s="378"/>
      <c r="AI21" s="378"/>
      <c r="AJ21" s="379"/>
      <c r="AK21" s="379"/>
      <c r="AL21" s="269"/>
      <c r="AM21" s="269"/>
      <c r="AN21" s="379"/>
    </row>
    <row r="22" spans="1:40" x14ac:dyDescent="0.2">
      <c r="A22" s="121">
        <f>Data!AN41</f>
        <v>44348</v>
      </c>
      <c r="B22" s="41">
        <f>Data!AO41</f>
        <v>107140</v>
      </c>
      <c r="C22" s="41">
        <f>Data!$BO41</f>
        <v>4156017.5334047913</v>
      </c>
      <c r="D22" s="41">
        <f>Data!$BM41</f>
        <v>4155811.3399999961</v>
      </c>
      <c r="E22" s="41">
        <f t="shared" si="2"/>
        <v>206.1934047951363</v>
      </c>
      <c r="F22" s="73">
        <f t="shared" si="0"/>
        <v>38.790531392615186</v>
      </c>
      <c r="G22" s="73">
        <f t="shared" si="1"/>
        <v>1.9245230987039042E-3</v>
      </c>
      <c r="H22" s="15"/>
      <c r="I22" s="15">
        <f>VLOOKUP($A22,PMPM!$A$81:$C$104,3)</f>
        <v>1</v>
      </c>
      <c r="J22" s="73">
        <f t="shared" si="3"/>
        <v>38.790531392615186</v>
      </c>
      <c r="L22" s="2">
        <f t="shared" si="4"/>
        <v>1</v>
      </c>
      <c r="M22">
        <f t="shared" ref="M22:M55" si="6">(L21=1)*(L22=1)*(L23=1)</f>
        <v>1</v>
      </c>
      <c r="N22" s="120">
        <f t="shared" ref="N22:N54" si="7">AVERAGE(F21:F23)*M22</f>
        <v>38.577628749314165</v>
      </c>
      <c r="O22" s="120">
        <f t="shared" ref="O22:O54" si="8">AVERAGE(J21:J23)*M22</f>
        <v>38.577628749314165</v>
      </c>
      <c r="P22">
        <f t="shared" si="5"/>
        <v>0</v>
      </c>
      <c r="Q22" s="573">
        <v>0</v>
      </c>
      <c r="R22" s="573">
        <v>0</v>
      </c>
      <c r="T22" s="356">
        <f>PMPM!A53</f>
        <v>40179</v>
      </c>
      <c r="U22" s="357">
        <f>PMPM!B53</f>
        <v>0</v>
      </c>
      <c r="V22" s="178"/>
      <c r="W22" s="178">
        <f>PMPM!D53</f>
        <v>0</v>
      </c>
      <c r="Y22" s="138">
        <f>Final!A132</f>
        <v>44926</v>
      </c>
      <c r="Z22" s="53">
        <f ca="1">Final!B132</f>
        <v>7092482.2100000009</v>
      </c>
      <c r="AA22" s="53">
        <f ca="1">Final!C132</f>
        <v>250438.47845817311</v>
      </c>
      <c r="AB22" s="53">
        <f ca="1">Final!E132</f>
        <v>7342920.6884581745</v>
      </c>
      <c r="AE22" s="121"/>
      <c r="AF22" s="378"/>
      <c r="AG22" s="378"/>
      <c r="AH22" s="378"/>
      <c r="AI22" s="378"/>
      <c r="AJ22" s="379"/>
      <c r="AK22" s="379"/>
      <c r="AL22" s="269"/>
      <c r="AM22" s="269"/>
      <c r="AN22" s="379"/>
    </row>
    <row r="23" spans="1:40" x14ac:dyDescent="0.2">
      <c r="A23" s="121">
        <f>Data!AN40</f>
        <v>44378</v>
      </c>
      <c r="B23" s="41">
        <f>Data!AO40</f>
        <v>107241</v>
      </c>
      <c r="C23" s="41">
        <f>Data!$BO40</f>
        <v>4327216.0260074185</v>
      </c>
      <c r="D23" s="41">
        <f>Data!$BM40</f>
        <v>4326591.57</v>
      </c>
      <c r="E23" s="41">
        <f t="shared" si="2"/>
        <v>624.45600741822273</v>
      </c>
      <c r="F23" s="73">
        <f t="shared" si="0"/>
        <v>40.350388620093234</v>
      </c>
      <c r="G23" s="73">
        <f t="shared" si="1"/>
        <v>5.8229222724351945E-3</v>
      </c>
      <c r="H23" s="15"/>
      <c r="I23" s="15">
        <f>VLOOKUP($A23,PMPM!$A$81:$C$104,3)</f>
        <v>1</v>
      </c>
      <c r="J23" s="73">
        <f t="shared" si="3"/>
        <v>40.350388620093234</v>
      </c>
      <c r="L23" s="2">
        <f t="shared" si="4"/>
        <v>1</v>
      </c>
      <c r="M23">
        <f t="shared" si="6"/>
        <v>1</v>
      </c>
      <c r="N23" s="120">
        <f t="shared" si="7"/>
        <v>42.313181658837323</v>
      </c>
      <c r="O23" s="120">
        <f t="shared" si="8"/>
        <v>42.313181658837323</v>
      </c>
      <c r="P23">
        <f t="shared" si="5"/>
        <v>1</v>
      </c>
      <c r="Q23" s="120">
        <f t="shared" ref="Q23:Q53" si="9">AVERAGE($F20:$F25)*P23</f>
        <v>40.939865542994518</v>
      </c>
      <c r="R23" s="120">
        <f t="shared" ref="R23:R53" si="10">AVERAGE($J20:$J25)*P23</f>
        <v>40.939865542994518</v>
      </c>
      <c r="T23" s="356">
        <f>PMPM!A54</f>
        <v>40179</v>
      </c>
      <c r="U23" s="357">
        <f>PMPM!B54</f>
        <v>0</v>
      </c>
      <c r="V23" s="178"/>
      <c r="W23" s="178">
        <f>PMPM!D54</f>
        <v>0</v>
      </c>
      <c r="Y23" s="138">
        <f>Final!A131</f>
        <v>44957</v>
      </c>
      <c r="Z23" s="53">
        <f ca="1">Final!B131</f>
        <v>6539258.4399999753</v>
      </c>
      <c r="AA23" s="53">
        <f ca="1">Final!C131</f>
        <v>292367.2327810456</v>
      </c>
      <c r="AB23" s="53">
        <f ca="1">Final!E131</f>
        <v>6831625.6727810204</v>
      </c>
      <c r="AE23" s="121"/>
      <c r="AF23" s="378"/>
      <c r="AG23" s="378"/>
      <c r="AH23" s="378"/>
      <c r="AI23" s="378"/>
      <c r="AJ23" s="379"/>
      <c r="AK23" s="379"/>
      <c r="AL23" s="269"/>
      <c r="AM23" s="269"/>
      <c r="AN23" s="379"/>
    </row>
    <row r="24" spans="1:40" x14ac:dyDescent="0.2">
      <c r="A24" s="121">
        <f>Data!AN39</f>
        <v>44409</v>
      </c>
      <c r="B24" s="41">
        <f>Data!AO39</f>
        <v>107513</v>
      </c>
      <c r="C24" s="41">
        <f>Data!$BO39</f>
        <v>5138973.5657334104</v>
      </c>
      <c r="D24" s="41">
        <f>Data!$BM39</f>
        <v>5136808.9499999993</v>
      </c>
      <c r="E24" s="41">
        <f t="shared" si="2"/>
        <v>2164.6157334111631</v>
      </c>
      <c r="F24" s="73">
        <f t="shared" si="0"/>
        <v>47.798624963803547</v>
      </c>
      <c r="G24" s="73">
        <f t="shared" si="1"/>
        <v>2.0133525558873468E-2</v>
      </c>
      <c r="H24" s="15"/>
      <c r="I24" s="15">
        <f>VLOOKUP($A24,PMPM!$A$81:$C$104,3)</f>
        <v>1</v>
      </c>
      <c r="J24" s="73">
        <f t="shared" si="3"/>
        <v>47.798624963803547</v>
      </c>
      <c r="L24" s="2">
        <f t="shared" si="4"/>
        <v>1</v>
      </c>
      <c r="M24">
        <f t="shared" si="6"/>
        <v>1</v>
      </c>
      <c r="N24" s="120">
        <f t="shared" si="7"/>
        <v>44.795601437525484</v>
      </c>
      <c r="O24" s="120">
        <f t="shared" si="8"/>
        <v>44.795601437525484</v>
      </c>
      <c r="P24">
        <f t="shared" si="5"/>
        <v>1</v>
      </c>
      <c r="Q24" s="120">
        <f t="shared" si="9"/>
        <v>42.898571251676138</v>
      </c>
      <c r="R24" s="120">
        <f t="shared" si="10"/>
        <v>42.898571251676138</v>
      </c>
      <c r="T24" s="356">
        <f>PMPM!A55</f>
        <v>40179</v>
      </c>
      <c r="U24" s="357">
        <f>PMPM!B55</f>
        <v>0</v>
      </c>
      <c r="V24" s="178"/>
      <c r="W24" s="178">
        <f>PMPM!D55</f>
        <v>0</v>
      </c>
      <c r="Y24" s="138">
        <f>Final!A130</f>
        <v>44985</v>
      </c>
      <c r="Z24" s="53">
        <f ca="1">Final!B130</f>
        <v>6724581.9799999762</v>
      </c>
      <c r="AA24" s="53">
        <f ca="1">Final!C130</f>
        <v>342545.21129218256</v>
      </c>
      <c r="AB24" s="53">
        <f ca="1">Final!E130</f>
        <v>7067127.1912921593</v>
      </c>
      <c r="AE24" s="121"/>
      <c r="AF24" s="378"/>
      <c r="AG24" s="378"/>
      <c r="AH24" s="378"/>
      <c r="AI24" s="378"/>
      <c r="AJ24" s="379"/>
      <c r="AK24" s="379"/>
      <c r="AL24" s="269"/>
      <c r="AM24" s="269"/>
      <c r="AN24" s="379"/>
    </row>
    <row r="25" spans="1:40" x14ac:dyDescent="0.2">
      <c r="A25" s="121">
        <f>Data!AN38</f>
        <v>44440</v>
      </c>
      <c r="B25" s="41">
        <f>Data!AO38</f>
        <v>107756</v>
      </c>
      <c r="C25" s="41">
        <f>Data!$BO38</f>
        <v>4982399.3777596075</v>
      </c>
      <c r="D25" s="41">
        <f>Data!$BM38</f>
        <v>4979252.309999994</v>
      </c>
      <c r="E25" s="41">
        <f t="shared" si="2"/>
        <v>3147.0677596135065</v>
      </c>
      <c r="F25" s="73">
        <f t="shared" si="0"/>
        <v>46.237790728679677</v>
      </c>
      <c r="G25" s="73">
        <f t="shared" si="1"/>
        <v>2.9205499086951137E-2</v>
      </c>
      <c r="H25" s="15"/>
      <c r="I25" s="15">
        <f>VLOOKUP($A25,PMPM!$A$81:$C$104,3)</f>
        <v>1</v>
      </c>
      <c r="J25" s="73">
        <f t="shared" si="3"/>
        <v>46.237790728679677</v>
      </c>
      <c r="L25" s="2">
        <f t="shared" si="4"/>
        <v>1</v>
      </c>
      <c r="M25">
        <f t="shared" si="6"/>
        <v>1</v>
      </c>
      <c r="N25" s="120">
        <f t="shared" si="7"/>
        <v>47.219513754038104</v>
      </c>
      <c r="O25" s="120">
        <f t="shared" si="8"/>
        <v>47.219513754038104</v>
      </c>
      <c r="P25">
        <f t="shared" si="5"/>
        <v>1</v>
      </c>
      <c r="Q25" s="120">
        <f t="shared" si="9"/>
        <v>44.671127653088661</v>
      </c>
      <c r="R25" s="120">
        <f t="shared" si="10"/>
        <v>44.671127653088661</v>
      </c>
      <c r="T25" s="356">
        <f>PMPM!A56</f>
        <v>40179</v>
      </c>
      <c r="U25" s="357">
        <f>PMPM!B56</f>
        <v>0</v>
      </c>
      <c r="V25" s="178"/>
      <c r="W25" s="178">
        <f>PMPM!D56</f>
        <v>0</v>
      </c>
      <c r="Y25" s="138">
        <f>Final!A129</f>
        <v>45016</v>
      </c>
      <c r="Z25" s="53">
        <f ca="1">Final!B129</f>
        <v>6706181.72999998</v>
      </c>
      <c r="AA25" s="53">
        <f ca="1">Final!C129</f>
        <v>415861.83535942668</v>
      </c>
      <c r="AB25" s="53">
        <f ca="1">Final!E129</f>
        <v>7122043.5653594062</v>
      </c>
      <c r="AE25" s="121"/>
      <c r="AF25" s="378"/>
      <c r="AG25" s="378"/>
      <c r="AH25" s="378"/>
      <c r="AI25" s="378"/>
      <c r="AJ25" s="379"/>
      <c r="AK25" s="379"/>
      <c r="AL25" s="269"/>
      <c r="AM25" s="269"/>
      <c r="AN25" s="379"/>
    </row>
    <row r="26" spans="1:40" x14ac:dyDescent="0.2">
      <c r="A26" s="121">
        <f>Data!AN37</f>
        <v>44470</v>
      </c>
      <c r="B26" s="41">
        <f>Data!AO37</f>
        <v>107747</v>
      </c>
      <c r="C26" s="41">
        <f>Data!$BO37</f>
        <v>5131141.1637510406</v>
      </c>
      <c r="D26" s="41">
        <f>Data!$BM37</f>
        <v>5127093.0199999968</v>
      </c>
      <c r="E26" s="41">
        <f t="shared" si="2"/>
        <v>4048.1437510438263</v>
      </c>
      <c r="F26" s="73">
        <f t="shared" si="0"/>
        <v>47.622125569631088</v>
      </c>
      <c r="G26" s="73">
        <f t="shared" si="1"/>
        <v>3.7570825647524536E-2</v>
      </c>
      <c r="H26" s="15"/>
      <c r="I26" s="15">
        <f>VLOOKUP($A26,PMPM!$A$81:$C$104,3)</f>
        <v>1</v>
      </c>
      <c r="J26" s="73">
        <f t="shared" si="3"/>
        <v>47.622125569631088</v>
      </c>
      <c r="L26" s="2">
        <f t="shared" si="4"/>
        <v>1</v>
      </c>
      <c r="M26">
        <f t="shared" si="6"/>
        <v>1</v>
      </c>
      <c r="N26" s="120">
        <f t="shared" si="7"/>
        <v>47.029073647339999</v>
      </c>
      <c r="O26" s="120">
        <f t="shared" si="8"/>
        <v>47.029073647339999</v>
      </c>
      <c r="P26">
        <f t="shared" si="5"/>
        <v>1</v>
      </c>
      <c r="Q26" s="120">
        <f t="shared" si="9"/>
        <v>46.367390379341394</v>
      </c>
      <c r="R26" s="120">
        <f t="shared" si="10"/>
        <v>46.367390379341394</v>
      </c>
      <c r="T26" s="356">
        <f>PMPM!A57</f>
        <v>40179</v>
      </c>
      <c r="U26" s="357">
        <f>PMPM!B57</f>
        <v>0</v>
      </c>
      <c r="V26" s="178"/>
      <c r="W26" s="178">
        <f>PMPM!D57</f>
        <v>0</v>
      </c>
      <c r="Y26" s="138">
        <f>Final!A128</f>
        <v>45046</v>
      </c>
      <c r="Z26" s="53">
        <f ca="1">Final!B128</f>
        <v>7270526.4799999781</v>
      </c>
      <c r="AA26" s="53">
        <f ca="1">Final!C128</f>
        <v>490984.93535943748</v>
      </c>
      <c r="AB26" s="53">
        <f ca="1">Final!E128</f>
        <v>7761511.4153594151</v>
      </c>
      <c r="AE26" s="121"/>
      <c r="AF26" s="378"/>
      <c r="AG26" s="378"/>
      <c r="AH26" s="378"/>
      <c r="AI26" s="378"/>
      <c r="AJ26" s="379"/>
      <c r="AK26" s="379"/>
      <c r="AL26" s="269"/>
      <c r="AM26" s="269"/>
      <c r="AN26" s="379"/>
    </row>
    <row r="27" spans="1:40" x14ac:dyDescent="0.2">
      <c r="A27" s="121">
        <f>Data!AN36</f>
        <v>44501</v>
      </c>
      <c r="B27" s="41">
        <f>Data!AO36</f>
        <v>108297</v>
      </c>
      <c r="C27" s="41">
        <f>Data!$BO36</f>
        <v>5114575.4109997768</v>
      </c>
      <c r="D27" s="41">
        <f>Data!$BM36</f>
        <v>5109764.6199999982</v>
      </c>
      <c r="E27" s="41">
        <f t="shared" si="2"/>
        <v>4810.7909997785464</v>
      </c>
      <c r="F27" s="73">
        <f t="shared" si="0"/>
        <v>47.227304643709218</v>
      </c>
      <c r="G27" s="73">
        <f t="shared" si="1"/>
        <v>4.4422200058898645E-2</v>
      </c>
      <c r="H27" s="15"/>
      <c r="I27" s="15">
        <f>VLOOKUP($A27,PMPM!$A$81:$C$104,3)</f>
        <v>1</v>
      </c>
      <c r="J27" s="73">
        <f t="shared" si="3"/>
        <v>47.227304643709218</v>
      </c>
      <c r="L27" s="2">
        <f t="shared" si="4"/>
        <v>1</v>
      </c>
      <c r="M27">
        <f t="shared" si="6"/>
        <v>1</v>
      </c>
      <c r="N27" s="120">
        <f t="shared" si="7"/>
        <v>47.93917932115729</v>
      </c>
      <c r="O27" s="120">
        <f t="shared" si="8"/>
        <v>47.93917932115729</v>
      </c>
      <c r="P27">
        <f t="shared" si="5"/>
        <v>1</v>
      </c>
      <c r="Q27" s="120">
        <f t="shared" si="9"/>
        <v>45.107662972008903</v>
      </c>
      <c r="R27" s="120">
        <f t="shared" si="10"/>
        <v>45.107662972008903</v>
      </c>
      <c r="T27" s="356">
        <f>PMPM!A58</f>
        <v>40179</v>
      </c>
      <c r="U27" s="357">
        <f>PMPM!B58</f>
        <v>0</v>
      </c>
      <c r="V27" s="178"/>
      <c r="W27" s="178">
        <f>PMPM!D58</f>
        <v>0</v>
      </c>
      <c r="Y27" s="138">
        <f>Final!A127</f>
        <v>45077</v>
      </c>
      <c r="Z27" s="53">
        <f ca="1">Final!B127</f>
        <v>7317055.3799999971</v>
      </c>
      <c r="AA27" s="53">
        <f ca="1">Final!C127</f>
        <v>587459.82535943994</v>
      </c>
      <c r="AB27" s="53">
        <f ca="1">Final!E127</f>
        <v>7904515.2053594366</v>
      </c>
      <c r="AE27" s="139"/>
      <c r="AF27" s="51"/>
      <c r="AG27" s="51"/>
      <c r="AH27" s="51"/>
      <c r="AI27" s="51"/>
      <c r="AJ27" s="120"/>
      <c r="AK27" s="120"/>
      <c r="AL27" s="141"/>
      <c r="AM27" s="141"/>
      <c r="AN27" s="120"/>
    </row>
    <row r="28" spans="1:40" x14ac:dyDescent="0.2">
      <c r="A28" s="121">
        <f>Data!AN35</f>
        <v>44531</v>
      </c>
      <c r="B28" s="41">
        <f>Data!AO35</f>
        <v>110175</v>
      </c>
      <c r="C28" s="41">
        <f>Data!$BO35</f>
        <v>5395061.2713707471</v>
      </c>
      <c r="D28" s="41">
        <f>Data!$BM35</f>
        <v>5389396.6899999995</v>
      </c>
      <c r="E28" s="41">
        <f t="shared" si="2"/>
        <v>5664.5813707476482</v>
      </c>
      <c r="F28" s="73">
        <f t="shared" si="0"/>
        <v>48.96810775013158</v>
      </c>
      <c r="G28" s="73">
        <f t="shared" si="1"/>
        <v>5.141439864531562E-2</v>
      </c>
      <c r="H28" s="15"/>
      <c r="I28" s="15">
        <f>VLOOKUP($A28,PMPM!$A$81:$C$104,3)</f>
        <v>1</v>
      </c>
      <c r="J28" s="73">
        <f t="shared" si="3"/>
        <v>48.96810775013158</v>
      </c>
      <c r="L28" s="2">
        <f t="shared" si="4"/>
        <v>1</v>
      </c>
      <c r="M28">
        <f t="shared" si="6"/>
        <v>1</v>
      </c>
      <c r="N28" s="120">
        <f t="shared" si="7"/>
        <v>42.995812189979681</v>
      </c>
      <c r="O28" s="120">
        <f t="shared" si="8"/>
        <v>42.995812189979681</v>
      </c>
      <c r="P28">
        <f t="shared" si="5"/>
        <v>1</v>
      </c>
      <c r="Q28" s="120">
        <f t="shared" si="9"/>
        <v>42.336241369951502</v>
      </c>
      <c r="R28" s="120">
        <f t="shared" si="10"/>
        <v>42.336241369951502</v>
      </c>
      <c r="T28" s="356">
        <f>PMPM!A59</f>
        <v>40179</v>
      </c>
      <c r="U28" s="357">
        <f>PMPM!B59</f>
        <v>0</v>
      </c>
      <c r="V28" s="178"/>
      <c r="W28" s="178">
        <f>PMPM!D59</f>
        <v>0</v>
      </c>
      <c r="Y28" s="138">
        <f>Final!A126</f>
        <v>45107</v>
      </c>
      <c r="Z28" s="53">
        <f ca="1">Final!B126</f>
        <v>7583951.6999999937</v>
      </c>
      <c r="AA28" s="53">
        <f ca="1">Final!C126</f>
        <v>706065.52535945317</v>
      </c>
      <c r="AB28" s="53">
        <f ca="1">Final!E126</f>
        <v>8290017.2253594473</v>
      </c>
    </row>
    <row r="29" spans="1:40" x14ac:dyDescent="0.2">
      <c r="A29" s="121">
        <f>Data!AN34</f>
        <v>44562</v>
      </c>
      <c r="B29" s="41">
        <f>Data!AO34</f>
        <v>129231</v>
      </c>
      <c r="C29" s="41">
        <f>Data!$BO34</f>
        <v>4237746.0763013521</v>
      </c>
      <c r="D29" s="41">
        <f>Data!$BM34</f>
        <v>4233060.1300000073</v>
      </c>
      <c r="E29" s="41">
        <f t="shared" si="2"/>
        <v>4685.9463013447821</v>
      </c>
      <c r="F29" s="73">
        <f t="shared" si="0"/>
        <v>32.792024176098245</v>
      </c>
      <c r="G29" s="73">
        <f t="shared" si="1"/>
        <v>3.6260234009988179E-2</v>
      </c>
      <c r="H29" s="15"/>
      <c r="I29" s="15">
        <f>VLOOKUP($A29,PMPM!$A$81:$C$104,3)</f>
        <v>1</v>
      </c>
      <c r="J29" s="73">
        <f t="shared" si="3"/>
        <v>32.792024176098245</v>
      </c>
      <c r="L29" s="2">
        <f t="shared" si="4"/>
        <v>1</v>
      </c>
      <c r="M29">
        <f t="shared" si="6"/>
        <v>1</v>
      </c>
      <c r="N29" s="120">
        <f t="shared" si="7"/>
        <v>37.643409092562997</v>
      </c>
      <c r="O29" s="120">
        <f t="shared" si="8"/>
        <v>37.643409092562997</v>
      </c>
      <c r="P29">
        <f t="shared" si="5"/>
        <v>1</v>
      </c>
      <c r="Q29" s="120">
        <f t="shared" si="9"/>
        <v>41.137631121262963</v>
      </c>
      <c r="R29" s="120">
        <f t="shared" si="10"/>
        <v>41.137631121262963</v>
      </c>
      <c r="T29" s="356">
        <f>PMPM!A60</f>
        <v>40179</v>
      </c>
      <c r="U29" s="357">
        <f>PMPM!B60</f>
        <v>0</v>
      </c>
      <c r="V29" s="178"/>
      <c r="W29" s="178">
        <f>PMPM!D60</f>
        <v>0</v>
      </c>
      <c r="Y29" s="138">
        <f>Final!A125</f>
        <v>45138</v>
      </c>
      <c r="Z29" s="53">
        <f ca="1">Final!B125</f>
        <v>7651037.6499999836</v>
      </c>
      <c r="AA29" s="53">
        <f ca="1">Final!C125</f>
        <v>835458.46535946475</v>
      </c>
      <c r="AB29" s="53">
        <f ca="1">Final!E125</f>
        <v>8486496.1153594479</v>
      </c>
    </row>
    <row r="30" spans="1:40" x14ac:dyDescent="0.2">
      <c r="A30" s="121">
        <f>Data!AN33</f>
        <v>44593</v>
      </c>
      <c r="B30" s="41">
        <f>Data!AO33</f>
        <v>132944</v>
      </c>
      <c r="C30" s="41">
        <f>Data!$BO33</f>
        <v>4143877.1564043867</v>
      </c>
      <c r="D30" s="41">
        <f>Data!$BM33</f>
        <v>4139015.1400000034</v>
      </c>
      <c r="E30" s="41">
        <f t="shared" si="2"/>
        <v>4862.0164043833502</v>
      </c>
      <c r="F30" s="73">
        <f t="shared" si="0"/>
        <v>31.17009535145916</v>
      </c>
      <c r="G30" s="73">
        <f t="shared" si="1"/>
        <v>3.6571913018890283E-2</v>
      </c>
      <c r="H30" s="15"/>
      <c r="I30" s="15">
        <f>VLOOKUP($A30,PMPM!$A$81:$C$104,3)</f>
        <v>1</v>
      </c>
      <c r="J30" s="73">
        <f t="shared" si="3"/>
        <v>31.17009535145916</v>
      </c>
      <c r="L30" s="2">
        <f t="shared" si="4"/>
        <v>1</v>
      </c>
      <c r="M30">
        <f t="shared" si="6"/>
        <v>1</v>
      </c>
      <c r="N30" s="120">
        <f t="shared" si="7"/>
        <v>34.336082921368636</v>
      </c>
      <c r="O30" s="120">
        <f t="shared" si="8"/>
        <v>34.336082921368636</v>
      </c>
      <c r="P30">
        <f t="shared" si="5"/>
        <v>1</v>
      </c>
      <c r="Q30" s="120">
        <f t="shared" si="9"/>
        <v>39.443743177339329</v>
      </c>
      <c r="R30" s="120">
        <f t="shared" si="10"/>
        <v>39.443743177339329</v>
      </c>
      <c r="T30" s="356">
        <f>PMPM!A61</f>
        <v>40179</v>
      </c>
      <c r="U30" s="357">
        <f>PMPM!B61</f>
        <v>0</v>
      </c>
      <c r="V30" s="178"/>
      <c r="W30" s="178">
        <f>PMPM!D61</f>
        <v>0</v>
      </c>
      <c r="Y30" s="138">
        <f>Final!A124</f>
        <v>45169</v>
      </c>
      <c r="Z30" s="53">
        <f ca="1">Final!B124</f>
        <v>8217707.1799999904</v>
      </c>
      <c r="AA30" s="53">
        <f ca="1">Final!C124</f>
        <v>1007742.1753594824</v>
      </c>
      <c r="AB30" s="53">
        <f ca="1">Final!E124</f>
        <v>9225449.3553594723</v>
      </c>
    </row>
    <row r="31" spans="1:40" x14ac:dyDescent="0.2">
      <c r="A31" s="121">
        <f>Data!AN32</f>
        <v>44621</v>
      </c>
      <c r="B31" s="41">
        <f>Data!AO32</f>
        <v>131999</v>
      </c>
      <c r="C31" s="41">
        <f>Data!$BO32</f>
        <v>5154050.0130951665</v>
      </c>
      <c r="D31" s="41">
        <f>Data!$BM32</f>
        <v>5147624.0600000061</v>
      </c>
      <c r="E31" s="41">
        <f t="shared" si="2"/>
        <v>6425.9530951604247</v>
      </c>
      <c r="F31" s="73">
        <f t="shared" si="0"/>
        <v>39.046129236548509</v>
      </c>
      <c r="G31" s="73">
        <f t="shared" si="1"/>
        <v>4.8681831643879306E-2</v>
      </c>
      <c r="H31" s="15"/>
      <c r="I31" s="15">
        <f>VLOOKUP($A31,PMPM!$A$81:$C$104,3)</f>
        <v>1</v>
      </c>
      <c r="J31" s="73">
        <f t="shared" si="3"/>
        <v>39.046129236548509</v>
      </c>
      <c r="L31" s="2">
        <f t="shared" si="4"/>
        <v>1</v>
      </c>
      <c r="M31">
        <f t="shared" si="6"/>
        <v>1</v>
      </c>
      <c r="N31" s="120">
        <f t="shared" si="7"/>
        <v>35.891674164698969</v>
      </c>
      <c r="O31" s="120">
        <f t="shared" si="8"/>
        <v>35.891674164698969</v>
      </c>
      <c r="P31">
        <f t="shared" si="5"/>
        <v>1</v>
      </c>
      <c r="Q31" s="120">
        <f t="shared" si="9"/>
        <v>38.10935860967416</v>
      </c>
      <c r="R31" s="120">
        <f t="shared" si="10"/>
        <v>38.10935860967416</v>
      </c>
      <c r="T31" s="356">
        <f>PMPM!A62</f>
        <v>40179</v>
      </c>
      <c r="U31" s="357">
        <f>PMPM!B62</f>
        <v>0</v>
      </c>
      <c r="V31" s="178"/>
      <c r="W31" s="178">
        <f>PMPM!D62</f>
        <v>0</v>
      </c>
      <c r="Y31" s="138">
        <f>Final!A123</f>
        <v>45199</v>
      </c>
      <c r="Z31" s="53">
        <f ca="1">Final!B123</f>
        <v>7742430.2399999835</v>
      </c>
      <c r="AA31" s="53">
        <f ca="1">Final!C123</f>
        <v>1204988.005359489</v>
      </c>
      <c r="AB31" s="53">
        <f ca="1">Final!E123</f>
        <v>8947418.2453594729</v>
      </c>
    </row>
    <row r="32" spans="1:40" x14ac:dyDescent="0.2">
      <c r="A32" s="121">
        <f>Data!AN31</f>
        <v>44652</v>
      </c>
      <c r="B32" s="41">
        <f>Data!AO31</f>
        <v>132272</v>
      </c>
      <c r="C32" s="41">
        <f>Data!$BO31</f>
        <v>4954750.1166342366</v>
      </c>
      <c r="D32" s="41">
        <f>Data!$BM31</f>
        <v>4947613.3400000166</v>
      </c>
      <c r="E32" s="41">
        <f t="shared" si="2"/>
        <v>7136.7766342200339</v>
      </c>
      <c r="F32" s="73">
        <f t="shared" si="0"/>
        <v>37.458797906089245</v>
      </c>
      <c r="G32" s="73">
        <f t="shared" si="1"/>
        <v>5.3955309016420962E-2</v>
      </c>
      <c r="H32" s="15"/>
      <c r="I32" s="15">
        <f>VLOOKUP($A32,PMPM!$A$81:$C$104,3)</f>
        <v>1</v>
      </c>
      <c r="J32" s="73">
        <f t="shared" si="3"/>
        <v>37.458797906089245</v>
      </c>
      <c r="L32" s="2">
        <f t="shared" si="4"/>
        <v>1</v>
      </c>
      <c r="M32">
        <f t="shared" si="6"/>
        <v>1</v>
      </c>
      <c r="N32" s="120">
        <f t="shared" si="7"/>
        <v>38.575308126785323</v>
      </c>
      <c r="O32" s="120">
        <f t="shared" si="8"/>
        <v>38.575308126785323</v>
      </c>
      <c r="P32">
        <f t="shared" si="5"/>
        <v>1</v>
      </c>
      <c r="Q32" s="120">
        <f t="shared" si="9"/>
        <v>36.512545900430929</v>
      </c>
      <c r="R32" s="120">
        <f t="shared" si="10"/>
        <v>36.512545900430929</v>
      </c>
      <c r="T32" s="356">
        <f>PMPM!A63</f>
        <v>40179</v>
      </c>
      <c r="U32" s="357">
        <f>PMPM!B63</f>
        <v>0</v>
      </c>
      <c r="V32" s="178"/>
      <c r="W32" s="178">
        <f>PMPM!D63</f>
        <v>0</v>
      </c>
      <c r="Y32" s="138">
        <f>Final!A122</f>
        <v>45230</v>
      </c>
      <c r="Z32" s="53">
        <f ca="1">Final!B122</f>
        <v>7424714.5000000075</v>
      </c>
      <c r="AA32" s="53">
        <f ca="1">Final!C122</f>
        <v>1480887.6253594873</v>
      </c>
      <c r="AB32" s="53">
        <f ca="1">Final!E122</f>
        <v>8905602.1253594942</v>
      </c>
    </row>
    <row r="33" spans="1:28" x14ac:dyDescent="0.2">
      <c r="A33" s="121">
        <f>Data!AN30</f>
        <v>44682</v>
      </c>
      <c r="B33" s="41">
        <f>Data!AO30</f>
        <v>132389</v>
      </c>
      <c r="C33" s="41">
        <f>Data!$BO30</f>
        <v>5192428.6033042753</v>
      </c>
      <c r="D33" s="41">
        <f>Data!$BM30</f>
        <v>5184205.140000008</v>
      </c>
      <c r="E33" s="41">
        <f t="shared" si="2"/>
        <v>8223.4633042672649</v>
      </c>
      <c r="F33" s="73">
        <f t="shared" si="0"/>
        <v>39.220997237718201</v>
      </c>
      <c r="G33" s="73">
        <f t="shared" si="1"/>
        <v>6.2115910719676599E-2</v>
      </c>
      <c r="H33" s="15"/>
      <c r="I33" s="15">
        <f>VLOOKUP($A33,PMPM!$A$81:$C$104,3)</f>
        <v>1</v>
      </c>
      <c r="J33" s="73">
        <f t="shared" si="3"/>
        <v>39.220997237718201</v>
      </c>
      <c r="L33" s="2">
        <f t="shared" si="4"/>
        <v>1</v>
      </c>
      <c r="M33">
        <f t="shared" si="6"/>
        <v>1</v>
      </c>
      <c r="N33" s="120">
        <f t="shared" si="7"/>
        <v>38.68900887949323</v>
      </c>
      <c r="O33" s="120">
        <f t="shared" si="8"/>
        <v>38.68900887949323</v>
      </c>
      <c r="P33">
        <f t="shared" si="5"/>
        <v>1</v>
      </c>
      <c r="Q33" s="120">
        <f t="shared" si="9"/>
        <v>37.378242455124273</v>
      </c>
      <c r="R33" s="120">
        <f t="shared" si="10"/>
        <v>37.378242455124273</v>
      </c>
      <c r="T33" s="356">
        <f>PMPM!A64</f>
        <v>40179</v>
      </c>
      <c r="U33" s="357">
        <f>PMPM!B64</f>
        <v>0</v>
      </c>
      <c r="V33" s="178"/>
      <c r="W33" s="178">
        <f>PMPM!D64</f>
        <v>0</v>
      </c>
      <c r="Y33" s="138">
        <f>Final!A121</f>
        <v>45260</v>
      </c>
      <c r="Z33" s="53">
        <f ca="1">Final!B121</f>
        <v>7195993.0899999812</v>
      </c>
      <c r="AA33" s="53">
        <f ca="1">Final!C121</f>
        <v>1794491.4153595068</v>
      </c>
      <c r="AB33" s="53">
        <f ca="1">Final!E121</f>
        <v>8990484.5053594876</v>
      </c>
    </row>
    <row r="34" spans="1:28" x14ac:dyDescent="0.2">
      <c r="A34" s="121">
        <f>Data!AN29</f>
        <v>44713</v>
      </c>
      <c r="B34" s="41">
        <f>Data!AO29</f>
        <v>131777</v>
      </c>
      <c r="C34" s="41">
        <f>Data!$BO29</f>
        <v>5190331.2046734244</v>
      </c>
      <c r="D34" s="41">
        <f>Data!$BM29</f>
        <v>5173808.2900000196</v>
      </c>
      <c r="E34" s="41">
        <f t="shared" si="2"/>
        <v>16522.914673404768</v>
      </c>
      <c r="F34" s="73">
        <f t="shared" si="0"/>
        <v>39.387231494672243</v>
      </c>
      <c r="G34" s="73">
        <f t="shared" si="1"/>
        <v>0.12538542138161263</v>
      </c>
      <c r="H34" s="15"/>
      <c r="I34" s="15">
        <f>VLOOKUP($A34,PMPM!$A$81:$C$104,3)</f>
        <v>1</v>
      </c>
      <c r="J34" s="73">
        <f t="shared" si="3"/>
        <v>39.387231494672243</v>
      </c>
      <c r="L34" s="2">
        <f t="shared" si="4"/>
        <v>1</v>
      </c>
      <c r="M34">
        <f t="shared" si="6"/>
        <v>1</v>
      </c>
      <c r="N34" s="120">
        <f t="shared" si="7"/>
        <v>38.864810745549583</v>
      </c>
      <c r="O34" s="120">
        <f t="shared" si="8"/>
        <v>38.864810745549583</v>
      </c>
      <c r="P34">
        <f t="shared" si="5"/>
        <v>1</v>
      </c>
      <c r="Q34" s="120">
        <f t="shared" si="9"/>
        <v>39.635451324897012</v>
      </c>
      <c r="R34" s="120">
        <f t="shared" si="10"/>
        <v>39.635451324897012</v>
      </c>
      <c r="T34" s="356">
        <f>PMPM!A65</f>
        <v>40179</v>
      </c>
      <c r="U34" s="357">
        <f>PMPM!B65</f>
        <v>0</v>
      </c>
      <c r="V34" s="178"/>
      <c r="W34" s="178">
        <f>PMPM!D65</f>
        <v>0</v>
      </c>
      <c r="Y34" s="138">
        <f>Final!A120</f>
        <v>45291</v>
      </c>
      <c r="Z34" s="53">
        <f ca="1">Final!B120</f>
        <v>6712663.4799999967</v>
      </c>
      <c r="AA34" s="53">
        <f ca="1">Final!C120</f>
        <v>2202967.0453595095</v>
      </c>
      <c r="AB34" s="53">
        <f ca="1">Final!E120</f>
        <v>8915630.5253595058</v>
      </c>
    </row>
    <row r="35" spans="1:28" x14ac:dyDescent="0.2">
      <c r="A35" s="121">
        <f>Data!AN28</f>
        <v>44743</v>
      </c>
      <c r="B35" s="41">
        <f>Data!AO28</f>
        <v>131723</v>
      </c>
      <c r="C35" s="41">
        <f>Data!$BO28</f>
        <v>5003656.6841914151</v>
      </c>
      <c r="D35" s="41">
        <f>Data!$BM28</f>
        <v>4982746.6900000153</v>
      </c>
      <c r="E35" s="41">
        <f t="shared" si="2"/>
        <v>20909.994191399775</v>
      </c>
      <c r="F35" s="73">
        <f t="shared" si="0"/>
        <v>37.986203504258292</v>
      </c>
      <c r="G35" s="73">
        <f t="shared" si="1"/>
        <v>0.15874216493247023</v>
      </c>
      <c r="H35" s="15"/>
      <c r="I35" s="15">
        <f>VLOOKUP($A35,PMPM!$A$81:$C$104,3)</f>
        <v>1</v>
      </c>
      <c r="J35" s="73">
        <f t="shared" si="3"/>
        <v>37.986203504258292</v>
      </c>
      <c r="L35" s="2">
        <f t="shared" si="4"/>
        <v>1</v>
      </c>
      <c r="M35">
        <f t="shared" si="6"/>
        <v>1</v>
      </c>
      <c r="N35" s="120">
        <f t="shared" si="7"/>
        <v>40.695594523008687</v>
      </c>
      <c r="O35" s="120">
        <f t="shared" si="8"/>
        <v>40.695594523008687</v>
      </c>
      <c r="P35">
        <f t="shared" si="5"/>
        <v>1</v>
      </c>
      <c r="Q35" s="120">
        <f t="shared" si="9"/>
        <v>39.925626777122076</v>
      </c>
      <c r="R35" s="120">
        <f t="shared" si="10"/>
        <v>39.925626777122076</v>
      </c>
      <c r="T35" s="356">
        <f>PMPM!A66</f>
        <v>40179</v>
      </c>
      <c r="U35" s="357">
        <f>PMPM!B66</f>
        <v>0</v>
      </c>
      <c r="V35" s="178"/>
      <c r="W35" s="178">
        <f>PMPM!D66</f>
        <v>0</v>
      </c>
      <c r="Y35" s="138">
        <f>Final!A119</f>
        <v>45322</v>
      </c>
      <c r="Z35" s="53">
        <f ca="1">Final!B119</f>
        <v>5963486.2499999888</v>
      </c>
      <c r="AA35" s="53">
        <f ca="1">Final!C119</f>
        <v>3131600.7753595184</v>
      </c>
      <c r="AB35" s="53">
        <f ca="1">Final!E119</f>
        <v>9095087.0253595077</v>
      </c>
    </row>
    <row r="36" spans="1:28" x14ac:dyDescent="0.2">
      <c r="A36" s="121">
        <f>Data!AN27</f>
        <v>44774</v>
      </c>
      <c r="B36" s="41">
        <f>Data!AO27</f>
        <v>130970</v>
      </c>
      <c r="C36" s="41">
        <f>Data!$BO27</f>
        <v>5856107.2622254128</v>
      </c>
      <c r="D36" s="41">
        <f>Data!$BM27</f>
        <v>5828321.8600000264</v>
      </c>
      <c r="E36" s="41">
        <f t="shared" si="2"/>
        <v>27785.402225386351</v>
      </c>
      <c r="F36" s="73">
        <f t="shared" si="0"/>
        <v>44.71334857009554</v>
      </c>
      <c r="G36" s="73">
        <f t="shared" si="1"/>
        <v>0.21215089123758382</v>
      </c>
      <c r="H36" s="15"/>
      <c r="I36" s="15">
        <f>VLOOKUP($A36,PMPM!$A$81:$C$104,3)</f>
        <v>1</v>
      </c>
      <c r="J36" s="73">
        <f t="shared" si="3"/>
        <v>44.71334857009554</v>
      </c>
      <c r="L36" s="2">
        <f t="shared" si="4"/>
        <v>1</v>
      </c>
      <c r="M36">
        <f t="shared" si="6"/>
        <v>1</v>
      </c>
      <c r="N36" s="120">
        <f t="shared" si="7"/>
        <v>41.162244674750916</v>
      </c>
      <c r="O36" s="120">
        <f t="shared" si="8"/>
        <v>41.162244674750916</v>
      </c>
      <c r="P36">
        <f t="shared" si="5"/>
        <v>1</v>
      </c>
      <c r="Q36" s="120">
        <f t="shared" si="9"/>
        <v>40.596193967224536</v>
      </c>
      <c r="R36" s="120">
        <f t="shared" si="10"/>
        <v>40.596193967224536</v>
      </c>
      <c r="T36" s="356">
        <f>PMPM!A67</f>
        <v>40179</v>
      </c>
      <c r="U36" s="357">
        <f>PMPM!B67</f>
        <v>0</v>
      </c>
      <c r="V36" s="178"/>
      <c r="W36" s="178">
        <f>PMPM!D67</f>
        <v>0</v>
      </c>
      <c r="Y36" s="138">
        <f>Final!A118</f>
        <v>45351</v>
      </c>
      <c r="Z36" s="53">
        <f ca="1">Final!B118</f>
        <v>4295321.2200000053</v>
      </c>
      <c r="AA36" s="53">
        <f ca="1">Final!C118</f>
        <v>5393266.8953595115</v>
      </c>
      <c r="AB36" s="53">
        <f ca="1">Final!E118</f>
        <v>9688588.1153595168</v>
      </c>
    </row>
    <row r="37" spans="1:28" x14ac:dyDescent="0.2">
      <c r="A37" s="121">
        <f>Data!AN26</f>
        <v>44805</v>
      </c>
      <c r="B37" s="41">
        <f>Data!AO26</f>
        <v>129309</v>
      </c>
      <c r="C37" s="41">
        <f>Data!$BO26</f>
        <v>5274149.7107594796</v>
      </c>
      <c r="D37" s="41">
        <f>Data!$BM26</f>
        <v>5247006.4900000235</v>
      </c>
      <c r="E37" s="41">
        <f t="shared" si="2"/>
        <v>27143.220759456046</v>
      </c>
      <c r="F37" s="73">
        <f t="shared" si="0"/>
        <v>40.787181949898923</v>
      </c>
      <c r="G37" s="73">
        <f t="shared" si="1"/>
        <v>0.20990975693459887</v>
      </c>
      <c r="H37" s="15"/>
      <c r="I37" s="15">
        <f>VLOOKUP($A37,PMPM!$A$81:$C$104,3)</f>
        <v>1</v>
      </c>
      <c r="J37" s="73">
        <f t="shared" si="3"/>
        <v>40.787181949898923</v>
      </c>
      <c r="L37" s="2">
        <f t="shared" si="4"/>
        <v>1</v>
      </c>
      <c r="M37">
        <f t="shared" si="6"/>
        <v>1</v>
      </c>
      <c r="N37" s="120">
        <f t="shared" si="7"/>
        <v>42.32757718889949</v>
      </c>
      <c r="O37" s="120">
        <f t="shared" si="8"/>
        <v>42.32757718889949</v>
      </c>
      <c r="P37">
        <f t="shared" si="5"/>
        <v>1</v>
      </c>
      <c r="Q37" s="120">
        <f t="shared" si="9"/>
        <v>40.608172475026038</v>
      </c>
      <c r="R37" s="120">
        <f t="shared" si="10"/>
        <v>40.608172475026038</v>
      </c>
      <c r="T37" s="356">
        <f>PMPM!A68</f>
        <v>40179</v>
      </c>
      <c r="U37" s="357">
        <f>PMPM!B68</f>
        <v>0</v>
      </c>
      <c r="V37" s="178"/>
      <c r="W37" s="178">
        <f>PMPM!D68</f>
        <v>0</v>
      </c>
      <c r="Y37" s="138">
        <f>Final!A117</f>
        <v>45382</v>
      </c>
      <c r="Z37" s="53">
        <f ca="1">Final!B117</f>
        <v>0</v>
      </c>
      <c r="AA37" s="53">
        <f ca="1">Final!C117</f>
        <v>11137700.655359512</v>
      </c>
      <c r="AB37" s="53">
        <f ca="1">Final!E117</f>
        <v>11137700.655359512</v>
      </c>
    </row>
    <row r="38" spans="1:28" x14ac:dyDescent="0.2">
      <c r="A38" s="121">
        <f>Data!AN25</f>
        <v>44835</v>
      </c>
      <c r="B38" s="41">
        <f>Data!AO25</f>
        <v>128887</v>
      </c>
      <c r="C38" s="41">
        <f>Data!$BO25</f>
        <v>5346516.4463065388</v>
      </c>
      <c r="D38" s="41">
        <f>Data!$BM25</f>
        <v>5314346.360000018</v>
      </c>
      <c r="E38" s="41">
        <f t="shared" si="2"/>
        <v>32170.086306520738</v>
      </c>
      <c r="F38" s="73">
        <f t="shared" si="0"/>
        <v>41.482201046704006</v>
      </c>
      <c r="G38" s="73">
        <f t="shared" si="1"/>
        <v>0.24959915512441702</v>
      </c>
      <c r="H38" s="15"/>
      <c r="I38" s="15">
        <f>VLOOKUP($A38,PMPM!$A$81:$C$104,3)</f>
        <v>1</v>
      </c>
      <c r="J38" s="73">
        <f t="shared" si="3"/>
        <v>41.482201046704006</v>
      </c>
      <c r="L38" s="2">
        <f t="shared" si="4"/>
        <v>1</v>
      </c>
      <c r="M38">
        <f t="shared" si="6"/>
        <v>1</v>
      </c>
      <c r="N38" s="120">
        <f t="shared" si="7"/>
        <v>40.520750427043382</v>
      </c>
      <c r="O38" s="120">
        <f t="shared" si="8"/>
        <v>40.520750427043382</v>
      </c>
      <c r="P38">
        <f t="shared" si="5"/>
        <v>1</v>
      </c>
      <c r="Q38" s="120">
        <f t="shared" si="9"/>
        <v>40.702829389673809</v>
      </c>
      <c r="R38" s="120">
        <f t="shared" si="10"/>
        <v>40.702829389673809</v>
      </c>
      <c r="T38" s="356">
        <f>PMPM!A69</f>
        <v>40179</v>
      </c>
      <c r="U38" s="357">
        <f>PMPM!B69</f>
        <v>0</v>
      </c>
      <c r="V38" s="178"/>
      <c r="W38" s="178">
        <f>PMPM!D69</f>
        <v>0</v>
      </c>
    </row>
    <row r="39" spans="1:28" x14ac:dyDescent="0.2">
      <c r="A39" s="121">
        <f>Data!AN24</f>
        <v>44866</v>
      </c>
      <c r="B39" s="41">
        <f>Data!AO24</f>
        <v>128447</v>
      </c>
      <c r="C39" s="41">
        <f>Data!$BO24</f>
        <v>5047051.0525426669</v>
      </c>
      <c r="D39" s="41">
        <f>Data!$BM24</f>
        <v>5011832.2300000172</v>
      </c>
      <c r="E39" s="41">
        <f t="shared" si="2"/>
        <v>35218.822542649694</v>
      </c>
      <c r="F39" s="73">
        <f t="shared" si="0"/>
        <v>39.292868284527216</v>
      </c>
      <c r="G39" s="73">
        <f t="shared" si="1"/>
        <v>0.27418952986562312</v>
      </c>
      <c r="H39" s="15"/>
      <c r="I39" s="15">
        <f>VLOOKUP($A39,PMPM!$A$81:$C$104,3)</f>
        <v>1</v>
      </c>
      <c r="J39" s="73">
        <f t="shared" si="3"/>
        <v>39.292868284527216</v>
      </c>
      <c r="L39" s="2">
        <f t="shared" si="4"/>
        <v>1</v>
      </c>
      <c r="M39">
        <f t="shared" si="6"/>
        <v>1</v>
      </c>
      <c r="N39" s="120">
        <f t="shared" si="7"/>
        <v>40.243414104596695</v>
      </c>
      <c r="O39" s="120">
        <f t="shared" si="8"/>
        <v>40.243414104596695</v>
      </c>
      <c r="P39">
        <f t="shared" si="5"/>
        <v>1</v>
      </c>
      <c r="Q39" s="120">
        <f t="shared" si="9"/>
        <v>40.114725285484759</v>
      </c>
      <c r="R39" s="120">
        <f t="shared" si="10"/>
        <v>40.114725285484759</v>
      </c>
      <c r="T39" s="356">
        <f>PMPM!A70</f>
        <v>40179</v>
      </c>
      <c r="U39" s="357">
        <f>PMPM!B70</f>
        <v>0</v>
      </c>
      <c r="V39" s="178"/>
      <c r="W39" s="178">
        <f>PMPM!D70</f>
        <v>0</v>
      </c>
    </row>
    <row r="40" spans="1:28" x14ac:dyDescent="0.2">
      <c r="A40" s="121">
        <f>Data!AN23</f>
        <v>44896</v>
      </c>
      <c r="B40" s="41">
        <f>Data!AO23</f>
        <v>128156</v>
      </c>
      <c r="C40" s="41">
        <f>Data!$BO23</f>
        <v>5120495.1487528142</v>
      </c>
      <c r="D40" s="41">
        <f>Data!$BM23</f>
        <v>5081907.6000000248</v>
      </c>
      <c r="E40" s="41">
        <f t="shared" si="2"/>
        <v>38587.548752789386</v>
      </c>
      <c r="F40" s="73">
        <f t="shared" si="0"/>
        <v>39.955172982558864</v>
      </c>
      <c r="G40" s="73">
        <f t="shared" si="1"/>
        <v>0.30109826112542049</v>
      </c>
      <c r="H40" s="15"/>
      <c r="I40" s="15">
        <f>VLOOKUP($A40,PMPM!$A$81:$C$104,3)</f>
        <v>1</v>
      </c>
      <c r="J40" s="73">
        <f t="shared" si="3"/>
        <v>39.955172982558864</v>
      </c>
      <c r="L40" s="2">
        <f t="shared" si="4"/>
        <v>1</v>
      </c>
      <c r="M40">
        <f t="shared" si="6"/>
        <v>1</v>
      </c>
      <c r="N40" s="120">
        <f t="shared" si="7"/>
        <v>37.901873382070029</v>
      </c>
      <c r="O40" s="120">
        <f t="shared" si="8"/>
        <v>37.901873382070029</v>
      </c>
      <c r="P40">
        <f t="shared" si="5"/>
        <v>1</v>
      </c>
      <c r="Q40" s="120">
        <f t="shared" si="9"/>
        <v>38.594257188957094</v>
      </c>
      <c r="R40" s="120">
        <f t="shared" si="10"/>
        <v>38.594257188957094</v>
      </c>
      <c r="T40" s="356">
        <f>PMPM!A71</f>
        <v>40179</v>
      </c>
      <c r="U40" s="357">
        <f>PMPM!B71</f>
        <v>0</v>
      </c>
      <c r="V40" s="178"/>
      <c r="W40" s="178">
        <f>PMPM!D71</f>
        <v>0</v>
      </c>
    </row>
    <row r="41" spans="1:28" x14ac:dyDescent="0.2">
      <c r="A41" s="121">
        <f>Data!AN22</f>
        <v>44927</v>
      </c>
      <c r="B41" s="41">
        <f>Data!AO22</f>
        <v>134089</v>
      </c>
      <c r="C41" s="41">
        <f>Data!$BO22</f>
        <v>4620382.2943228586</v>
      </c>
      <c r="D41" s="41">
        <f>Data!$BM22</f>
        <v>4578453.5399999861</v>
      </c>
      <c r="E41" s="41">
        <f t="shared" si="2"/>
        <v>41928.754322872497</v>
      </c>
      <c r="F41" s="73">
        <f t="shared" si="0"/>
        <v>34.457578879124007</v>
      </c>
      <c r="G41" s="73">
        <f t="shared" si="1"/>
        <v>0.31269346719620922</v>
      </c>
      <c r="H41" s="15"/>
      <c r="I41" s="15">
        <f>VLOOKUP($A41,PMPM!$A$81:$C$104,3)</f>
        <v>1</v>
      </c>
      <c r="J41" s="73">
        <f t="shared" si="3"/>
        <v>34.457578879124007</v>
      </c>
      <c r="L41" s="2">
        <f t="shared" si="4"/>
        <v>1</v>
      </c>
      <c r="M41">
        <f t="shared" si="6"/>
        <v>1</v>
      </c>
      <c r="N41" s="120">
        <f t="shared" si="7"/>
        <v>36.667763950870807</v>
      </c>
      <c r="O41" s="120">
        <f t="shared" si="8"/>
        <v>36.667763950870807</v>
      </c>
      <c r="P41">
        <f t="shared" si="5"/>
        <v>1</v>
      </c>
      <c r="Q41" s="120">
        <f t="shared" si="9"/>
        <v>39.008408370093626</v>
      </c>
      <c r="R41" s="120">
        <f t="shared" si="10"/>
        <v>39.008408370093626</v>
      </c>
      <c r="T41" s="356">
        <f>PMPM!A72</f>
        <v>40179</v>
      </c>
      <c r="U41" s="357">
        <f>PMPM!B72</f>
        <v>0</v>
      </c>
      <c r="V41" s="178"/>
      <c r="W41" s="178">
        <f>PMPM!D72</f>
        <v>0</v>
      </c>
    </row>
    <row r="42" spans="1:28" x14ac:dyDescent="0.2">
      <c r="A42" s="121">
        <f>Data!AN21</f>
        <v>44958</v>
      </c>
      <c r="B42" s="41">
        <f>Data!AO21</f>
        <v>135481</v>
      </c>
      <c r="C42" s="41">
        <f>Data!$BO21</f>
        <v>4821841.9485111265</v>
      </c>
      <c r="D42" s="41">
        <f>Data!$BM21</f>
        <v>4771663.9699999895</v>
      </c>
      <c r="E42" s="41">
        <f t="shared" si="2"/>
        <v>50177.978511136957</v>
      </c>
      <c r="F42" s="73">
        <f t="shared" si="0"/>
        <v>35.59053999092955</v>
      </c>
      <c r="G42" s="73">
        <f t="shared" si="1"/>
        <v>0.37036911826113594</v>
      </c>
      <c r="H42" s="15"/>
      <c r="I42" s="15">
        <f>VLOOKUP($A42,PMPM!$A$81:$C$104,3)</f>
        <v>1</v>
      </c>
      <c r="J42" s="73">
        <f t="shared" si="3"/>
        <v>35.59053999092955</v>
      </c>
      <c r="L42" s="2">
        <f t="shared" si="4"/>
        <v>1</v>
      </c>
      <c r="M42">
        <f t="shared" si="6"/>
        <v>1</v>
      </c>
      <c r="N42" s="120">
        <f t="shared" si="7"/>
        <v>37.77340263559055</v>
      </c>
      <c r="O42" s="120">
        <f t="shared" si="8"/>
        <v>37.77340263559055</v>
      </c>
      <c r="P42">
        <f t="shared" ca="1" si="5"/>
        <v>1</v>
      </c>
      <c r="Q42" s="120">
        <f t="shared" ca="1" si="9"/>
        <v>38.091926906136003</v>
      </c>
      <c r="R42" s="120">
        <f t="shared" ca="1" si="10"/>
        <v>38.091926906136003</v>
      </c>
      <c r="T42" s="356">
        <f>PMPM!A73</f>
        <v>40179</v>
      </c>
      <c r="U42" s="357">
        <f>PMPM!B73</f>
        <v>0</v>
      </c>
      <c r="V42" s="178"/>
      <c r="W42" s="178">
        <f>PMPM!D73</f>
        <v>0</v>
      </c>
    </row>
    <row r="43" spans="1:28" x14ac:dyDescent="0.2">
      <c r="A43" s="121">
        <f>Data!AN20</f>
        <v>44986</v>
      </c>
      <c r="B43" s="41">
        <f>Data!AO20</f>
        <v>134844</v>
      </c>
      <c r="C43" s="41">
        <f>Data!$BO20</f>
        <v>5834981.5740672164</v>
      </c>
      <c r="D43" s="41">
        <f>Data!$BM20</f>
        <v>5761664.9499999722</v>
      </c>
      <c r="E43" s="41">
        <f t="shared" si="2"/>
        <v>73316.62406724412</v>
      </c>
      <c r="F43" s="73">
        <f t="shared" si="0"/>
        <v>43.272089036718107</v>
      </c>
      <c r="G43" s="73">
        <f t="shared" si="1"/>
        <v>0.54371439639319596</v>
      </c>
      <c r="H43" s="15"/>
      <c r="I43" s="15">
        <f>VLOOKUP($A43,PMPM!$A$81:$C$104,3)</f>
        <v>1</v>
      </c>
      <c r="J43" s="73">
        <f t="shared" si="3"/>
        <v>43.272089036718107</v>
      </c>
      <c r="L43" s="2">
        <f t="shared" si="4"/>
        <v>1</v>
      </c>
      <c r="M43">
        <f t="shared" ca="1" si="6"/>
        <v>1</v>
      </c>
      <c r="N43" s="120">
        <f t="shared" ca="1" si="7"/>
        <v>38.281980430201976</v>
      </c>
      <c r="O43" s="120">
        <f t="shared" ca="1" si="8"/>
        <v>38.281980430201976</v>
      </c>
      <c r="P43">
        <f t="shared" ca="1" si="5"/>
        <v>1</v>
      </c>
      <c r="Q43" s="120">
        <f t="shared" ca="1" si="9"/>
        <v>38.251779489981921</v>
      </c>
      <c r="R43" s="120">
        <f t="shared" ca="1" si="10"/>
        <v>38.251779489981921</v>
      </c>
      <c r="T43" s="356">
        <f>PMPM!A74</f>
        <v>40179</v>
      </c>
      <c r="U43" s="357">
        <f>PMPM!B74</f>
        <v>0</v>
      </c>
      <c r="V43" s="178"/>
      <c r="W43" s="178">
        <f>PMPM!D74</f>
        <v>0</v>
      </c>
    </row>
    <row r="44" spans="1:28" x14ac:dyDescent="0.2">
      <c r="A44" s="121">
        <f>Data!AN19</f>
        <v>45017</v>
      </c>
      <c r="B44" s="41">
        <f>Data!AO19</f>
        <v>134470</v>
      </c>
      <c r="C44" s="123">
        <f ca="1">Final!$X22</f>
        <v>4838676</v>
      </c>
      <c r="D44" s="41">
        <f>Data!$BM19</f>
        <v>4763552.8999999892</v>
      </c>
      <c r="E44" s="41">
        <f t="shared" ca="1" si="2"/>
        <v>75123.100000010803</v>
      </c>
      <c r="F44" s="73">
        <f t="shared" ca="1" si="0"/>
        <v>35.983312262958279</v>
      </c>
      <c r="G44" s="73">
        <f t="shared" ca="1" si="1"/>
        <v>0.55866066780702617</v>
      </c>
      <c r="H44" s="15"/>
      <c r="I44" s="15">
        <f>VLOOKUP($A44,PMPM!$A$81:$C$104,3)</f>
        <v>1</v>
      </c>
      <c r="J44" s="73">
        <f t="shared" ca="1" si="3"/>
        <v>35.983312262958279</v>
      </c>
      <c r="L44" s="2">
        <f t="shared" ca="1" si="4"/>
        <v>1</v>
      </c>
      <c r="M44">
        <f t="shared" ca="1" si="6"/>
        <v>1</v>
      </c>
      <c r="N44" s="120">
        <f t="shared" ca="1" si="7"/>
        <v>39.835795029093035</v>
      </c>
      <c r="O44" s="120">
        <f t="shared" ca="1" si="8"/>
        <v>39.835795029093035</v>
      </c>
      <c r="P44">
        <f t="shared" ca="1" si="5"/>
        <v>1</v>
      </c>
      <c r="Q44" s="120">
        <f t="shared" ca="1" si="9"/>
        <v>38.420343103770144</v>
      </c>
      <c r="R44" s="120">
        <f t="shared" ca="1" si="10"/>
        <v>38.420343103770144</v>
      </c>
    </row>
    <row r="45" spans="1:28" x14ac:dyDescent="0.2">
      <c r="A45" s="121">
        <f>Data!AN18</f>
        <v>45047</v>
      </c>
      <c r="B45" s="41">
        <f>Data!AO18</f>
        <v>134465</v>
      </c>
      <c r="C45" s="123">
        <f ca="1">Final!$X21</f>
        <v>5412483</v>
      </c>
      <c r="D45" s="41">
        <f>Data!$BM18</f>
        <v>5316008.1099999975</v>
      </c>
      <c r="E45" s="41">
        <f t="shared" ca="1" si="2"/>
        <v>96474.890000002459</v>
      </c>
      <c r="F45" s="73">
        <f t="shared" ca="1" si="0"/>
        <v>40.251983787602725</v>
      </c>
      <c r="G45" s="73">
        <f t="shared" ca="1" si="1"/>
        <v>0.71747213029414691</v>
      </c>
      <c r="H45" s="15"/>
      <c r="I45" s="15">
        <f>VLOOKUP($A45,PMPM!$A$81:$C$104,3)</f>
        <v>1</v>
      </c>
      <c r="J45" s="73">
        <f t="shared" ca="1" si="3"/>
        <v>40.251983787602725</v>
      </c>
      <c r="L45" s="2">
        <f t="shared" ca="1" si="4"/>
        <v>1</v>
      </c>
      <c r="M45">
        <f t="shared" ca="1" si="6"/>
        <v>1</v>
      </c>
      <c r="N45" s="120">
        <f t="shared" ca="1" si="7"/>
        <v>39.06728357194973</v>
      </c>
      <c r="O45" s="120">
        <f t="shared" ca="1" si="8"/>
        <v>39.06728357194973</v>
      </c>
      <c r="P45">
        <f t="shared" ca="1" si="5"/>
        <v>1</v>
      </c>
      <c r="Q45" s="120">
        <f t="shared" ca="1" si="9"/>
        <v>39.06438800339523</v>
      </c>
      <c r="R45" s="120">
        <f t="shared" ca="1" si="10"/>
        <v>39.06438800339523</v>
      </c>
    </row>
    <row r="46" spans="1:28" x14ac:dyDescent="0.2">
      <c r="A46" s="121">
        <f>Data!AN17</f>
        <v>45078</v>
      </c>
      <c r="B46" s="41">
        <f>Data!AO17</f>
        <v>135415</v>
      </c>
      <c r="C46" s="123">
        <f ca="1">Final!$X20</f>
        <v>5547486</v>
      </c>
      <c r="D46" s="41">
        <f>Data!$BM17</f>
        <v>5428880.2999999868</v>
      </c>
      <c r="E46" s="41">
        <f t="shared" ca="1" si="2"/>
        <v>118605.70000001322</v>
      </c>
      <c r="F46" s="73">
        <f t="shared" ca="1" si="0"/>
        <v>40.966554665288186</v>
      </c>
      <c r="G46" s="73">
        <f t="shared" ca="1" si="1"/>
        <v>0.87586825684018188</v>
      </c>
      <c r="H46" s="15"/>
      <c r="I46" s="15">
        <f>VLOOKUP($A46,PMPM!$A$81:$C$104,3)</f>
        <v>1</v>
      </c>
      <c r="J46" s="73">
        <f t="shared" ca="1" si="3"/>
        <v>40.966554665288186</v>
      </c>
      <c r="L46" s="2">
        <f t="shared" ca="1" si="4"/>
        <v>1</v>
      </c>
      <c r="M46">
        <f t="shared" ca="1" si="6"/>
        <v>1</v>
      </c>
      <c r="N46" s="120">
        <f t="shared" ca="1" si="7"/>
        <v>39.846795576588477</v>
      </c>
      <c r="O46" s="120">
        <f t="shared" ca="1" si="8"/>
        <v>39.846795576588477</v>
      </c>
      <c r="P46">
        <f t="shared" ca="1" si="5"/>
        <v>1</v>
      </c>
      <c r="Q46" s="120">
        <f t="shared" ca="1" si="9"/>
        <v>40.450772078602121</v>
      </c>
      <c r="R46" s="120">
        <f t="shared" ca="1" si="10"/>
        <v>40.450772078602121</v>
      </c>
    </row>
    <row r="47" spans="1:28" x14ac:dyDescent="0.2">
      <c r="A47" s="121">
        <f>Data!AN16</f>
        <v>45108</v>
      </c>
      <c r="B47" s="41">
        <f>Data!AO16</f>
        <v>136235</v>
      </c>
      <c r="C47" s="122">
        <f ca="1">Final!$X19</f>
        <v>5220777</v>
      </c>
      <c r="D47" s="41">
        <f>Data!$BM16</f>
        <v>5091384.0599999884</v>
      </c>
      <c r="E47" s="41">
        <f t="shared" ca="1" si="2"/>
        <v>129392.94000001159</v>
      </c>
      <c r="F47" s="73">
        <f t="shared" ca="1" si="0"/>
        <v>38.321848276874519</v>
      </c>
      <c r="G47" s="73">
        <f t="shared" ca="1" si="1"/>
        <v>0.94977751679092437</v>
      </c>
      <c r="H47" s="15"/>
      <c r="I47" s="15">
        <f>VLOOKUP($A47,PMPM!$A$81:$C$104,3)</f>
        <v>1</v>
      </c>
      <c r="J47" s="73">
        <f t="shared" ca="1" si="3"/>
        <v>38.321848276874519</v>
      </c>
      <c r="L47" s="2">
        <f t="shared" ca="1" si="4"/>
        <v>1</v>
      </c>
      <c r="M47">
        <f t="shared" ca="1" si="6"/>
        <v>1</v>
      </c>
      <c r="N47" s="120">
        <f t="shared" ca="1" si="7"/>
        <v>41.065749128111214</v>
      </c>
      <c r="O47" s="120">
        <f t="shared" ca="1" si="8"/>
        <v>41.065749128111214</v>
      </c>
      <c r="P47">
        <f t="shared" ca="1" si="5"/>
        <v>1</v>
      </c>
      <c r="Q47" s="120">
        <f t="shared" ca="1" si="9"/>
        <v>39.844760491322859</v>
      </c>
      <c r="R47" s="120">
        <f t="shared" ca="1" si="10"/>
        <v>39.844760491322859</v>
      </c>
    </row>
    <row r="48" spans="1:28" x14ac:dyDescent="0.2">
      <c r="A48" s="121">
        <f>Data!AN15</f>
        <v>45139</v>
      </c>
      <c r="B48" s="41">
        <f>Data!AO15</f>
        <v>136843</v>
      </c>
      <c r="C48" s="122">
        <f ca="1">Final!$X18</f>
        <v>6008618</v>
      </c>
      <c r="D48" s="41">
        <f>Data!$BM15</f>
        <v>5836334.2899999823</v>
      </c>
      <c r="E48" s="41">
        <f t="shared" ca="1" si="2"/>
        <v>172283.71000001766</v>
      </c>
      <c r="F48" s="73">
        <f t="shared" ca="1" si="0"/>
        <v>43.908844442170953</v>
      </c>
      <c r="G48" s="73">
        <f t="shared" ca="1" si="1"/>
        <v>1.2589881104624836</v>
      </c>
      <c r="H48" s="15"/>
      <c r="I48" s="15">
        <f>VLOOKUP($A48,PMPM!$A$81:$C$104,3)</f>
        <v>1</v>
      </c>
      <c r="J48" s="73">
        <f t="shared" ca="1" si="3"/>
        <v>43.908844442170953</v>
      </c>
      <c r="L48" s="2">
        <f t="shared" ca="1" si="4"/>
        <v>1</v>
      </c>
      <c r="M48">
        <f t="shared" ca="1" si="6"/>
        <v>1</v>
      </c>
      <c r="N48" s="120">
        <f t="shared" ca="1" si="7"/>
        <v>40.62223741069598</v>
      </c>
      <c r="O48" s="120">
        <f t="shared" ca="1" si="8"/>
        <v>40.62223741069598</v>
      </c>
      <c r="P48">
        <f t="shared" ca="1" si="5"/>
        <v>1</v>
      </c>
      <c r="Q48" s="120">
        <f t="shared" ca="1" si="9"/>
        <v>41.406584482410494</v>
      </c>
      <c r="R48" s="120">
        <f t="shared" ca="1" si="10"/>
        <v>41.406584482410494</v>
      </c>
    </row>
    <row r="49" spans="1:18" x14ac:dyDescent="0.2">
      <c r="A49" s="121">
        <f>Data!AN14</f>
        <v>45170</v>
      </c>
      <c r="B49" s="41">
        <f>Data!AO14</f>
        <v>138164</v>
      </c>
      <c r="C49" s="122">
        <f ca="1">Final!$X17</f>
        <v>5476271</v>
      </c>
      <c r="D49" s="41">
        <f>Data!$BM14</f>
        <v>5279025.1699999934</v>
      </c>
      <c r="E49" s="41">
        <f t="shared" ca="1" si="2"/>
        <v>197245.83000000659</v>
      </c>
      <c r="F49" s="73">
        <f t="shared" ca="1" si="0"/>
        <v>39.63601951304247</v>
      </c>
      <c r="G49" s="73">
        <f t="shared" ca="1" si="1"/>
        <v>1.4276210156046916</v>
      </c>
      <c r="H49" s="15"/>
      <c r="I49" s="15">
        <f>VLOOKUP($A49,PMPM!$A$81:$C$104,3)</f>
        <v>1</v>
      </c>
      <c r="J49" s="73">
        <f t="shared" ca="1" si="3"/>
        <v>39.63601951304247</v>
      </c>
      <c r="L49" s="2">
        <f t="shared" ca="1" si="4"/>
        <v>1</v>
      </c>
      <c r="M49">
        <f t="shared" ca="1" si="6"/>
        <v>1</v>
      </c>
      <c r="N49" s="120">
        <f t="shared" ca="1" si="7"/>
        <v>42.966373388232512</v>
      </c>
      <c r="O49" s="120">
        <f t="shared" ca="1" si="8"/>
        <v>42.966373388232512</v>
      </c>
      <c r="P49">
        <f t="shared" ca="1" si="5"/>
        <v>1</v>
      </c>
      <c r="Q49" s="120">
        <f t="shared" ca="1" si="9"/>
        <v>41.715835758736723</v>
      </c>
      <c r="R49" s="120">
        <f t="shared" ca="1" si="10"/>
        <v>41.715835758736723</v>
      </c>
    </row>
    <row r="50" spans="1:18" x14ac:dyDescent="0.2">
      <c r="A50" s="121">
        <f>Data!AN13</f>
        <v>45200</v>
      </c>
      <c r="B50" s="41">
        <f>Data!AO13</f>
        <v>140994</v>
      </c>
      <c r="C50" s="123">
        <f ca="1">Final!$X16</f>
        <v>6394678</v>
      </c>
      <c r="D50" s="41">
        <f>Data!$BM13</f>
        <v>6118778.3800000018</v>
      </c>
      <c r="E50" s="41">
        <f t="shared" ca="1" si="2"/>
        <v>275899.61999999825</v>
      </c>
      <c r="F50" s="73">
        <f t="shared" ca="1" si="0"/>
        <v>45.354256209484092</v>
      </c>
      <c r="G50" s="73">
        <f t="shared" ca="1" si="1"/>
        <v>1.9568181624749865</v>
      </c>
      <c r="H50" s="15"/>
      <c r="I50" s="15">
        <f>VLOOKUP($A50,PMPM!$A$81:$C$104,3)</f>
        <v>1</v>
      </c>
      <c r="J50" s="73">
        <f t="shared" ca="1" si="3"/>
        <v>45.354256209484092</v>
      </c>
      <c r="L50" s="2">
        <f t="shared" ca="1" si="4"/>
        <v>1</v>
      </c>
      <c r="M50">
        <f t="shared" ca="1" si="6"/>
        <v>1</v>
      </c>
      <c r="N50" s="120">
        <f t="shared" ca="1" si="7"/>
        <v>42.365922389362225</v>
      </c>
      <c r="O50" s="120">
        <f t="shared" ca="1" si="8"/>
        <v>42.365922389362225</v>
      </c>
      <c r="P50">
        <f t="shared" ca="1" si="5"/>
        <v>1</v>
      </c>
      <c r="Q50" s="120">
        <f t="shared" ca="1" si="9"/>
        <v>41.510183064828567</v>
      </c>
      <c r="R50" s="120">
        <f t="shared" ca="1" si="10"/>
        <v>41.510183064828567</v>
      </c>
    </row>
    <row r="51" spans="1:18" x14ac:dyDescent="0.2">
      <c r="A51" s="121">
        <f>Data!AN12</f>
        <v>45231</v>
      </c>
      <c r="B51" s="41">
        <f>Data!AO12</f>
        <v>142616</v>
      </c>
      <c r="C51" s="123">
        <f ca="1">Final!$X15</f>
        <v>6005202</v>
      </c>
      <c r="D51" s="41">
        <f>Data!$BM12</f>
        <v>5691598.2099999804</v>
      </c>
      <c r="E51" s="41">
        <f t="shared" ca="1" si="2"/>
        <v>313603.7900000196</v>
      </c>
      <c r="F51" s="73">
        <f t="shared" ca="1" si="0"/>
        <v>42.107491445560107</v>
      </c>
      <c r="G51" s="73">
        <f t="shared" ca="1" si="1"/>
        <v>2.1989383379145369</v>
      </c>
      <c r="H51" s="15"/>
      <c r="I51" s="15">
        <f>VLOOKUP($A51,PMPM!$A$81:$C$104,3)</f>
        <v>1</v>
      </c>
      <c r="J51" s="73">
        <f t="shared" ca="1" si="3"/>
        <v>42.107491445560107</v>
      </c>
      <c r="L51" s="2">
        <f t="shared" ca="1" si="4"/>
        <v>1</v>
      </c>
      <c r="M51">
        <f t="shared" ca="1" si="6"/>
        <v>1</v>
      </c>
      <c r="N51" s="120">
        <f t="shared" ca="1" si="7"/>
        <v>42.398128718961154</v>
      </c>
      <c r="O51" s="120">
        <f t="shared" ca="1" si="8"/>
        <v>42.398128718961154</v>
      </c>
      <c r="P51">
        <f t="shared" ca="1" si="5"/>
        <v>1</v>
      </c>
      <c r="Q51" s="120">
        <f t="shared" ca="1" si="9"/>
        <v>41.299326223385044</v>
      </c>
      <c r="R51" s="120">
        <f t="shared" ca="1" si="10"/>
        <v>41.299326223385044</v>
      </c>
    </row>
    <row r="52" spans="1:18" x14ac:dyDescent="0.2">
      <c r="A52" s="121">
        <f>Data!AN11</f>
        <v>45261</v>
      </c>
      <c r="B52" s="41">
        <f>Data!AO11</f>
        <v>143536</v>
      </c>
      <c r="C52" s="123">
        <f ca="1">Final!$X14</f>
        <v>5703064</v>
      </c>
      <c r="D52" s="41">
        <f>Data!$BM11</f>
        <v>5294588.3699999973</v>
      </c>
      <c r="E52" s="41">
        <f t="shared" ca="1" si="2"/>
        <v>408475.63000000268</v>
      </c>
      <c r="F52" s="73">
        <f t="shared" ca="1" si="0"/>
        <v>39.732638501839261</v>
      </c>
      <c r="G52" s="73">
        <f t="shared" ca="1" si="1"/>
        <v>2.8458061392264149</v>
      </c>
      <c r="H52" s="15"/>
      <c r="I52" s="15">
        <f>VLOOKUP($A52,PMPM!$A$81:$C$104,3)</f>
        <v>1</v>
      </c>
      <c r="J52" s="73">
        <f t="shared" ca="1" si="3"/>
        <v>39.732638501839261</v>
      </c>
      <c r="L52" s="2">
        <f t="shared" ca="1" si="4"/>
        <v>1</v>
      </c>
      <c r="M52">
        <f t="shared" ca="1" si="6"/>
        <v>1</v>
      </c>
      <c r="N52" s="120">
        <f t="shared" ca="1" si="7"/>
        <v>39.63227905853757</v>
      </c>
      <c r="O52" s="120">
        <f t="shared" ca="1" si="8"/>
        <v>39.63227905853757</v>
      </c>
      <c r="P52">
        <f t="shared" ca="1" si="5"/>
        <v>1</v>
      </c>
      <c r="Q52" s="120">
        <f t="shared" ca="1" si="9"/>
        <v>40.237972508640247</v>
      </c>
      <c r="R52" s="120">
        <f t="shared" ca="1" si="10"/>
        <v>40.237972508640247</v>
      </c>
    </row>
    <row r="53" spans="1:18" x14ac:dyDescent="0.2">
      <c r="A53" s="121">
        <f>Data!AN10</f>
        <v>45292</v>
      </c>
      <c r="B53" s="41">
        <f>Data!AO10</f>
        <v>164688</v>
      </c>
      <c r="C53" s="122">
        <f ca="1">Final!$X13</f>
        <v>6102795</v>
      </c>
      <c r="D53" s="41">
        <f>Data!$BM10</f>
        <v>5174161.2699999912</v>
      </c>
      <c r="E53" s="41">
        <f t="shared" ca="1" si="2"/>
        <v>928633.73000000883</v>
      </c>
      <c r="F53" s="73">
        <f t="shared" ca="1" si="0"/>
        <v>37.056707228213348</v>
      </c>
      <c r="G53" s="73">
        <f t="shared" ca="1" si="1"/>
        <v>5.6387455673759401</v>
      </c>
      <c r="H53" s="15"/>
      <c r="I53" s="15">
        <f>VLOOKUP($A53,PMPM!$A$81:$C$104,3)</f>
        <v>1</v>
      </c>
      <c r="J53" s="73">
        <f t="shared" ca="1" si="3"/>
        <v>37.056707228213348</v>
      </c>
      <c r="L53" s="2">
        <f t="shared" ca="1" si="4"/>
        <v>1</v>
      </c>
      <c r="M53">
        <f t="shared" ca="1" si="6"/>
        <v>1</v>
      </c>
      <c r="N53" s="120">
        <f t="shared" ca="1" si="7"/>
        <v>38.110022627918276</v>
      </c>
      <c r="O53" s="120">
        <f t="shared" ca="1" si="8"/>
        <v>38.110022627918276</v>
      </c>
      <c r="P53">
        <f t="shared" ca="1" si="5"/>
        <v>1</v>
      </c>
      <c r="Q53" s="120">
        <f t="shared" ca="1" si="9"/>
        <v>40.606969054338499</v>
      </c>
      <c r="R53" s="120">
        <f t="shared" ca="1" si="10"/>
        <v>40.606969054338499</v>
      </c>
    </row>
    <row r="54" spans="1:18" x14ac:dyDescent="0.2">
      <c r="A54" s="121">
        <f>Data!AN9</f>
        <v>45323</v>
      </c>
      <c r="B54" s="41">
        <f>Data!AO9</f>
        <v>164591</v>
      </c>
      <c r="C54" s="122">
        <f ca="1">Final!$X12</f>
        <v>6178865</v>
      </c>
      <c r="D54" s="41">
        <f>Data!$BM9</f>
        <v>3917198.8800000069</v>
      </c>
      <c r="E54" s="41">
        <f t="shared" ca="1" si="2"/>
        <v>2261666.1199999931</v>
      </c>
      <c r="F54" s="73">
        <f t="shared" ca="1" si="0"/>
        <v>37.540722153702205</v>
      </c>
      <c r="G54" s="73">
        <f t="shared" ca="1" si="1"/>
        <v>13.74112873729422</v>
      </c>
      <c r="H54" s="15"/>
      <c r="I54" s="15">
        <f>VLOOKUP($A54,PMPM!$A$81:$C$104,3)</f>
        <v>1</v>
      </c>
      <c r="J54" s="73">
        <f t="shared" ca="1" si="3"/>
        <v>37.540722153702205</v>
      </c>
      <c r="L54" s="2">
        <f t="shared" ca="1" si="4"/>
        <v>1</v>
      </c>
      <c r="M54">
        <f t="shared" ca="1" si="6"/>
        <v>1</v>
      </c>
      <c r="N54" s="120">
        <f t="shared" ca="1" si="7"/>
        <v>38.815809389715845</v>
      </c>
      <c r="O54" s="120">
        <f t="shared" ca="1" si="8"/>
        <v>38.815809389715845</v>
      </c>
      <c r="P54">
        <f t="shared" ca="1" si="5"/>
        <v>0</v>
      </c>
      <c r="Q54" s="573">
        <v>0</v>
      </c>
      <c r="R54" s="573">
        <v>0</v>
      </c>
    </row>
    <row r="55" spans="1:18" x14ac:dyDescent="0.2">
      <c r="A55" s="121">
        <f>Data!AN8</f>
        <v>45352</v>
      </c>
      <c r="B55" s="41">
        <f>Data!AO8</f>
        <v>164912</v>
      </c>
      <c r="C55" s="122">
        <f ca="1">Final!$X11</f>
        <v>6901567</v>
      </c>
      <c r="D55" s="41">
        <f>Data!$BM8</f>
        <v>1157133.2399999991</v>
      </c>
      <c r="E55" s="41">
        <f t="shared" ca="1" si="2"/>
        <v>5744433.7600000007</v>
      </c>
      <c r="F55" s="73">
        <f ca="1">IF(B55=0,0,+C55/B55)</f>
        <v>41.849998787231975</v>
      </c>
      <c r="G55" s="73">
        <f ca="1">IF(B55=0,0,+E55/B55)</f>
        <v>34.833327835451641</v>
      </c>
      <c r="H55" s="15"/>
      <c r="I55" s="15">
        <f>VLOOKUP($A55,PMPM!$A$81:$C$104,3)</f>
        <v>1</v>
      </c>
      <c r="J55" s="73">
        <f t="shared" ca="1" si="3"/>
        <v>41.849998787231975</v>
      </c>
      <c r="L55" s="2">
        <f t="shared" ca="1" si="4"/>
        <v>1</v>
      </c>
      <c r="M55">
        <f t="shared" ca="1" si="6"/>
        <v>0</v>
      </c>
      <c r="N55" s="573">
        <v>0</v>
      </c>
      <c r="O55" s="573">
        <v>0</v>
      </c>
      <c r="P55">
        <f t="shared" ca="1" si="5"/>
        <v>0</v>
      </c>
      <c r="Q55" s="573">
        <v>0</v>
      </c>
      <c r="R55" s="573">
        <v>0</v>
      </c>
    </row>
    <row r="57" spans="1:18" x14ac:dyDescent="0.2">
      <c r="K57" s="249" t="s">
        <v>312</v>
      </c>
    </row>
    <row r="62" spans="1:18" ht="15.75" x14ac:dyDescent="0.25">
      <c r="A62" s="303" t="str">
        <f>Data!$C$1</f>
        <v>Allied Pacific (APC Commerical)</v>
      </c>
      <c r="R62" t="s">
        <v>614</v>
      </c>
    </row>
    <row r="66" spans="29:35" x14ac:dyDescent="0.2">
      <c r="AC66" s="227"/>
      <c r="AD66" s="227"/>
      <c r="AE66" s="227"/>
      <c r="AF66" s="228"/>
      <c r="AI66" s="228"/>
    </row>
    <row r="113" spans="1:17" x14ac:dyDescent="0.2">
      <c r="J113" s="50" t="s">
        <v>618</v>
      </c>
      <c r="K113" s="227"/>
      <c r="L113" s="29" t="s">
        <v>260</v>
      </c>
      <c r="M113" s="29" t="s">
        <v>236</v>
      </c>
      <c r="O113" s="304" t="s">
        <v>631</v>
      </c>
      <c r="P113" s="29" t="s">
        <v>260</v>
      </c>
      <c r="Q113" s="29" t="s">
        <v>236</v>
      </c>
    </row>
    <row r="114" spans="1:17" x14ac:dyDescent="0.2">
      <c r="J114" s="277" t="str">
        <f ca="1">LeastSq!A18</f>
        <v>36 Mo Lst Sq An Trend</v>
      </c>
      <c r="K114" s="277"/>
      <c r="L114" s="278">
        <f ca="1">Charts!N45</f>
        <v>-1.4099891847602519E-2</v>
      </c>
      <c r="M114" s="278">
        <f ca="1">Charts!O45</f>
        <v>-1.4099891847602519E-2</v>
      </c>
      <c r="O114" s="7" t="s">
        <v>616</v>
      </c>
      <c r="P114" s="147">
        <f ca="1">Trends!G30</f>
        <v>-1.1264288987076782E-2</v>
      </c>
      <c r="Q114" s="147">
        <f ca="1">Trends!Y30</f>
        <v>-1.1264288987076782E-2</v>
      </c>
    </row>
    <row r="115" spans="1:17" x14ac:dyDescent="0.2">
      <c r="J115" s="285" t="str">
        <f ca="1">LeastSq!A19</f>
        <v>24 Mo Lst Sq An Trend</v>
      </c>
      <c r="K115" s="285"/>
      <c r="L115" s="279">
        <f ca="1">Charts!N46</f>
        <v>4.525994112568732E-2</v>
      </c>
      <c r="M115" s="279">
        <f ca="1">Charts!O46</f>
        <v>4.525994112568732E-2</v>
      </c>
      <c r="O115" s="10" t="s">
        <v>617</v>
      </c>
      <c r="P115" s="148">
        <f ca="1">Trends!F30</f>
        <v>-1.4571234481074622E-2</v>
      </c>
      <c r="Q115" s="148">
        <f ca="1">Trends!X30</f>
        <v>-1.4571234481074622E-2</v>
      </c>
    </row>
    <row r="116" spans="1:17" x14ac:dyDescent="0.2">
      <c r="J116" s="285" t="str">
        <f ca="1">LeastSq!A20</f>
        <v>18 Mo Lst Sq An Trend</v>
      </c>
      <c r="K116" s="285"/>
      <c r="L116" s="279">
        <f ca="1">Charts!N47</f>
        <v>1.5244520117340787E-2</v>
      </c>
      <c r="M116" s="279">
        <f ca="1">Charts!O47</f>
        <v>1.5244520117340787E-2</v>
      </c>
      <c r="O116" s="10" t="s">
        <v>234</v>
      </c>
      <c r="P116" s="148">
        <f ca="1">Trends!E30</f>
        <v>-7.1988574007393188E-3</v>
      </c>
      <c r="Q116" s="148">
        <f ca="1">Trends!W30</f>
        <v>-7.1988574007393188E-3</v>
      </c>
    </row>
    <row r="117" spans="1:17" ht="15.75" x14ac:dyDescent="0.25">
      <c r="A117" s="303" t="str">
        <f>Data!$C$1</f>
        <v>Allied Pacific (APC Commerical)</v>
      </c>
    </row>
    <row r="167" spans="10:17" x14ac:dyDescent="0.2">
      <c r="J167" s="50" t="str">
        <f t="shared" ref="J167:Q170" si="11">J113</f>
        <v>Least Sq Annual Trends</v>
      </c>
      <c r="K167" s="227"/>
      <c r="L167" s="29" t="str">
        <f t="shared" si="11"/>
        <v>Actual</v>
      </c>
      <c r="M167" s="29" t="str">
        <f t="shared" si="11"/>
        <v>Ben Adj</v>
      </c>
      <c r="O167" s="69" t="str">
        <f>O113</f>
        <v>Rolling Ave Trends</v>
      </c>
      <c r="P167" s="29" t="str">
        <f t="shared" si="11"/>
        <v>Actual</v>
      </c>
      <c r="Q167" s="29" t="str">
        <f t="shared" si="11"/>
        <v>Ben Adj</v>
      </c>
    </row>
    <row r="168" spans="10:17" x14ac:dyDescent="0.2">
      <c r="J168" s="277" t="str">
        <f t="shared" ca="1" si="11"/>
        <v>36 Mo Lst Sq An Trend</v>
      </c>
      <c r="K168" s="277"/>
      <c r="L168" s="278">
        <f t="shared" ca="1" si="11"/>
        <v>-1.4099891847602519E-2</v>
      </c>
      <c r="M168" s="278">
        <f t="shared" ca="1" si="11"/>
        <v>-1.4099891847602519E-2</v>
      </c>
      <c r="O168" s="7" t="str">
        <f t="shared" si="11"/>
        <v>12 Mo</v>
      </c>
      <c r="P168" s="147">
        <f t="shared" ca="1" si="11"/>
        <v>-1.1264288987076782E-2</v>
      </c>
      <c r="Q168" s="147">
        <f t="shared" ca="1" si="11"/>
        <v>-1.1264288987076782E-2</v>
      </c>
    </row>
    <row r="169" spans="10:17" x14ac:dyDescent="0.2">
      <c r="J169" s="285" t="str">
        <f t="shared" ca="1" si="11"/>
        <v>24 Mo Lst Sq An Trend</v>
      </c>
      <c r="K169" s="285"/>
      <c r="L169" s="279">
        <f t="shared" ca="1" si="11"/>
        <v>4.525994112568732E-2</v>
      </c>
      <c r="M169" s="279">
        <f t="shared" ca="1" si="11"/>
        <v>4.525994112568732E-2</v>
      </c>
      <c r="O169" s="10" t="str">
        <f t="shared" si="11"/>
        <v>6 Mo</v>
      </c>
      <c r="P169" s="148">
        <f t="shared" ca="1" si="11"/>
        <v>-1.4571234481074622E-2</v>
      </c>
      <c r="Q169" s="148">
        <f t="shared" ca="1" si="11"/>
        <v>-1.4571234481074622E-2</v>
      </c>
    </row>
    <row r="170" spans="10:17" x14ac:dyDescent="0.2">
      <c r="J170" s="285" t="str">
        <f t="shared" ca="1" si="11"/>
        <v>18 Mo Lst Sq An Trend</v>
      </c>
      <c r="K170" s="285"/>
      <c r="L170" s="279">
        <f t="shared" ca="1" si="11"/>
        <v>1.5244520117340787E-2</v>
      </c>
      <c r="M170" s="279">
        <f t="shared" ca="1" si="11"/>
        <v>1.5244520117340787E-2</v>
      </c>
      <c r="O170" s="10" t="str">
        <f t="shared" si="11"/>
        <v>3 Mo</v>
      </c>
      <c r="P170" s="148">
        <f t="shared" ca="1" si="11"/>
        <v>-7.1988574007393188E-3</v>
      </c>
      <c r="Q170" s="148">
        <f t="shared" ca="1" si="11"/>
        <v>-7.1988574007393188E-3</v>
      </c>
    </row>
  </sheetData>
  <phoneticPr fontId="0" type="noConversion"/>
  <pageMargins left="0.5" right="0.5" top="0.25" bottom="0" header="0.5" footer="0"/>
  <pageSetup firstPageNumber="8" orientation="landscape" useFirstPageNumber="1" horizontalDpi="300" verticalDpi="300" r:id="rId1"/>
  <headerFooter alignWithMargins="0">
    <oddFooter>&amp;L&amp;D  &amp;F:  &amp;A     Page-Transfer Results Exhibit</oddFooter>
  </headerFooter>
  <rowBreaks count="1" manualBreakCount="1">
    <brk id="116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7" r:id="rId4" name="Button 13">
              <controlPr defaultSize="0" print="0" autoFill="0" autoPict="0" macro="[0]!PrintBox">
                <anchor moveWithCells="1" sizeWithCells="1">
                  <from>
                    <xdr:col>38</xdr:col>
                    <xdr:colOff>9525</xdr:colOff>
                    <xdr:row>12</xdr:row>
                    <xdr:rowOff>47625</xdr:rowOff>
                  </from>
                  <to>
                    <xdr:col>39</xdr:col>
                    <xdr:colOff>466725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5" r:id="rId5" name="Button 1">
              <controlPr defaultSize="0" print="0" autoFill="0" autoPict="0" macro="[0]!PrintBox">
                <anchor moveWithCells="1" sizeWithCells="1">
                  <from>
                    <xdr:col>12</xdr:col>
                    <xdr:colOff>276225</xdr:colOff>
                    <xdr:row>5</xdr:row>
                    <xdr:rowOff>19050</xdr:rowOff>
                  </from>
                  <to>
                    <xdr:col>14</xdr:col>
                    <xdr:colOff>171450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8" r:id="rId6" name="Button 14">
              <controlPr defaultSize="0" print="0" autoFill="0" autoPict="0" macro="[0]!CopyTransport">
                <anchor moveWithCells="1" sizeWithCells="1">
                  <from>
                    <xdr:col>9</xdr:col>
                    <xdr:colOff>304800</xdr:colOff>
                    <xdr:row>4</xdr:row>
                    <xdr:rowOff>123825</xdr:rowOff>
                  </from>
                  <to>
                    <xdr:col>11</xdr:col>
                    <xdr:colOff>381000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9" r:id="rId7" name="Button 15">
              <controlPr defaultSize="0" print="0" autoFill="0" autoPict="0" macro="[0]!ChartFixTransport">
                <anchor moveWithCells="1" sizeWithCells="1">
                  <from>
                    <xdr:col>18</xdr:col>
                    <xdr:colOff>47625</xdr:colOff>
                    <xdr:row>5</xdr:row>
                    <xdr:rowOff>104775</xdr:rowOff>
                  </from>
                  <to>
                    <xdr:col>20</xdr:col>
                    <xdr:colOff>304800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DG62"/>
  <sheetViews>
    <sheetView topLeftCell="DC4" workbookViewId="0">
      <selection activeCell="DE28" sqref="DE28"/>
    </sheetView>
  </sheetViews>
  <sheetFormatPr defaultRowHeight="11.25" x14ac:dyDescent="0.2"/>
  <cols>
    <col min="2" max="4" width="14.1640625" customWidth="1"/>
    <col min="5" max="5" width="21.1640625" customWidth="1"/>
    <col min="6" max="6" width="12.5" bestFit="1" customWidth="1"/>
    <col min="11" max="11" width="11.83203125" customWidth="1"/>
    <col min="15" max="16" width="15" customWidth="1"/>
    <col min="17" max="17" width="12.5" customWidth="1"/>
    <col min="23" max="23" width="12.5" customWidth="1"/>
    <col min="109" max="109" width="14.83203125" customWidth="1"/>
  </cols>
  <sheetData>
    <row r="1" spans="1:111" x14ac:dyDescent="0.2">
      <c r="A1" s="3" t="s">
        <v>292</v>
      </c>
      <c r="E1" t="s">
        <v>77</v>
      </c>
      <c r="F1" s="28"/>
      <c r="G1" s="2"/>
      <c r="H1" s="2" t="s">
        <v>79</v>
      </c>
      <c r="I1" s="2" t="s">
        <v>81</v>
      </c>
      <c r="J1" s="2" t="s">
        <v>671</v>
      </c>
      <c r="K1" s="37" t="s">
        <v>84</v>
      </c>
      <c r="M1" s="1" t="s">
        <v>378</v>
      </c>
      <c r="S1" t="s">
        <v>295</v>
      </c>
      <c r="CR1" s="3" t="s">
        <v>446</v>
      </c>
    </row>
    <row r="2" spans="1:111" x14ac:dyDescent="0.2">
      <c r="F2" s="163" t="s">
        <v>41</v>
      </c>
      <c r="G2" s="29" t="s">
        <v>78</v>
      </c>
      <c r="H2" s="29" t="s">
        <v>80</v>
      </c>
      <c r="I2" s="29" t="s">
        <v>82</v>
      </c>
      <c r="J2" s="38" t="s">
        <v>670</v>
      </c>
      <c r="K2" s="38" t="s">
        <v>85</v>
      </c>
      <c r="DC2" t="s">
        <v>401</v>
      </c>
    </row>
    <row r="3" spans="1:111" x14ac:dyDescent="0.2">
      <c r="E3" t="s">
        <v>293</v>
      </c>
      <c r="F3" s="6"/>
      <c r="G3" s="6">
        <v>0</v>
      </c>
      <c r="H3" s="36">
        <v>0</v>
      </c>
      <c r="I3" s="6">
        <v>0</v>
      </c>
      <c r="J3" s="6">
        <v>0</v>
      </c>
      <c r="K3" s="164">
        <v>0</v>
      </c>
      <c r="L3" s="37"/>
      <c r="M3" s="6">
        <v>0</v>
      </c>
      <c r="N3" s="36">
        <v>0</v>
      </c>
      <c r="O3" s="6">
        <v>0</v>
      </c>
      <c r="P3" s="6">
        <v>0</v>
      </c>
      <c r="Q3" s="184">
        <v>0</v>
      </c>
      <c r="S3" t="s">
        <v>15</v>
      </c>
      <c r="U3" t="s">
        <v>44</v>
      </c>
    </row>
    <row r="4" spans="1:111" x14ac:dyDescent="0.2">
      <c r="B4" s="124"/>
      <c r="C4" s="124"/>
      <c r="D4" s="124"/>
      <c r="E4" s="124" t="s">
        <v>294</v>
      </c>
      <c r="F4" s="183">
        <v>36951</v>
      </c>
      <c r="G4" s="612">
        <v>2863</v>
      </c>
      <c r="H4" s="36">
        <v>0</v>
      </c>
      <c r="I4" s="6">
        <v>0</v>
      </c>
      <c r="J4" s="6">
        <v>0</v>
      </c>
      <c r="K4" s="164">
        <v>1209054.4932229789</v>
      </c>
      <c r="L4" s="38"/>
      <c r="M4" s="6">
        <v>0</v>
      </c>
      <c r="N4" s="36">
        <v>0</v>
      </c>
      <c r="O4" s="6">
        <v>0</v>
      </c>
      <c r="P4" s="6">
        <v>0</v>
      </c>
      <c r="Q4" s="184">
        <v>0</v>
      </c>
      <c r="S4" t="s">
        <v>16</v>
      </c>
      <c r="CZ4" t="s">
        <v>386</v>
      </c>
      <c r="DD4" s="2" t="s">
        <v>204</v>
      </c>
      <c r="DE4" s="2" t="s">
        <v>82</v>
      </c>
      <c r="DF4" s="37" t="s">
        <v>357</v>
      </c>
      <c r="DG4" s="2" t="s">
        <v>82</v>
      </c>
    </row>
    <row r="5" spans="1:111" x14ac:dyDescent="0.2">
      <c r="F5" s="183">
        <v>36923</v>
      </c>
      <c r="G5" s="612">
        <v>2921</v>
      </c>
      <c r="H5" s="36">
        <v>0</v>
      </c>
      <c r="I5" s="6">
        <v>0</v>
      </c>
      <c r="J5" s="6">
        <v>0</v>
      </c>
      <c r="K5" s="164">
        <v>809886.91963331238</v>
      </c>
      <c r="M5" s="6">
        <v>0</v>
      </c>
      <c r="N5" s="36">
        <v>0</v>
      </c>
      <c r="O5" s="6">
        <v>0</v>
      </c>
      <c r="P5" s="6">
        <v>0</v>
      </c>
      <c r="Q5" s="184">
        <v>0</v>
      </c>
      <c r="S5" t="s">
        <v>47</v>
      </c>
      <c r="U5" s="185">
        <f>DATE(ResYear-3,ResMonth+1,1)</f>
        <v>44287</v>
      </c>
      <c r="V5" s="186">
        <f t="shared" ref="V5:BD5" si="0">DATE(YEAR(U5),MONTH(U5)+1,1)</f>
        <v>44317</v>
      </c>
      <c r="W5" s="186">
        <f t="shared" si="0"/>
        <v>44348</v>
      </c>
      <c r="X5" s="186">
        <f t="shared" si="0"/>
        <v>44378</v>
      </c>
      <c r="Y5" s="186">
        <f t="shared" si="0"/>
        <v>44409</v>
      </c>
      <c r="Z5" s="186">
        <f t="shared" si="0"/>
        <v>44440</v>
      </c>
      <c r="AA5" s="186">
        <f t="shared" si="0"/>
        <v>44470</v>
      </c>
      <c r="AB5" s="186">
        <f t="shared" si="0"/>
        <v>44501</v>
      </c>
      <c r="AC5" s="186">
        <f t="shared" si="0"/>
        <v>44531</v>
      </c>
      <c r="AD5" s="186">
        <f t="shared" si="0"/>
        <v>44562</v>
      </c>
      <c r="AE5" s="186">
        <f t="shared" si="0"/>
        <v>44593</v>
      </c>
      <c r="AF5" s="186">
        <f t="shared" si="0"/>
        <v>44621</v>
      </c>
      <c r="AG5" s="186">
        <f t="shared" si="0"/>
        <v>44652</v>
      </c>
      <c r="AH5" s="186">
        <f t="shared" si="0"/>
        <v>44682</v>
      </c>
      <c r="AI5" s="186">
        <f t="shared" si="0"/>
        <v>44713</v>
      </c>
      <c r="AJ5" s="186">
        <f t="shared" si="0"/>
        <v>44743</v>
      </c>
      <c r="AK5" s="186">
        <f t="shared" si="0"/>
        <v>44774</v>
      </c>
      <c r="AL5" s="186">
        <f t="shared" si="0"/>
        <v>44805</v>
      </c>
      <c r="AM5" s="186">
        <f t="shared" si="0"/>
        <v>44835</v>
      </c>
      <c r="AN5" s="186">
        <f t="shared" si="0"/>
        <v>44866</v>
      </c>
      <c r="AO5" s="186">
        <f t="shared" si="0"/>
        <v>44896</v>
      </c>
      <c r="AP5" s="186">
        <f t="shared" si="0"/>
        <v>44927</v>
      </c>
      <c r="AQ5" s="186">
        <f t="shared" si="0"/>
        <v>44958</v>
      </c>
      <c r="AR5" s="186">
        <f t="shared" si="0"/>
        <v>44986</v>
      </c>
      <c r="AS5" s="186">
        <f t="shared" si="0"/>
        <v>45017</v>
      </c>
      <c r="AT5" s="186">
        <f t="shared" si="0"/>
        <v>45047</v>
      </c>
      <c r="AU5" s="186">
        <f t="shared" si="0"/>
        <v>45078</v>
      </c>
      <c r="AV5" s="186">
        <f t="shared" si="0"/>
        <v>45108</v>
      </c>
      <c r="AW5" s="186">
        <f t="shared" si="0"/>
        <v>45139</v>
      </c>
      <c r="AX5" s="186">
        <f t="shared" si="0"/>
        <v>45170</v>
      </c>
      <c r="AY5" s="186">
        <f t="shared" si="0"/>
        <v>45200</v>
      </c>
      <c r="AZ5" s="186">
        <f t="shared" si="0"/>
        <v>45231</v>
      </c>
      <c r="BA5" s="186">
        <f t="shared" si="0"/>
        <v>45261</v>
      </c>
      <c r="BB5" s="186">
        <f t="shared" si="0"/>
        <v>45292</v>
      </c>
      <c r="BC5" s="186">
        <f t="shared" si="0"/>
        <v>45323</v>
      </c>
      <c r="BD5" s="186">
        <f t="shared" si="0"/>
        <v>45352</v>
      </c>
      <c r="BG5" t="s">
        <v>379</v>
      </c>
      <c r="DC5" s="29" t="s">
        <v>41</v>
      </c>
      <c r="DD5" s="29" t="s">
        <v>82</v>
      </c>
      <c r="DE5" s="29" t="s">
        <v>217</v>
      </c>
      <c r="DF5" s="29" t="s">
        <v>82</v>
      </c>
      <c r="DG5" s="29" t="s">
        <v>218</v>
      </c>
    </row>
    <row r="6" spans="1:111" x14ac:dyDescent="0.2">
      <c r="F6" s="183">
        <v>36892</v>
      </c>
      <c r="G6" s="612">
        <v>2961</v>
      </c>
      <c r="H6" s="36">
        <v>0</v>
      </c>
      <c r="I6" s="6">
        <v>0</v>
      </c>
      <c r="J6" s="6">
        <v>0</v>
      </c>
      <c r="K6" s="566">
        <v>1179311.4932229789</v>
      </c>
      <c r="M6" s="6">
        <v>0</v>
      </c>
      <c r="N6" s="36">
        <v>0</v>
      </c>
      <c r="O6" s="6">
        <v>0</v>
      </c>
      <c r="P6" s="6">
        <v>0</v>
      </c>
      <c r="Q6" s="184">
        <v>0</v>
      </c>
      <c r="U6" s="186"/>
      <c r="V6" s="186"/>
      <c r="W6" s="186"/>
      <c r="X6" s="186"/>
      <c r="Y6" s="186"/>
      <c r="Z6" s="186"/>
      <c r="AA6" s="186"/>
      <c r="AB6" s="186"/>
      <c r="AC6" s="186"/>
      <c r="AD6" s="186"/>
      <c r="AE6" s="186"/>
      <c r="AF6" s="186"/>
      <c r="AG6" s="186"/>
      <c r="AH6" s="186"/>
      <c r="AI6" s="186"/>
      <c r="AJ6" s="186"/>
      <c r="AK6" s="186"/>
      <c r="AL6" s="186"/>
      <c r="AM6" s="186"/>
      <c r="AN6" s="186"/>
      <c r="AO6" s="186"/>
      <c r="AP6" s="186"/>
      <c r="AQ6" s="186"/>
      <c r="AR6" s="186"/>
      <c r="AS6" s="186"/>
      <c r="AT6" s="186"/>
      <c r="AU6" s="186"/>
      <c r="AV6" s="186"/>
      <c r="AW6" s="186"/>
      <c r="AX6" s="186"/>
      <c r="AY6" s="186"/>
      <c r="AZ6" s="186"/>
      <c r="BA6" s="186"/>
      <c r="BB6" s="186"/>
      <c r="BC6" s="186"/>
      <c r="BD6" s="186"/>
      <c r="CW6" t="s">
        <v>389</v>
      </c>
      <c r="DC6" s="2"/>
    </row>
    <row r="7" spans="1:111" x14ac:dyDescent="0.2">
      <c r="F7" s="183">
        <v>36861</v>
      </c>
      <c r="G7" s="612">
        <v>3042</v>
      </c>
      <c r="H7" s="36">
        <v>0</v>
      </c>
      <c r="I7" s="6">
        <v>0</v>
      </c>
      <c r="J7" s="6">
        <v>0</v>
      </c>
      <c r="K7" s="566">
        <v>0</v>
      </c>
      <c r="M7" s="6">
        <v>0</v>
      </c>
      <c r="N7" s="36">
        <v>0</v>
      </c>
      <c r="O7" s="6">
        <v>0</v>
      </c>
      <c r="P7" s="6">
        <v>0</v>
      </c>
      <c r="Q7" s="184">
        <v>0</v>
      </c>
      <c r="S7" s="252" t="s">
        <v>978</v>
      </c>
      <c r="T7" s="6"/>
      <c r="U7" s="6">
        <v>0</v>
      </c>
      <c r="V7" s="6">
        <v>0</v>
      </c>
      <c r="W7" s="6">
        <v>0</v>
      </c>
      <c r="X7" s="6">
        <v>0</v>
      </c>
      <c r="Y7" s="6">
        <v>0</v>
      </c>
      <c r="Z7" s="6">
        <v>0</v>
      </c>
      <c r="AA7" s="6">
        <v>0</v>
      </c>
      <c r="AB7" s="6">
        <v>0</v>
      </c>
      <c r="AC7" s="6">
        <v>0</v>
      </c>
      <c r="AD7" s="6">
        <v>0</v>
      </c>
      <c r="AE7" s="6">
        <v>0</v>
      </c>
      <c r="AF7" s="6">
        <v>0</v>
      </c>
      <c r="AG7" s="6">
        <v>0</v>
      </c>
      <c r="AH7" s="6">
        <v>0</v>
      </c>
      <c r="AI7" s="6">
        <v>0</v>
      </c>
      <c r="AJ7" s="6">
        <v>0</v>
      </c>
      <c r="AK7" s="6">
        <v>0</v>
      </c>
      <c r="AL7" s="6">
        <v>0</v>
      </c>
      <c r="AM7" s="6">
        <v>0</v>
      </c>
      <c r="AN7" s="6">
        <v>0</v>
      </c>
      <c r="AO7" s="6">
        <v>0</v>
      </c>
      <c r="AP7" s="6">
        <v>0</v>
      </c>
      <c r="AQ7" s="6">
        <v>0</v>
      </c>
      <c r="AR7" s="6">
        <v>0</v>
      </c>
      <c r="AS7" s="6">
        <v>0</v>
      </c>
      <c r="AT7" s="6">
        <v>0</v>
      </c>
      <c r="AU7" s="6">
        <v>0</v>
      </c>
      <c r="AV7" s="6">
        <v>0</v>
      </c>
      <c r="AW7" s="6">
        <v>0</v>
      </c>
      <c r="AX7" s="6">
        <v>0</v>
      </c>
      <c r="AY7" s="6">
        <v>0</v>
      </c>
      <c r="AZ7" s="6">
        <v>0</v>
      </c>
      <c r="BA7" s="6">
        <v>0</v>
      </c>
      <c r="BB7" s="6">
        <v>0</v>
      </c>
      <c r="BC7" s="6">
        <v>0</v>
      </c>
      <c r="BD7" s="6">
        <v>0</v>
      </c>
      <c r="BG7" s="6">
        <v>0</v>
      </c>
      <c r="BH7" s="6">
        <v>0</v>
      </c>
      <c r="BI7" s="6">
        <v>0</v>
      </c>
      <c r="BJ7" s="6">
        <v>0</v>
      </c>
      <c r="BK7" s="6">
        <v>0</v>
      </c>
      <c r="BL7" s="6">
        <v>0</v>
      </c>
      <c r="BM7" s="6">
        <v>0</v>
      </c>
      <c r="BN7" s="6">
        <v>0</v>
      </c>
      <c r="BO7" s="6">
        <v>0</v>
      </c>
      <c r="BP7" s="6">
        <v>0</v>
      </c>
      <c r="BQ7" s="6">
        <v>0</v>
      </c>
      <c r="BR7" s="6">
        <v>0</v>
      </c>
      <c r="BS7" s="6">
        <v>0</v>
      </c>
      <c r="BT7" s="6">
        <v>0</v>
      </c>
      <c r="BU7" s="6">
        <v>0</v>
      </c>
      <c r="BV7" s="6">
        <v>0</v>
      </c>
      <c r="BW7" s="6">
        <v>0</v>
      </c>
      <c r="BX7" s="6">
        <v>0</v>
      </c>
      <c r="BY7" s="6">
        <v>0</v>
      </c>
      <c r="BZ7" s="6">
        <v>0</v>
      </c>
      <c r="CA7" s="6">
        <v>0</v>
      </c>
      <c r="CB7" s="6">
        <v>0</v>
      </c>
      <c r="CC7" s="6">
        <v>0</v>
      </c>
      <c r="CD7" s="6">
        <v>0</v>
      </c>
      <c r="CE7" s="6">
        <v>0</v>
      </c>
      <c r="CF7" s="6">
        <v>0</v>
      </c>
      <c r="CG7" s="6">
        <v>0</v>
      </c>
      <c r="CH7" s="6">
        <v>0</v>
      </c>
      <c r="CI7" s="6">
        <v>0</v>
      </c>
      <c r="CJ7" s="6">
        <v>0</v>
      </c>
      <c r="CK7" s="6">
        <v>0</v>
      </c>
      <c r="CL7" s="6">
        <v>0</v>
      </c>
      <c r="CM7" s="6">
        <v>0</v>
      </c>
      <c r="CN7" s="6">
        <v>0</v>
      </c>
      <c r="CO7" s="6">
        <v>0</v>
      </c>
      <c r="CP7" s="6">
        <v>0</v>
      </c>
      <c r="CZ7" s="2" t="s">
        <v>168</v>
      </c>
      <c r="DC7" s="2"/>
    </row>
    <row r="8" spans="1:111" x14ac:dyDescent="0.2">
      <c r="F8" s="183">
        <v>36831</v>
      </c>
      <c r="G8" s="612">
        <v>3104</v>
      </c>
      <c r="H8" s="36">
        <v>0</v>
      </c>
      <c r="I8" s="6">
        <v>0</v>
      </c>
      <c r="J8" s="6">
        <v>0</v>
      </c>
      <c r="K8" s="566">
        <v>0</v>
      </c>
      <c r="M8" s="6">
        <v>0</v>
      </c>
      <c r="N8" s="36">
        <v>0</v>
      </c>
      <c r="O8" s="6">
        <v>0</v>
      </c>
      <c r="P8" s="6">
        <v>0</v>
      </c>
      <c r="Q8" s="184">
        <v>0</v>
      </c>
      <c r="S8" s="252" t="s">
        <v>979</v>
      </c>
      <c r="T8" s="6"/>
      <c r="U8" s="6">
        <v>0</v>
      </c>
      <c r="V8" s="6">
        <v>0</v>
      </c>
      <c r="W8" s="6">
        <v>0</v>
      </c>
      <c r="X8" s="6">
        <v>0</v>
      </c>
      <c r="Y8" s="6">
        <v>0</v>
      </c>
      <c r="Z8" s="6">
        <v>0</v>
      </c>
      <c r="AA8" s="6">
        <v>0</v>
      </c>
      <c r="AB8" s="6">
        <v>0</v>
      </c>
      <c r="AC8" s="6">
        <v>0</v>
      </c>
      <c r="AD8" s="6">
        <v>0</v>
      </c>
      <c r="AE8" s="6">
        <v>0</v>
      </c>
      <c r="AF8" s="6">
        <v>0</v>
      </c>
      <c r="AG8" s="6">
        <v>0</v>
      </c>
      <c r="AH8" s="6">
        <v>0</v>
      </c>
      <c r="AI8" s="6">
        <v>0</v>
      </c>
      <c r="AJ8" s="6">
        <v>0</v>
      </c>
      <c r="AK8" s="6">
        <v>0</v>
      </c>
      <c r="AL8" s="6">
        <v>0</v>
      </c>
      <c r="AM8" s="6">
        <v>0</v>
      </c>
      <c r="AN8" s="6">
        <v>0</v>
      </c>
      <c r="AO8" s="6">
        <v>0</v>
      </c>
      <c r="AP8" s="6">
        <v>0</v>
      </c>
      <c r="AQ8" s="6">
        <v>0</v>
      </c>
      <c r="AR8" s="6">
        <v>0</v>
      </c>
      <c r="AS8" s="6">
        <v>0</v>
      </c>
      <c r="AT8" s="6">
        <v>0</v>
      </c>
      <c r="AU8" s="6">
        <v>0</v>
      </c>
      <c r="AV8" s="6">
        <v>0</v>
      </c>
      <c r="AW8" s="6">
        <v>0</v>
      </c>
      <c r="AX8" s="6">
        <v>0</v>
      </c>
      <c r="AY8" s="6">
        <v>0</v>
      </c>
      <c r="AZ8" s="6">
        <v>0</v>
      </c>
      <c r="BA8" s="6">
        <v>0</v>
      </c>
      <c r="BB8" s="6">
        <v>0</v>
      </c>
      <c r="BC8" s="6">
        <v>0</v>
      </c>
      <c r="BD8" s="6">
        <v>0</v>
      </c>
      <c r="BG8" s="6">
        <v>0</v>
      </c>
      <c r="BH8" s="6">
        <v>0</v>
      </c>
      <c r="BI8" s="6">
        <v>0</v>
      </c>
      <c r="BJ8" s="6">
        <v>0</v>
      </c>
      <c r="BK8" s="6">
        <v>0</v>
      </c>
      <c r="BL8" s="6">
        <v>0</v>
      </c>
      <c r="BM8" s="6">
        <v>0</v>
      </c>
      <c r="BN8" s="6">
        <v>0</v>
      </c>
      <c r="BO8" s="6">
        <v>0</v>
      </c>
      <c r="BP8" s="6">
        <v>0</v>
      </c>
      <c r="BQ8" s="6">
        <v>0</v>
      </c>
      <c r="BR8" s="6">
        <v>0</v>
      </c>
      <c r="BS8" s="6">
        <v>0</v>
      </c>
      <c r="BT8" s="6">
        <v>0</v>
      </c>
      <c r="BU8" s="6">
        <v>0</v>
      </c>
      <c r="BV8" s="6">
        <v>0</v>
      </c>
      <c r="BW8" s="6">
        <v>0</v>
      </c>
      <c r="BX8" s="6">
        <v>0</v>
      </c>
      <c r="BY8" s="6">
        <v>0</v>
      </c>
      <c r="BZ8" s="6">
        <v>0</v>
      </c>
      <c r="CA8" s="6">
        <v>0</v>
      </c>
      <c r="CB8" s="6">
        <v>0</v>
      </c>
      <c r="CC8" s="6">
        <v>0</v>
      </c>
      <c r="CD8" s="6">
        <v>0</v>
      </c>
      <c r="CE8" s="6">
        <v>0</v>
      </c>
      <c r="CF8" s="6">
        <v>0</v>
      </c>
      <c r="CG8" s="6">
        <v>0</v>
      </c>
      <c r="CH8" s="6">
        <v>0</v>
      </c>
      <c r="CI8" s="6">
        <v>0</v>
      </c>
      <c r="CJ8" s="6">
        <v>0</v>
      </c>
      <c r="CK8" s="6">
        <v>0</v>
      </c>
      <c r="CL8" s="6">
        <v>0</v>
      </c>
      <c r="CM8" s="6">
        <v>0</v>
      </c>
      <c r="CN8" s="6">
        <v>0</v>
      </c>
      <c r="CO8" s="6">
        <v>0</v>
      </c>
      <c r="CP8" s="165">
        <v>0</v>
      </c>
      <c r="CV8" s="30" t="s">
        <v>179</v>
      </c>
      <c r="CW8" s="162">
        <v>0</v>
      </c>
      <c r="CZ8" s="8" t="s">
        <v>170</v>
      </c>
      <c r="DC8" s="2"/>
    </row>
    <row r="9" spans="1:111" x14ac:dyDescent="0.2">
      <c r="F9" s="183">
        <v>36800</v>
      </c>
      <c r="G9" s="6">
        <v>3042</v>
      </c>
      <c r="H9" s="36">
        <v>0</v>
      </c>
      <c r="I9" s="6">
        <v>0</v>
      </c>
      <c r="J9" s="6">
        <v>0</v>
      </c>
      <c r="K9" s="566">
        <v>0</v>
      </c>
      <c r="M9" s="6">
        <v>0</v>
      </c>
      <c r="N9" s="36">
        <v>0</v>
      </c>
      <c r="O9" s="6">
        <v>0</v>
      </c>
      <c r="P9" s="6">
        <v>0</v>
      </c>
      <c r="Q9" s="184">
        <v>0</v>
      </c>
      <c r="S9" s="568" t="s">
        <v>980</v>
      </c>
      <c r="T9" s="6"/>
      <c r="U9" s="6">
        <v>0</v>
      </c>
      <c r="V9" s="6">
        <v>0</v>
      </c>
      <c r="W9" s="6">
        <v>0</v>
      </c>
      <c r="X9" s="6">
        <v>0</v>
      </c>
      <c r="Y9" s="6">
        <v>0</v>
      </c>
      <c r="Z9" s="6">
        <v>0</v>
      </c>
      <c r="AA9" s="6">
        <v>0</v>
      </c>
      <c r="AB9" s="6">
        <v>0</v>
      </c>
      <c r="AC9" s="6">
        <v>0</v>
      </c>
      <c r="AD9" s="6">
        <v>0</v>
      </c>
      <c r="AE9" s="6">
        <v>0</v>
      </c>
      <c r="AF9" s="6">
        <v>0</v>
      </c>
      <c r="AG9" s="6">
        <v>0</v>
      </c>
      <c r="AH9" s="6">
        <v>0</v>
      </c>
      <c r="AI9" s="6">
        <v>0</v>
      </c>
      <c r="AJ9" s="6">
        <v>0</v>
      </c>
      <c r="AK9" s="6">
        <v>0</v>
      </c>
      <c r="AL9" s="6">
        <v>0</v>
      </c>
      <c r="AM9" s="6">
        <v>0</v>
      </c>
      <c r="AN9" s="6">
        <v>0</v>
      </c>
      <c r="AO9" s="6">
        <v>0</v>
      </c>
      <c r="AP9" s="6">
        <v>0</v>
      </c>
      <c r="AQ9" s="6">
        <v>0</v>
      </c>
      <c r="AR9" s="6">
        <v>0</v>
      </c>
      <c r="AS9" s="6">
        <v>0</v>
      </c>
      <c r="AT9" s="6">
        <v>0</v>
      </c>
      <c r="AU9" s="6">
        <v>0</v>
      </c>
      <c r="AV9" s="6">
        <v>0</v>
      </c>
      <c r="AW9" s="6">
        <v>0</v>
      </c>
      <c r="AX9" s="6">
        <v>0</v>
      </c>
      <c r="AY9" s="6">
        <v>0</v>
      </c>
      <c r="AZ9" s="6">
        <v>0</v>
      </c>
      <c r="BA9" s="6">
        <v>0</v>
      </c>
      <c r="BB9" s="6">
        <v>0</v>
      </c>
      <c r="BC9" s="6">
        <v>0</v>
      </c>
      <c r="BD9" s="6">
        <v>0</v>
      </c>
      <c r="BG9" s="6">
        <v>0</v>
      </c>
      <c r="BH9" s="6">
        <v>0</v>
      </c>
      <c r="BI9" s="6">
        <v>0</v>
      </c>
      <c r="BJ9" s="6">
        <v>0</v>
      </c>
      <c r="BK9" s="6">
        <v>0</v>
      </c>
      <c r="BL9" s="6">
        <v>0</v>
      </c>
      <c r="BM9" s="6">
        <v>0</v>
      </c>
      <c r="BN9" s="6">
        <v>0</v>
      </c>
      <c r="BO9" s="6">
        <v>0</v>
      </c>
      <c r="BP9" s="6">
        <v>0</v>
      </c>
      <c r="BQ9" s="6">
        <v>0</v>
      </c>
      <c r="BR9" s="6">
        <v>0</v>
      </c>
      <c r="BS9" s="6">
        <v>0</v>
      </c>
      <c r="BT9" s="6">
        <v>0</v>
      </c>
      <c r="BU9" s="6">
        <v>0</v>
      </c>
      <c r="BV9" s="6">
        <v>0</v>
      </c>
      <c r="BW9" s="6">
        <v>0</v>
      </c>
      <c r="BX9" s="6">
        <v>0</v>
      </c>
      <c r="BY9" s="6">
        <v>0</v>
      </c>
      <c r="BZ9" s="6">
        <v>0</v>
      </c>
      <c r="CA9" s="6">
        <v>0</v>
      </c>
      <c r="CB9" s="6">
        <v>0</v>
      </c>
      <c r="CC9" s="6">
        <v>0</v>
      </c>
      <c r="CD9" s="6">
        <v>0</v>
      </c>
      <c r="CE9" s="6">
        <v>0</v>
      </c>
      <c r="CF9" s="6">
        <v>0</v>
      </c>
      <c r="CG9" s="6">
        <v>0</v>
      </c>
      <c r="CH9" s="6">
        <v>0</v>
      </c>
      <c r="CI9" s="6">
        <v>0</v>
      </c>
      <c r="CJ9" s="6">
        <v>0</v>
      </c>
      <c r="CK9" s="6">
        <v>0</v>
      </c>
      <c r="CL9" s="6">
        <v>0</v>
      </c>
      <c r="CM9" s="6">
        <v>0</v>
      </c>
      <c r="CN9" s="6">
        <v>0</v>
      </c>
      <c r="CO9" s="165">
        <v>0</v>
      </c>
      <c r="CP9" s="165">
        <v>0</v>
      </c>
      <c r="CZ9" s="97">
        <v>1</v>
      </c>
      <c r="DC9" s="52">
        <f>CT42</f>
        <v>0</v>
      </c>
      <c r="DD9" s="53">
        <f t="shared" ref="DD9:DD20" si="1">CZ9</f>
        <v>1</v>
      </c>
      <c r="DE9" s="75" t="e">
        <f t="shared" ref="DE9:DE20" si="2">VLOOKUP(DC9,$A$88:$C$94,3)</f>
        <v>#N/A</v>
      </c>
      <c r="DF9" s="53" t="e">
        <f t="shared" ref="DF9:DF20" si="3">DD9*DE9</f>
        <v>#N/A</v>
      </c>
      <c r="DG9" s="105" t="e">
        <f t="shared" ref="DG9:DG20" si="4">DF9</f>
        <v>#N/A</v>
      </c>
    </row>
    <row r="10" spans="1:111" x14ac:dyDescent="0.2">
      <c r="F10" s="183">
        <v>36770</v>
      </c>
      <c r="G10" s="6">
        <v>3104</v>
      </c>
      <c r="H10" s="36">
        <v>0</v>
      </c>
      <c r="I10" s="6">
        <v>0</v>
      </c>
      <c r="J10" s="6">
        <v>0</v>
      </c>
      <c r="K10" s="566">
        <v>0</v>
      </c>
      <c r="M10" s="6">
        <v>0</v>
      </c>
      <c r="N10" s="36">
        <v>0</v>
      </c>
      <c r="O10" s="6">
        <v>0</v>
      </c>
      <c r="P10" s="6">
        <v>0</v>
      </c>
      <c r="Q10" s="184">
        <v>0</v>
      </c>
      <c r="S10" s="568" t="s">
        <v>981</v>
      </c>
      <c r="T10" s="6"/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  <c r="AD10" s="6">
        <v>0</v>
      </c>
      <c r="AE10" s="6">
        <v>0</v>
      </c>
      <c r="AF10" s="6">
        <v>0</v>
      </c>
      <c r="AG10" s="6">
        <v>0</v>
      </c>
      <c r="AH10" s="6">
        <v>0</v>
      </c>
      <c r="AI10" s="6">
        <v>0</v>
      </c>
      <c r="AJ10" s="6">
        <v>0</v>
      </c>
      <c r="AK10" s="6">
        <v>0</v>
      </c>
      <c r="AL10" s="6">
        <v>0</v>
      </c>
      <c r="AM10" s="6">
        <v>0</v>
      </c>
      <c r="AN10" s="6">
        <v>0</v>
      </c>
      <c r="AO10" s="6">
        <v>0</v>
      </c>
      <c r="AP10" s="6">
        <v>0</v>
      </c>
      <c r="AQ10" s="6">
        <v>0</v>
      </c>
      <c r="AR10" s="6">
        <v>0</v>
      </c>
      <c r="AS10" s="6">
        <v>0</v>
      </c>
      <c r="AT10" s="6">
        <v>0</v>
      </c>
      <c r="AU10" s="6">
        <v>0</v>
      </c>
      <c r="AV10" s="6">
        <v>0</v>
      </c>
      <c r="AW10" s="6">
        <v>0</v>
      </c>
      <c r="AX10" s="6">
        <v>0</v>
      </c>
      <c r="AY10" s="6">
        <v>0</v>
      </c>
      <c r="AZ10" s="6">
        <v>0</v>
      </c>
      <c r="BA10" s="6">
        <v>0</v>
      </c>
      <c r="BB10" s="6">
        <v>0</v>
      </c>
      <c r="BC10" s="6">
        <v>0</v>
      </c>
      <c r="BD10" s="6">
        <v>0</v>
      </c>
      <c r="BG10" s="6">
        <v>0</v>
      </c>
      <c r="BH10" s="6">
        <v>0</v>
      </c>
      <c r="BI10" s="6">
        <v>0</v>
      </c>
      <c r="BJ10" s="6">
        <v>0</v>
      </c>
      <c r="BK10" s="6">
        <v>0</v>
      </c>
      <c r="BL10" s="6">
        <v>0</v>
      </c>
      <c r="BM10" s="6">
        <v>0</v>
      </c>
      <c r="BN10" s="6">
        <v>0</v>
      </c>
      <c r="BO10" s="6">
        <v>0</v>
      </c>
      <c r="BP10" s="6">
        <v>0</v>
      </c>
      <c r="BQ10" s="6">
        <v>0</v>
      </c>
      <c r="BR10" s="6">
        <v>0</v>
      </c>
      <c r="BS10" s="6">
        <v>0</v>
      </c>
      <c r="BT10" s="6">
        <v>0</v>
      </c>
      <c r="BU10" s="6">
        <v>0</v>
      </c>
      <c r="BV10" s="6">
        <v>0</v>
      </c>
      <c r="BW10" s="6">
        <v>0</v>
      </c>
      <c r="BX10" s="6">
        <v>0</v>
      </c>
      <c r="BY10" s="6">
        <v>0</v>
      </c>
      <c r="BZ10" s="6">
        <v>0</v>
      </c>
      <c r="CA10" s="6">
        <v>0</v>
      </c>
      <c r="CB10" s="6">
        <v>0</v>
      </c>
      <c r="CC10" s="6">
        <v>0</v>
      </c>
      <c r="CD10" s="6">
        <v>0</v>
      </c>
      <c r="CE10" s="6">
        <v>0</v>
      </c>
      <c r="CF10" s="6">
        <v>0</v>
      </c>
      <c r="CG10" s="6">
        <v>0</v>
      </c>
      <c r="CH10" s="6">
        <v>0</v>
      </c>
      <c r="CI10" s="6">
        <v>0</v>
      </c>
      <c r="CJ10" s="6">
        <v>0</v>
      </c>
      <c r="CK10" s="6">
        <v>0</v>
      </c>
      <c r="CL10" s="6">
        <v>0</v>
      </c>
      <c r="CM10" s="6">
        <v>0</v>
      </c>
      <c r="CN10" s="165">
        <v>0</v>
      </c>
      <c r="CO10" s="165">
        <v>0</v>
      </c>
      <c r="CP10" s="165">
        <v>0</v>
      </c>
      <c r="CZ10" s="97">
        <v>1</v>
      </c>
      <c r="DC10" s="52">
        <f>CT43</f>
        <v>0</v>
      </c>
      <c r="DD10" s="53">
        <f t="shared" si="1"/>
        <v>1</v>
      </c>
      <c r="DE10" s="75" t="e">
        <f t="shared" si="2"/>
        <v>#N/A</v>
      </c>
      <c r="DF10" s="53" t="e">
        <f t="shared" si="3"/>
        <v>#N/A</v>
      </c>
      <c r="DG10" s="105" t="e">
        <f t="shared" si="4"/>
        <v>#N/A</v>
      </c>
    </row>
    <row r="11" spans="1:111" x14ac:dyDescent="0.2">
      <c r="F11" s="183">
        <v>36739</v>
      </c>
      <c r="G11" s="6">
        <v>3090</v>
      </c>
      <c r="H11" s="36">
        <v>0</v>
      </c>
      <c r="I11" s="6">
        <v>0</v>
      </c>
      <c r="J11" s="6">
        <v>0</v>
      </c>
      <c r="K11" s="566">
        <v>0</v>
      </c>
      <c r="M11" s="6">
        <v>0</v>
      </c>
      <c r="N11" s="36">
        <v>0</v>
      </c>
      <c r="O11" s="6">
        <v>0</v>
      </c>
      <c r="P11" s="6">
        <v>0</v>
      </c>
      <c r="Q11" s="184">
        <v>0</v>
      </c>
      <c r="S11" s="568" t="s">
        <v>982</v>
      </c>
      <c r="T11" s="6"/>
      <c r="U11" s="6">
        <v>0</v>
      </c>
      <c r="V11" s="6">
        <v>0</v>
      </c>
      <c r="W11" s="6">
        <v>0</v>
      </c>
      <c r="X11" s="6">
        <v>0</v>
      </c>
      <c r="Y11" s="6">
        <v>0</v>
      </c>
      <c r="Z11" s="6">
        <v>0</v>
      </c>
      <c r="AA11" s="6">
        <v>0</v>
      </c>
      <c r="AB11" s="6">
        <v>0</v>
      </c>
      <c r="AC11" s="6">
        <v>0</v>
      </c>
      <c r="AD11" s="6">
        <v>0</v>
      </c>
      <c r="AE11" s="6">
        <v>0</v>
      </c>
      <c r="AF11" s="6">
        <v>0</v>
      </c>
      <c r="AG11" s="6">
        <v>0</v>
      </c>
      <c r="AH11" s="6">
        <v>0</v>
      </c>
      <c r="AI11" s="6">
        <v>0</v>
      </c>
      <c r="AJ11" s="6">
        <v>0</v>
      </c>
      <c r="AK11" s="6">
        <v>0</v>
      </c>
      <c r="AL11" s="6">
        <v>0</v>
      </c>
      <c r="AM11" s="6">
        <v>0</v>
      </c>
      <c r="AN11" s="6">
        <v>0</v>
      </c>
      <c r="AO11" s="6">
        <v>0</v>
      </c>
      <c r="AP11" s="6">
        <v>0</v>
      </c>
      <c r="AQ11" s="6">
        <v>0</v>
      </c>
      <c r="AR11" s="6">
        <v>0</v>
      </c>
      <c r="AS11" s="6">
        <v>0</v>
      </c>
      <c r="AT11" s="6">
        <v>0</v>
      </c>
      <c r="AU11" s="6">
        <v>0</v>
      </c>
      <c r="AV11" s="6">
        <v>0</v>
      </c>
      <c r="AW11" s="6">
        <v>0</v>
      </c>
      <c r="AX11" s="6">
        <v>0</v>
      </c>
      <c r="AY11" s="6">
        <v>0</v>
      </c>
      <c r="AZ11" s="6">
        <v>0</v>
      </c>
      <c r="BA11" s="6">
        <v>0</v>
      </c>
      <c r="BB11" s="6">
        <v>0</v>
      </c>
      <c r="BC11" s="6">
        <v>0</v>
      </c>
      <c r="BD11" s="6">
        <v>0</v>
      </c>
      <c r="BG11" s="6">
        <v>0</v>
      </c>
      <c r="BH11" s="6">
        <v>0</v>
      </c>
      <c r="BI11" s="6">
        <v>0</v>
      </c>
      <c r="BJ11" s="6">
        <v>0</v>
      </c>
      <c r="BK11" s="6">
        <v>0</v>
      </c>
      <c r="BL11" s="6">
        <v>0</v>
      </c>
      <c r="BM11" s="6">
        <v>0</v>
      </c>
      <c r="BN11" s="6">
        <v>0</v>
      </c>
      <c r="BO11" s="6">
        <v>0</v>
      </c>
      <c r="BP11" s="6">
        <v>0</v>
      </c>
      <c r="BQ11" s="6">
        <v>0</v>
      </c>
      <c r="BR11" s="6">
        <v>0</v>
      </c>
      <c r="BS11" s="6">
        <v>0</v>
      </c>
      <c r="BT11" s="6">
        <v>0</v>
      </c>
      <c r="BU11" s="6">
        <v>0</v>
      </c>
      <c r="BV11" s="6">
        <v>0</v>
      </c>
      <c r="BW11" s="6">
        <v>0</v>
      </c>
      <c r="BX11" s="6">
        <v>0</v>
      </c>
      <c r="BY11" s="6">
        <v>0</v>
      </c>
      <c r="BZ11" s="6">
        <v>0</v>
      </c>
      <c r="CA11" s="6">
        <v>0</v>
      </c>
      <c r="CB11" s="6">
        <v>0</v>
      </c>
      <c r="CC11" s="6">
        <v>0</v>
      </c>
      <c r="CD11" s="6">
        <v>0</v>
      </c>
      <c r="CE11" s="6">
        <v>0</v>
      </c>
      <c r="CF11" s="6">
        <v>0</v>
      </c>
      <c r="CG11" s="6">
        <v>0</v>
      </c>
      <c r="CH11" s="6">
        <v>0</v>
      </c>
      <c r="CI11" s="6">
        <v>0</v>
      </c>
      <c r="CJ11" s="6">
        <v>0</v>
      </c>
      <c r="CK11" s="6">
        <v>0</v>
      </c>
      <c r="CL11" s="6">
        <v>0</v>
      </c>
      <c r="CM11" s="165">
        <v>0</v>
      </c>
      <c r="CN11" s="165">
        <v>0</v>
      </c>
      <c r="CO11" s="165">
        <v>0</v>
      </c>
      <c r="CP11" s="165">
        <v>0</v>
      </c>
      <c r="CZ11" s="97">
        <v>1</v>
      </c>
      <c r="DC11" s="52">
        <f>CT44</f>
        <v>0</v>
      </c>
      <c r="DD11" s="53">
        <f t="shared" si="1"/>
        <v>1</v>
      </c>
      <c r="DE11" s="75" t="e">
        <f t="shared" si="2"/>
        <v>#N/A</v>
      </c>
      <c r="DF11" s="53" t="e">
        <f t="shared" si="3"/>
        <v>#N/A</v>
      </c>
      <c r="DG11" s="105" t="e">
        <f t="shared" si="4"/>
        <v>#N/A</v>
      </c>
    </row>
    <row r="12" spans="1:111" x14ac:dyDescent="0.2">
      <c r="F12" s="183">
        <v>36708</v>
      </c>
      <c r="G12" s="6">
        <v>3152</v>
      </c>
      <c r="H12" s="36">
        <v>0</v>
      </c>
      <c r="I12" s="6">
        <v>0</v>
      </c>
      <c r="J12" s="6">
        <v>0</v>
      </c>
      <c r="K12" s="566">
        <v>0</v>
      </c>
      <c r="M12" s="6">
        <v>0</v>
      </c>
      <c r="N12" s="36">
        <v>0</v>
      </c>
      <c r="O12" s="6">
        <v>0</v>
      </c>
      <c r="P12" s="6">
        <v>0</v>
      </c>
      <c r="Q12" s="184">
        <v>0</v>
      </c>
      <c r="S12" s="568" t="s">
        <v>983</v>
      </c>
      <c r="T12" s="6"/>
      <c r="U12" s="6">
        <v>0</v>
      </c>
      <c r="V12" s="6">
        <v>0</v>
      </c>
      <c r="W12" s="6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6">
        <v>0</v>
      </c>
      <c r="AD12" s="6">
        <v>0</v>
      </c>
      <c r="AE12" s="6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6">
        <v>0</v>
      </c>
      <c r="AM12" s="6">
        <v>0</v>
      </c>
      <c r="AN12" s="6">
        <v>0</v>
      </c>
      <c r="AO12" s="6">
        <v>0</v>
      </c>
      <c r="AP12" s="6">
        <v>0</v>
      </c>
      <c r="AQ12" s="6">
        <v>0</v>
      </c>
      <c r="AR12" s="6">
        <v>0</v>
      </c>
      <c r="AS12" s="6">
        <v>0</v>
      </c>
      <c r="AT12" s="6">
        <v>0</v>
      </c>
      <c r="AU12" s="6">
        <v>0</v>
      </c>
      <c r="AV12" s="6">
        <v>0</v>
      </c>
      <c r="AW12" s="6">
        <v>0</v>
      </c>
      <c r="AX12" s="6">
        <v>0</v>
      </c>
      <c r="AY12" s="6">
        <v>0</v>
      </c>
      <c r="AZ12" s="6">
        <v>0</v>
      </c>
      <c r="BA12" s="6">
        <v>0</v>
      </c>
      <c r="BB12" s="6">
        <v>0</v>
      </c>
      <c r="BC12" s="6">
        <v>0</v>
      </c>
      <c r="BD12" s="6">
        <v>0</v>
      </c>
      <c r="BG12" s="6">
        <v>0</v>
      </c>
      <c r="BH12" s="6">
        <v>0</v>
      </c>
      <c r="BI12" s="6">
        <v>0</v>
      </c>
      <c r="BJ12" s="6">
        <v>0</v>
      </c>
      <c r="BK12" s="6">
        <v>0</v>
      </c>
      <c r="BL12" s="6">
        <v>0</v>
      </c>
      <c r="BM12" s="6">
        <v>0</v>
      </c>
      <c r="BN12" s="6">
        <v>0</v>
      </c>
      <c r="BO12" s="6">
        <v>0</v>
      </c>
      <c r="BP12" s="6">
        <v>0</v>
      </c>
      <c r="BQ12" s="6">
        <v>0</v>
      </c>
      <c r="BR12" s="6">
        <v>0</v>
      </c>
      <c r="BS12" s="6">
        <v>0</v>
      </c>
      <c r="BT12" s="6">
        <v>0</v>
      </c>
      <c r="BU12" s="6">
        <v>0</v>
      </c>
      <c r="BV12" s="6">
        <v>0</v>
      </c>
      <c r="BW12" s="6">
        <v>0</v>
      </c>
      <c r="BX12" s="6">
        <v>0</v>
      </c>
      <c r="BY12" s="6">
        <v>0</v>
      </c>
      <c r="BZ12" s="6">
        <v>0</v>
      </c>
      <c r="CA12" s="6">
        <v>0</v>
      </c>
      <c r="CB12" s="6">
        <v>0</v>
      </c>
      <c r="CC12" s="6">
        <v>0</v>
      </c>
      <c r="CD12" s="6">
        <v>0</v>
      </c>
      <c r="CE12" s="6">
        <v>0</v>
      </c>
      <c r="CF12" s="6">
        <v>0</v>
      </c>
      <c r="CG12" s="6">
        <v>0</v>
      </c>
      <c r="CH12" s="6">
        <v>0</v>
      </c>
      <c r="CI12" s="6">
        <v>0</v>
      </c>
      <c r="CJ12" s="6">
        <v>0</v>
      </c>
      <c r="CK12" s="6">
        <v>0</v>
      </c>
      <c r="CL12" s="165">
        <v>0</v>
      </c>
      <c r="CM12" s="165">
        <v>0</v>
      </c>
      <c r="CN12" s="165">
        <v>0</v>
      </c>
      <c r="CO12" s="165">
        <v>0</v>
      </c>
      <c r="CP12" s="165">
        <v>0</v>
      </c>
      <c r="CZ12" s="97">
        <v>1</v>
      </c>
      <c r="DC12" s="52">
        <f>CT45</f>
        <v>0</v>
      </c>
      <c r="DD12" s="53">
        <f t="shared" si="1"/>
        <v>1</v>
      </c>
      <c r="DE12" s="75" t="e">
        <f t="shared" si="2"/>
        <v>#N/A</v>
      </c>
      <c r="DF12" s="53" t="e">
        <f t="shared" si="3"/>
        <v>#N/A</v>
      </c>
      <c r="DG12" s="105" t="e">
        <f t="shared" si="4"/>
        <v>#N/A</v>
      </c>
    </row>
    <row r="13" spans="1:111" x14ac:dyDescent="0.2">
      <c r="F13" s="183">
        <v>36678</v>
      </c>
      <c r="G13" s="6">
        <v>3097</v>
      </c>
      <c r="H13" s="36">
        <v>0</v>
      </c>
      <c r="I13" s="6">
        <v>0</v>
      </c>
      <c r="J13" s="6">
        <v>0</v>
      </c>
      <c r="K13" s="566">
        <v>0</v>
      </c>
      <c r="M13" s="6">
        <v>0</v>
      </c>
      <c r="N13" s="36">
        <v>0</v>
      </c>
      <c r="O13" s="6">
        <v>0</v>
      </c>
      <c r="P13" s="6">
        <v>0</v>
      </c>
      <c r="Q13" s="184">
        <v>0</v>
      </c>
      <c r="S13" s="568" t="s">
        <v>984</v>
      </c>
      <c r="T13" s="6"/>
      <c r="U13" s="6">
        <v>0</v>
      </c>
      <c r="V13" s="6">
        <v>0</v>
      </c>
      <c r="W13" s="6">
        <v>0</v>
      </c>
      <c r="X13" s="6">
        <v>0</v>
      </c>
      <c r="Y13" s="6">
        <v>0</v>
      </c>
      <c r="Z13" s="6">
        <v>0</v>
      </c>
      <c r="AA13" s="6">
        <v>0</v>
      </c>
      <c r="AB13" s="6">
        <v>0</v>
      </c>
      <c r="AC13" s="6">
        <v>0</v>
      </c>
      <c r="AD13" s="6">
        <v>0</v>
      </c>
      <c r="AE13" s="6">
        <v>0</v>
      </c>
      <c r="AF13" s="6">
        <v>0</v>
      </c>
      <c r="AG13" s="6">
        <v>0</v>
      </c>
      <c r="AH13" s="6">
        <v>0</v>
      </c>
      <c r="AI13" s="6">
        <v>0</v>
      </c>
      <c r="AJ13" s="6">
        <v>0</v>
      </c>
      <c r="AK13" s="6">
        <v>0</v>
      </c>
      <c r="AL13" s="6">
        <v>0</v>
      </c>
      <c r="AM13" s="6">
        <v>0</v>
      </c>
      <c r="AN13" s="6">
        <v>0</v>
      </c>
      <c r="AO13" s="6">
        <v>0</v>
      </c>
      <c r="AP13" s="6">
        <v>0</v>
      </c>
      <c r="AQ13" s="6">
        <v>0</v>
      </c>
      <c r="AR13" s="6">
        <v>0</v>
      </c>
      <c r="AS13" s="6">
        <v>0</v>
      </c>
      <c r="AT13" s="6">
        <v>0</v>
      </c>
      <c r="AU13" s="6">
        <v>0</v>
      </c>
      <c r="AV13" s="6">
        <v>0</v>
      </c>
      <c r="AW13" s="6">
        <v>0</v>
      </c>
      <c r="AX13" s="6">
        <v>0</v>
      </c>
      <c r="AY13" s="6">
        <v>0</v>
      </c>
      <c r="AZ13" s="6">
        <v>0</v>
      </c>
      <c r="BA13" s="6">
        <v>0</v>
      </c>
      <c r="BB13" s="6">
        <v>0</v>
      </c>
      <c r="BC13" s="6">
        <v>0</v>
      </c>
      <c r="BD13" s="6">
        <v>0</v>
      </c>
      <c r="BG13" s="6">
        <v>0</v>
      </c>
      <c r="BH13" s="6">
        <v>0</v>
      </c>
      <c r="BI13" s="6">
        <v>0</v>
      </c>
      <c r="BJ13" s="6">
        <v>0</v>
      </c>
      <c r="BK13" s="6">
        <v>0</v>
      </c>
      <c r="BL13" s="6">
        <v>0</v>
      </c>
      <c r="BM13" s="6">
        <v>0</v>
      </c>
      <c r="BN13" s="6">
        <v>0</v>
      </c>
      <c r="BO13" s="6">
        <v>0</v>
      </c>
      <c r="BP13" s="6">
        <v>0</v>
      </c>
      <c r="BQ13" s="6">
        <v>0</v>
      </c>
      <c r="BR13" s="6">
        <v>0</v>
      </c>
      <c r="BS13" s="6">
        <v>0</v>
      </c>
      <c r="BT13" s="6">
        <v>0</v>
      </c>
      <c r="BU13" s="6">
        <v>0</v>
      </c>
      <c r="BV13" s="6">
        <v>0</v>
      </c>
      <c r="BW13" s="6">
        <v>0</v>
      </c>
      <c r="BX13" s="6">
        <v>0</v>
      </c>
      <c r="BY13" s="6">
        <v>0</v>
      </c>
      <c r="BZ13" s="6">
        <v>0</v>
      </c>
      <c r="CA13" s="6">
        <v>0</v>
      </c>
      <c r="CB13" s="6">
        <v>0</v>
      </c>
      <c r="CC13" s="6">
        <v>0</v>
      </c>
      <c r="CD13" s="6">
        <v>0</v>
      </c>
      <c r="CE13" s="6">
        <v>0</v>
      </c>
      <c r="CF13" s="6">
        <v>0</v>
      </c>
      <c r="CG13" s="6">
        <v>0</v>
      </c>
      <c r="CH13" s="6">
        <v>0</v>
      </c>
      <c r="CI13" s="6">
        <v>0</v>
      </c>
      <c r="CJ13" s="6">
        <v>0</v>
      </c>
      <c r="CK13" s="165">
        <v>0</v>
      </c>
      <c r="CL13" s="165">
        <v>0</v>
      </c>
      <c r="CM13" s="165">
        <v>0</v>
      </c>
      <c r="CN13" s="165">
        <v>0</v>
      </c>
      <c r="CO13" s="165">
        <v>0</v>
      </c>
      <c r="CP13" s="165">
        <v>0</v>
      </c>
      <c r="CV13" t="s">
        <v>381</v>
      </c>
      <c r="CZ13" s="97">
        <v>1</v>
      </c>
      <c r="DC13" s="52">
        <f t="shared" ref="DC13:DC20" si="5">CT13</f>
        <v>0</v>
      </c>
      <c r="DD13" s="53">
        <f t="shared" si="1"/>
        <v>1</v>
      </c>
      <c r="DE13" s="75" t="e">
        <f t="shared" si="2"/>
        <v>#N/A</v>
      </c>
      <c r="DF13" s="53" t="e">
        <f t="shared" si="3"/>
        <v>#N/A</v>
      </c>
      <c r="DG13" s="105" t="e">
        <f t="shared" si="4"/>
        <v>#N/A</v>
      </c>
    </row>
    <row r="14" spans="1:111" x14ac:dyDescent="0.2">
      <c r="F14" s="183">
        <v>36647</v>
      </c>
      <c r="G14" s="6">
        <v>3109</v>
      </c>
      <c r="H14" s="36">
        <v>0</v>
      </c>
      <c r="I14" s="6">
        <v>0</v>
      </c>
      <c r="J14" s="6">
        <v>0</v>
      </c>
      <c r="K14" s="566">
        <v>0</v>
      </c>
      <c r="M14" s="6">
        <v>0</v>
      </c>
      <c r="N14" s="36">
        <v>0</v>
      </c>
      <c r="O14" s="6">
        <v>0</v>
      </c>
      <c r="P14" s="6">
        <v>0</v>
      </c>
      <c r="Q14" s="184">
        <v>0</v>
      </c>
      <c r="S14" s="568" t="s">
        <v>985</v>
      </c>
      <c r="T14" s="6"/>
      <c r="U14" s="6">
        <v>0</v>
      </c>
      <c r="V14" s="6">
        <v>0</v>
      </c>
      <c r="W14" s="6">
        <v>0</v>
      </c>
      <c r="X14" s="6">
        <v>0</v>
      </c>
      <c r="Y14" s="6">
        <v>0</v>
      </c>
      <c r="Z14" s="6">
        <v>0</v>
      </c>
      <c r="AA14" s="6">
        <v>0</v>
      </c>
      <c r="AB14" s="6">
        <v>0</v>
      </c>
      <c r="AC14" s="6">
        <v>0</v>
      </c>
      <c r="AD14" s="6">
        <v>0</v>
      </c>
      <c r="AE14" s="6">
        <v>0</v>
      </c>
      <c r="AF14" s="6">
        <v>0</v>
      </c>
      <c r="AG14" s="6">
        <v>0</v>
      </c>
      <c r="AH14" s="6">
        <v>0</v>
      </c>
      <c r="AI14" s="6">
        <v>0</v>
      </c>
      <c r="AJ14" s="6">
        <v>0</v>
      </c>
      <c r="AK14" s="6">
        <v>0</v>
      </c>
      <c r="AL14" s="6">
        <v>0</v>
      </c>
      <c r="AM14" s="6">
        <v>0</v>
      </c>
      <c r="AN14" s="6">
        <v>0</v>
      </c>
      <c r="AO14" s="6">
        <v>0</v>
      </c>
      <c r="AP14" s="6">
        <v>0</v>
      </c>
      <c r="AQ14" s="6">
        <v>0</v>
      </c>
      <c r="AR14" s="6">
        <v>0</v>
      </c>
      <c r="AS14" s="6">
        <v>0</v>
      </c>
      <c r="AT14" s="6">
        <v>0</v>
      </c>
      <c r="AU14" s="6">
        <v>0</v>
      </c>
      <c r="AV14" s="6">
        <v>0</v>
      </c>
      <c r="AW14" s="6">
        <v>0</v>
      </c>
      <c r="AX14" s="6">
        <v>0</v>
      </c>
      <c r="AY14" s="6">
        <v>0</v>
      </c>
      <c r="AZ14" s="6">
        <v>0</v>
      </c>
      <c r="BA14" s="6">
        <v>0</v>
      </c>
      <c r="BB14" s="6">
        <v>0</v>
      </c>
      <c r="BC14" s="6">
        <v>0</v>
      </c>
      <c r="BD14" s="6">
        <v>0</v>
      </c>
      <c r="BG14" s="6">
        <v>0</v>
      </c>
      <c r="BH14" s="6">
        <v>0</v>
      </c>
      <c r="BI14" s="6">
        <v>0</v>
      </c>
      <c r="BJ14" s="6">
        <v>0</v>
      </c>
      <c r="BK14" s="6">
        <v>0</v>
      </c>
      <c r="BL14" s="6">
        <v>0</v>
      </c>
      <c r="BM14" s="6">
        <v>0</v>
      </c>
      <c r="BN14" s="6">
        <v>0</v>
      </c>
      <c r="BO14" s="6">
        <v>0</v>
      </c>
      <c r="BP14" s="6">
        <v>0</v>
      </c>
      <c r="BQ14" s="6">
        <v>0</v>
      </c>
      <c r="BR14" s="6">
        <v>0</v>
      </c>
      <c r="BS14" s="6">
        <v>0</v>
      </c>
      <c r="BT14" s="6">
        <v>0</v>
      </c>
      <c r="BU14" s="6">
        <v>0</v>
      </c>
      <c r="BV14" s="6">
        <v>0</v>
      </c>
      <c r="BW14" s="6">
        <v>0</v>
      </c>
      <c r="BX14" s="6">
        <v>0</v>
      </c>
      <c r="BY14" s="6">
        <v>0</v>
      </c>
      <c r="BZ14" s="6">
        <v>0</v>
      </c>
      <c r="CA14" s="6">
        <v>0</v>
      </c>
      <c r="CB14" s="6">
        <v>0</v>
      </c>
      <c r="CC14" s="6">
        <v>0</v>
      </c>
      <c r="CD14" s="6">
        <v>0</v>
      </c>
      <c r="CE14" s="6">
        <v>0</v>
      </c>
      <c r="CF14" s="6">
        <v>0</v>
      </c>
      <c r="CG14" s="6">
        <v>0</v>
      </c>
      <c r="CH14" s="6">
        <v>0</v>
      </c>
      <c r="CI14" s="6">
        <v>0</v>
      </c>
      <c r="CJ14" s="165">
        <v>0</v>
      </c>
      <c r="CK14" s="165">
        <v>0</v>
      </c>
      <c r="CL14" s="165">
        <v>0</v>
      </c>
      <c r="CM14" s="165">
        <v>0</v>
      </c>
      <c r="CN14" s="165">
        <v>0</v>
      </c>
      <c r="CO14" s="165">
        <v>0</v>
      </c>
      <c r="CP14" s="165">
        <v>0</v>
      </c>
      <c r="CZ14" s="97">
        <v>1</v>
      </c>
      <c r="DC14" s="52">
        <f t="shared" si="5"/>
        <v>0</v>
      </c>
      <c r="DD14" s="53">
        <f t="shared" si="1"/>
        <v>1</v>
      </c>
      <c r="DE14" s="75" t="e">
        <f t="shared" si="2"/>
        <v>#N/A</v>
      </c>
      <c r="DF14" s="53" t="e">
        <f t="shared" si="3"/>
        <v>#N/A</v>
      </c>
      <c r="DG14" s="105" t="e">
        <f t="shared" si="4"/>
        <v>#N/A</v>
      </c>
    </row>
    <row r="15" spans="1:111" x14ac:dyDescent="0.2">
      <c r="F15" s="183">
        <v>36617</v>
      </c>
      <c r="G15" s="6">
        <v>3168</v>
      </c>
      <c r="H15" s="36">
        <v>0</v>
      </c>
      <c r="I15" s="6">
        <v>0</v>
      </c>
      <c r="J15" s="6">
        <v>0</v>
      </c>
      <c r="K15" s="566">
        <v>0</v>
      </c>
      <c r="M15" s="6">
        <v>0</v>
      </c>
      <c r="N15" s="36">
        <v>0</v>
      </c>
      <c r="O15" s="6">
        <v>0</v>
      </c>
      <c r="P15" s="6">
        <v>0</v>
      </c>
      <c r="Q15" s="184">
        <v>0</v>
      </c>
      <c r="S15" s="568" t="s">
        <v>986</v>
      </c>
      <c r="T15" s="6"/>
      <c r="U15" s="6">
        <v>0</v>
      </c>
      <c r="V15" s="6">
        <v>0</v>
      </c>
      <c r="W15" s="6">
        <v>0</v>
      </c>
      <c r="X15" s="6">
        <v>0</v>
      </c>
      <c r="Y15" s="6">
        <v>0</v>
      </c>
      <c r="Z15" s="6">
        <v>0</v>
      </c>
      <c r="AA15" s="6">
        <v>0</v>
      </c>
      <c r="AB15" s="6">
        <v>0</v>
      </c>
      <c r="AC15" s="6">
        <v>0</v>
      </c>
      <c r="AD15" s="6">
        <v>0</v>
      </c>
      <c r="AE15" s="6">
        <v>0</v>
      </c>
      <c r="AF15" s="6">
        <v>0</v>
      </c>
      <c r="AG15" s="6">
        <v>0</v>
      </c>
      <c r="AH15" s="6">
        <v>0</v>
      </c>
      <c r="AI15" s="6">
        <v>0</v>
      </c>
      <c r="AJ15" s="6">
        <v>0</v>
      </c>
      <c r="AK15" s="6">
        <v>0</v>
      </c>
      <c r="AL15" s="6">
        <v>0</v>
      </c>
      <c r="AM15" s="6">
        <v>0</v>
      </c>
      <c r="AN15" s="6">
        <v>0</v>
      </c>
      <c r="AO15" s="6">
        <v>0</v>
      </c>
      <c r="AP15" s="6">
        <v>0</v>
      </c>
      <c r="AQ15" s="6">
        <v>0</v>
      </c>
      <c r="AR15" s="6">
        <v>0</v>
      </c>
      <c r="AS15" s="6">
        <v>0</v>
      </c>
      <c r="AT15" s="6">
        <v>0</v>
      </c>
      <c r="AU15" s="6">
        <v>0</v>
      </c>
      <c r="AV15" s="6">
        <v>0</v>
      </c>
      <c r="AW15" s="6">
        <v>0</v>
      </c>
      <c r="AX15" s="6">
        <v>0</v>
      </c>
      <c r="AY15" s="6">
        <v>0</v>
      </c>
      <c r="AZ15" s="6">
        <v>0</v>
      </c>
      <c r="BA15" s="6">
        <v>0</v>
      </c>
      <c r="BB15" s="6">
        <v>0</v>
      </c>
      <c r="BC15" s="6">
        <v>0</v>
      </c>
      <c r="BD15" s="6">
        <v>0</v>
      </c>
      <c r="BG15" s="6">
        <v>0</v>
      </c>
      <c r="BH15" s="6">
        <v>0</v>
      </c>
      <c r="BI15" s="6">
        <v>0</v>
      </c>
      <c r="BJ15" s="6">
        <v>0</v>
      </c>
      <c r="BK15" s="6">
        <v>0</v>
      </c>
      <c r="BL15" s="6">
        <v>0</v>
      </c>
      <c r="BM15" s="6">
        <v>0</v>
      </c>
      <c r="BN15" s="6">
        <v>0</v>
      </c>
      <c r="BO15" s="6">
        <v>0</v>
      </c>
      <c r="BP15" s="6">
        <v>0</v>
      </c>
      <c r="BQ15" s="6">
        <v>0</v>
      </c>
      <c r="BR15" s="6">
        <v>0</v>
      </c>
      <c r="BS15" s="6">
        <v>0</v>
      </c>
      <c r="BT15" s="6">
        <v>0</v>
      </c>
      <c r="BU15" s="6">
        <v>0</v>
      </c>
      <c r="BV15" s="6">
        <v>0</v>
      </c>
      <c r="BW15" s="6">
        <v>0</v>
      </c>
      <c r="BX15" s="6">
        <v>0</v>
      </c>
      <c r="BY15" s="6">
        <v>0</v>
      </c>
      <c r="BZ15" s="6">
        <v>0</v>
      </c>
      <c r="CA15" s="6">
        <v>0</v>
      </c>
      <c r="CB15" s="6">
        <v>0</v>
      </c>
      <c r="CC15" s="6">
        <v>0</v>
      </c>
      <c r="CD15" s="6">
        <v>0</v>
      </c>
      <c r="CE15" s="6">
        <v>0</v>
      </c>
      <c r="CF15" s="6">
        <v>0</v>
      </c>
      <c r="CG15" s="6">
        <v>0</v>
      </c>
      <c r="CH15" s="6">
        <v>0</v>
      </c>
      <c r="CI15" s="165">
        <v>0</v>
      </c>
      <c r="CJ15" s="165">
        <v>0</v>
      </c>
      <c r="CK15" s="165">
        <v>0</v>
      </c>
      <c r="CL15" s="165">
        <v>0</v>
      </c>
      <c r="CM15" s="165">
        <v>0</v>
      </c>
      <c r="CN15" s="165">
        <v>0</v>
      </c>
      <c r="CO15" s="165">
        <v>0</v>
      </c>
      <c r="CP15" s="165">
        <v>0</v>
      </c>
      <c r="CS15" s="30" t="s">
        <v>64</v>
      </c>
      <c r="CT15" s="30"/>
      <c r="CU15" s="30"/>
      <c r="CV15" s="118">
        <v>1</v>
      </c>
      <c r="CZ15" s="97">
        <v>1</v>
      </c>
      <c r="DC15" s="52">
        <f t="shared" si="5"/>
        <v>0</v>
      </c>
      <c r="DD15" s="53">
        <f t="shared" si="1"/>
        <v>1</v>
      </c>
      <c r="DE15" s="75" t="e">
        <f t="shared" si="2"/>
        <v>#N/A</v>
      </c>
      <c r="DF15" s="53" t="e">
        <f t="shared" si="3"/>
        <v>#N/A</v>
      </c>
      <c r="DG15" s="105" t="e">
        <f t="shared" si="4"/>
        <v>#N/A</v>
      </c>
    </row>
    <row r="16" spans="1:111" x14ac:dyDescent="0.2">
      <c r="F16" s="183">
        <v>36586</v>
      </c>
      <c r="G16" s="6">
        <v>3270</v>
      </c>
      <c r="H16" s="36">
        <v>0</v>
      </c>
      <c r="I16" s="6">
        <v>0</v>
      </c>
      <c r="J16" s="6">
        <v>0</v>
      </c>
      <c r="K16" s="566">
        <v>0</v>
      </c>
      <c r="M16" s="6">
        <v>0</v>
      </c>
      <c r="N16" s="36">
        <v>0</v>
      </c>
      <c r="O16" s="6">
        <v>0</v>
      </c>
      <c r="P16" s="6">
        <v>0</v>
      </c>
      <c r="Q16" s="184">
        <v>0</v>
      </c>
      <c r="S16" s="568" t="s">
        <v>987</v>
      </c>
      <c r="T16" s="6"/>
      <c r="U16" s="6">
        <v>0</v>
      </c>
      <c r="V16" s="6">
        <v>0</v>
      </c>
      <c r="W16" s="6">
        <v>0</v>
      </c>
      <c r="X16" s="6">
        <v>0</v>
      </c>
      <c r="Y16" s="6">
        <v>0</v>
      </c>
      <c r="Z16" s="6">
        <v>0</v>
      </c>
      <c r="AA16" s="6">
        <v>0</v>
      </c>
      <c r="AB16" s="6">
        <v>0</v>
      </c>
      <c r="AC16" s="6">
        <v>0</v>
      </c>
      <c r="AD16" s="6">
        <v>0</v>
      </c>
      <c r="AE16" s="6">
        <v>0</v>
      </c>
      <c r="AF16" s="6">
        <v>0</v>
      </c>
      <c r="AG16" s="6">
        <v>0</v>
      </c>
      <c r="AH16" s="6">
        <v>0</v>
      </c>
      <c r="AI16" s="6">
        <v>0</v>
      </c>
      <c r="AJ16" s="6">
        <v>0</v>
      </c>
      <c r="AK16" s="6">
        <v>0</v>
      </c>
      <c r="AL16" s="6">
        <v>0</v>
      </c>
      <c r="AM16" s="6">
        <v>0</v>
      </c>
      <c r="AN16" s="6">
        <v>0</v>
      </c>
      <c r="AO16" s="6">
        <v>0</v>
      </c>
      <c r="AP16" s="6">
        <v>0</v>
      </c>
      <c r="AQ16" s="6">
        <v>0</v>
      </c>
      <c r="AR16" s="6">
        <v>0</v>
      </c>
      <c r="AS16" s="6">
        <v>0</v>
      </c>
      <c r="AT16" s="6">
        <v>0</v>
      </c>
      <c r="AU16" s="6">
        <v>0</v>
      </c>
      <c r="AV16" s="6">
        <v>0</v>
      </c>
      <c r="AW16" s="6">
        <v>0</v>
      </c>
      <c r="AX16" s="6">
        <v>0</v>
      </c>
      <c r="AY16" s="6">
        <v>0</v>
      </c>
      <c r="AZ16" s="6">
        <v>0</v>
      </c>
      <c r="BA16" s="6">
        <v>0</v>
      </c>
      <c r="BB16" s="6">
        <v>0</v>
      </c>
      <c r="BC16" s="6">
        <v>0</v>
      </c>
      <c r="BD16" s="6">
        <v>0</v>
      </c>
      <c r="BG16" s="6">
        <v>0</v>
      </c>
      <c r="BH16" s="6">
        <v>0</v>
      </c>
      <c r="BI16" s="6">
        <v>0</v>
      </c>
      <c r="BJ16" s="6">
        <v>0</v>
      </c>
      <c r="BK16" s="6">
        <v>0</v>
      </c>
      <c r="BL16" s="6">
        <v>0</v>
      </c>
      <c r="BM16" s="6">
        <v>0</v>
      </c>
      <c r="BN16" s="6">
        <v>0</v>
      </c>
      <c r="BO16" s="6">
        <v>0</v>
      </c>
      <c r="BP16" s="6">
        <v>0</v>
      </c>
      <c r="BQ16" s="6">
        <v>0</v>
      </c>
      <c r="BR16" s="6">
        <v>0</v>
      </c>
      <c r="BS16" s="6">
        <v>0</v>
      </c>
      <c r="BT16" s="6">
        <v>0</v>
      </c>
      <c r="BU16" s="6">
        <v>0</v>
      </c>
      <c r="BV16" s="6">
        <v>0</v>
      </c>
      <c r="BW16" s="6">
        <v>0</v>
      </c>
      <c r="BX16" s="6">
        <v>0</v>
      </c>
      <c r="BY16" s="6">
        <v>0</v>
      </c>
      <c r="BZ16" s="6">
        <v>0</v>
      </c>
      <c r="CA16" s="6">
        <v>0</v>
      </c>
      <c r="CB16" s="6">
        <v>0</v>
      </c>
      <c r="CC16" s="6">
        <v>0</v>
      </c>
      <c r="CD16" s="6">
        <v>0</v>
      </c>
      <c r="CE16" s="6">
        <v>0</v>
      </c>
      <c r="CF16" s="6">
        <v>0</v>
      </c>
      <c r="CG16" s="6">
        <v>0</v>
      </c>
      <c r="CH16" s="165">
        <v>0</v>
      </c>
      <c r="CI16" s="165">
        <v>0</v>
      </c>
      <c r="CJ16" s="165">
        <v>0</v>
      </c>
      <c r="CK16" s="165">
        <v>0</v>
      </c>
      <c r="CL16" s="165">
        <v>0</v>
      </c>
      <c r="CM16" s="165">
        <v>0</v>
      </c>
      <c r="CN16" s="165">
        <v>0</v>
      </c>
      <c r="CO16" s="165">
        <v>0</v>
      </c>
      <c r="CP16" s="165">
        <v>0</v>
      </c>
      <c r="CS16" s="30" t="s">
        <v>87</v>
      </c>
      <c r="CT16" s="30"/>
      <c r="CU16" s="30"/>
      <c r="CV16" s="118">
        <v>0</v>
      </c>
      <c r="CZ16" s="97">
        <v>1</v>
      </c>
      <c r="DC16" s="52">
        <f t="shared" si="5"/>
        <v>0</v>
      </c>
      <c r="DD16" s="53">
        <f t="shared" si="1"/>
        <v>1</v>
      </c>
      <c r="DE16" s="75" t="e">
        <f t="shared" si="2"/>
        <v>#N/A</v>
      </c>
      <c r="DF16" s="53" t="e">
        <f t="shared" si="3"/>
        <v>#N/A</v>
      </c>
      <c r="DG16" s="105" t="e">
        <f t="shared" si="4"/>
        <v>#N/A</v>
      </c>
    </row>
    <row r="17" spans="6:111" x14ac:dyDescent="0.2">
      <c r="F17" s="183">
        <v>36557</v>
      </c>
      <c r="G17" s="6">
        <v>3318</v>
      </c>
      <c r="H17" s="36">
        <v>0</v>
      </c>
      <c r="I17" s="6">
        <v>0</v>
      </c>
      <c r="J17" s="6">
        <v>0</v>
      </c>
      <c r="K17" s="566">
        <v>0</v>
      </c>
      <c r="M17" s="6">
        <v>0</v>
      </c>
      <c r="N17" s="36">
        <v>0</v>
      </c>
      <c r="O17" s="6">
        <v>0</v>
      </c>
      <c r="P17" s="6">
        <v>0</v>
      </c>
      <c r="Q17" s="184">
        <v>0</v>
      </c>
      <c r="S17" s="568" t="s">
        <v>988</v>
      </c>
      <c r="T17" s="6"/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6">
        <v>0</v>
      </c>
      <c r="AE17" s="6">
        <v>0</v>
      </c>
      <c r="AF17" s="6">
        <v>0</v>
      </c>
      <c r="AG17" s="6">
        <v>0</v>
      </c>
      <c r="AH17" s="6">
        <v>0</v>
      </c>
      <c r="AI17" s="6">
        <v>0</v>
      </c>
      <c r="AJ17" s="6">
        <v>0</v>
      </c>
      <c r="AK17" s="6">
        <v>0</v>
      </c>
      <c r="AL17" s="6">
        <v>0</v>
      </c>
      <c r="AM17" s="6">
        <v>0</v>
      </c>
      <c r="AN17" s="6">
        <v>0</v>
      </c>
      <c r="AO17" s="6">
        <v>0</v>
      </c>
      <c r="AP17" s="6">
        <v>0</v>
      </c>
      <c r="AQ17" s="6">
        <v>0</v>
      </c>
      <c r="AR17" s="6">
        <v>0</v>
      </c>
      <c r="AS17" s="6">
        <v>0</v>
      </c>
      <c r="AT17" s="6">
        <v>0</v>
      </c>
      <c r="AU17" s="6">
        <v>0</v>
      </c>
      <c r="AV17" s="6">
        <v>0</v>
      </c>
      <c r="AW17" s="6">
        <v>0</v>
      </c>
      <c r="AX17" s="6">
        <v>0</v>
      </c>
      <c r="AY17" s="6">
        <v>0</v>
      </c>
      <c r="AZ17" s="6">
        <v>0</v>
      </c>
      <c r="BA17" s="6">
        <v>0</v>
      </c>
      <c r="BB17" s="6">
        <v>0</v>
      </c>
      <c r="BC17" s="6">
        <v>0</v>
      </c>
      <c r="BD17" s="6">
        <v>0</v>
      </c>
      <c r="BG17" s="6">
        <v>0</v>
      </c>
      <c r="BH17" s="6">
        <v>0</v>
      </c>
      <c r="BI17" s="6">
        <v>0</v>
      </c>
      <c r="BJ17" s="6">
        <v>0</v>
      </c>
      <c r="BK17" s="6">
        <v>0</v>
      </c>
      <c r="BL17" s="6">
        <v>0</v>
      </c>
      <c r="BM17" s="6">
        <v>0</v>
      </c>
      <c r="BN17" s="6">
        <v>0</v>
      </c>
      <c r="BO17" s="6">
        <v>0</v>
      </c>
      <c r="BP17" s="6">
        <v>0</v>
      </c>
      <c r="BQ17" s="6">
        <v>0</v>
      </c>
      <c r="BR17" s="6">
        <v>0</v>
      </c>
      <c r="BS17" s="6">
        <v>0</v>
      </c>
      <c r="BT17" s="6">
        <v>0</v>
      </c>
      <c r="BU17" s="6">
        <v>0</v>
      </c>
      <c r="BV17" s="6">
        <v>0</v>
      </c>
      <c r="BW17" s="6">
        <v>0</v>
      </c>
      <c r="BX17" s="6">
        <v>0</v>
      </c>
      <c r="BY17" s="6">
        <v>0</v>
      </c>
      <c r="BZ17" s="6">
        <v>0</v>
      </c>
      <c r="CA17" s="6">
        <v>0</v>
      </c>
      <c r="CB17" s="6">
        <v>0</v>
      </c>
      <c r="CC17" s="6">
        <v>0</v>
      </c>
      <c r="CD17" s="6">
        <v>0</v>
      </c>
      <c r="CE17" s="6">
        <v>0</v>
      </c>
      <c r="CF17" s="6">
        <v>0</v>
      </c>
      <c r="CG17" s="165">
        <v>0</v>
      </c>
      <c r="CH17" s="165">
        <v>0</v>
      </c>
      <c r="CI17" s="165">
        <v>0</v>
      </c>
      <c r="CJ17" s="165">
        <v>0</v>
      </c>
      <c r="CK17" s="165">
        <v>0</v>
      </c>
      <c r="CL17" s="165">
        <v>0</v>
      </c>
      <c r="CM17" s="165">
        <v>0</v>
      </c>
      <c r="CN17" s="165">
        <v>0</v>
      </c>
      <c r="CO17" s="165">
        <v>0</v>
      </c>
      <c r="CP17" s="165">
        <v>0</v>
      </c>
      <c r="CS17" s="3" t="s">
        <v>90</v>
      </c>
      <c r="CZ17" s="97">
        <v>1</v>
      </c>
      <c r="DC17" s="52">
        <f t="shared" si="5"/>
        <v>0</v>
      </c>
      <c r="DD17" s="53">
        <f t="shared" si="1"/>
        <v>1</v>
      </c>
      <c r="DE17" s="75" t="e">
        <f t="shared" si="2"/>
        <v>#N/A</v>
      </c>
      <c r="DF17" s="53" t="e">
        <f t="shared" si="3"/>
        <v>#N/A</v>
      </c>
      <c r="DG17" s="105" t="e">
        <f t="shared" si="4"/>
        <v>#N/A</v>
      </c>
    </row>
    <row r="18" spans="6:111" x14ac:dyDescent="0.2">
      <c r="F18" s="183">
        <v>36526</v>
      </c>
      <c r="G18" s="6">
        <v>3359</v>
      </c>
      <c r="H18" s="36">
        <v>0</v>
      </c>
      <c r="I18" s="6">
        <v>0</v>
      </c>
      <c r="J18" s="6">
        <v>0</v>
      </c>
      <c r="K18" s="566">
        <v>0</v>
      </c>
      <c r="M18" s="6">
        <v>0</v>
      </c>
      <c r="N18" s="36">
        <v>0</v>
      </c>
      <c r="O18" s="6">
        <v>0</v>
      </c>
      <c r="P18" s="6">
        <v>0</v>
      </c>
      <c r="Q18" s="184">
        <v>0</v>
      </c>
      <c r="S18" s="568" t="s">
        <v>989</v>
      </c>
      <c r="T18" s="6"/>
      <c r="U18" s="6">
        <v>0</v>
      </c>
      <c r="V18" s="6">
        <v>0</v>
      </c>
      <c r="W18" s="6">
        <v>0</v>
      </c>
      <c r="X18" s="6">
        <v>0</v>
      </c>
      <c r="Y18" s="6">
        <v>0</v>
      </c>
      <c r="Z18" s="6">
        <v>0</v>
      </c>
      <c r="AA18" s="6">
        <v>0</v>
      </c>
      <c r="AB18" s="6">
        <v>0</v>
      </c>
      <c r="AC18" s="6">
        <v>0</v>
      </c>
      <c r="AD18" s="6">
        <v>0</v>
      </c>
      <c r="AE18" s="6">
        <v>0</v>
      </c>
      <c r="AF18" s="6">
        <v>0</v>
      </c>
      <c r="AG18" s="6">
        <v>0</v>
      </c>
      <c r="AH18" s="6">
        <v>0</v>
      </c>
      <c r="AI18" s="6">
        <v>0</v>
      </c>
      <c r="AJ18" s="6">
        <v>0</v>
      </c>
      <c r="AK18" s="6">
        <v>0</v>
      </c>
      <c r="AL18" s="6">
        <v>0</v>
      </c>
      <c r="AM18" s="6">
        <v>0</v>
      </c>
      <c r="AN18" s="6">
        <v>0</v>
      </c>
      <c r="AO18" s="6">
        <v>0</v>
      </c>
      <c r="AP18" s="6">
        <v>0</v>
      </c>
      <c r="AQ18" s="6">
        <v>0</v>
      </c>
      <c r="AR18" s="6">
        <v>0</v>
      </c>
      <c r="AS18" s="6">
        <v>0</v>
      </c>
      <c r="AT18" s="6">
        <v>0</v>
      </c>
      <c r="AU18" s="6">
        <v>0</v>
      </c>
      <c r="AV18" s="6">
        <v>0</v>
      </c>
      <c r="AW18" s="6">
        <v>0</v>
      </c>
      <c r="AX18" s="6">
        <v>0</v>
      </c>
      <c r="AY18" s="6">
        <v>0</v>
      </c>
      <c r="AZ18" s="6">
        <v>0</v>
      </c>
      <c r="BA18" s="6">
        <v>0</v>
      </c>
      <c r="BB18" s="6">
        <v>0</v>
      </c>
      <c r="BC18" s="6">
        <v>0</v>
      </c>
      <c r="BD18" s="6">
        <v>0</v>
      </c>
      <c r="BG18" s="6">
        <v>0</v>
      </c>
      <c r="BH18" s="6">
        <v>0</v>
      </c>
      <c r="BI18" s="6">
        <v>0</v>
      </c>
      <c r="BJ18" s="6">
        <v>0</v>
      </c>
      <c r="BK18" s="6">
        <v>0</v>
      </c>
      <c r="BL18" s="6">
        <v>0</v>
      </c>
      <c r="BM18" s="6">
        <v>0</v>
      </c>
      <c r="BN18" s="6">
        <v>0</v>
      </c>
      <c r="BO18" s="6">
        <v>0</v>
      </c>
      <c r="BP18" s="6">
        <v>0</v>
      </c>
      <c r="BQ18" s="6">
        <v>0</v>
      </c>
      <c r="BR18" s="6">
        <v>0</v>
      </c>
      <c r="BS18" s="6">
        <v>0</v>
      </c>
      <c r="BT18" s="6">
        <v>0</v>
      </c>
      <c r="BU18" s="6">
        <v>0</v>
      </c>
      <c r="BV18" s="6">
        <v>0</v>
      </c>
      <c r="BW18" s="6">
        <v>0</v>
      </c>
      <c r="BX18" s="6">
        <v>0</v>
      </c>
      <c r="BY18" s="6">
        <v>0</v>
      </c>
      <c r="BZ18" s="6">
        <v>0</v>
      </c>
      <c r="CA18" s="6">
        <v>0</v>
      </c>
      <c r="CB18" s="6">
        <v>0</v>
      </c>
      <c r="CC18" s="6">
        <v>0</v>
      </c>
      <c r="CD18" s="6">
        <v>0</v>
      </c>
      <c r="CE18" s="6">
        <v>0</v>
      </c>
      <c r="CF18" s="165">
        <v>0</v>
      </c>
      <c r="CG18" s="165">
        <v>0</v>
      </c>
      <c r="CH18" s="165">
        <v>0</v>
      </c>
      <c r="CI18" s="165">
        <v>0</v>
      </c>
      <c r="CJ18" s="165">
        <v>0</v>
      </c>
      <c r="CK18" s="165">
        <v>0</v>
      </c>
      <c r="CL18" s="165">
        <v>0</v>
      </c>
      <c r="CM18" s="165">
        <v>0</v>
      </c>
      <c r="CN18" s="165">
        <v>0</v>
      </c>
      <c r="CO18" s="165">
        <v>0</v>
      </c>
      <c r="CP18" s="165">
        <v>0</v>
      </c>
      <c r="CZ18" s="97">
        <v>1</v>
      </c>
      <c r="DC18" s="52">
        <f t="shared" si="5"/>
        <v>0</v>
      </c>
      <c r="DD18" s="53">
        <f t="shared" si="1"/>
        <v>1</v>
      </c>
      <c r="DE18" s="75" t="e">
        <f t="shared" si="2"/>
        <v>#N/A</v>
      </c>
      <c r="DF18" s="53" t="e">
        <f t="shared" si="3"/>
        <v>#N/A</v>
      </c>
      <c r="DG18" s="105" t="e">
        <f t="shared" si="4"/>
        <v>#N/A</v>
      </c>
    </row>
    <row r="19" spans="6:111" x14ac:dyDescent="0.2">
      <c r="F19" s="183">
        <v>36495</v>
      </c>
      <c r="G19" s="6">
        <v>3462</v>
      </c>
      <c r="H19" s="36">
        <v>0</v>
      </c>
      <c r="I19" s="6">
        <v>0</v>
      </c>
      <c r="J19" s="6">
        <v>0</v>
      </c>
      <c r="K19" s="566">
        <v>0</v>
      </c>
      <c r="M19" s="6">
        <v>0</v>
      </c>
      <c r="N19" s="36">
        <v>0</v>
      </c>
      <c r="O19" s="6">
        <v>0</v>
      </c>
      <c r="P19" s="6">
        <v>0</v>
      </c>
      <c r="Q19" s="184">
        <v>0</v>
      </c>
      <c r="S19" s="568" t="s">
        <v>990</v>
      </c>
      <c r="T19" s="6"/>
      <c r="U19" s="6">
        <v>0</v>
      </c>
      <c r="V19" s="6">
        <v>0</v>
      </c>
      <c r="W19" s="6">
        <v>0</v>
      </c>
      <c r="X19" s="6">
        <v>0</v>
      </c>
      <c r="Y19" s="6">
        <v>0</v>
      </c>
      <c r="Z19" s="6">
        <v>0</v>
      </c>
      <c r="AA19" s="6">
        <v>0</v>
      </c>
      <c r="AB19" s="6">
        <v>0</v>
      </c>
      <c r="AC19" s="6">
        <v>0</v>
      </c>
      <c r="AD19" s="6">
        <v>0</v>
      </c>
      <c r="AE19" s="6">
        <v>0</v>
      </c>
      <c r="AF19" s="6">
        <v>0</v>
      </c>
      <c r="AG19" s="6">
        <v>0</v>
      </c>
      <c r="AH19" s="6">
        <v>0</v>
      </c>
      <c r="AI19" s="6">
        <v>0</v>
      </c>
      <c r="AJ19" s="6">
        <v>0</v>
      </c>
      <c r="AK19" s="6">
        <v>0</v>
      </c>
      <c r="AL19" s="6">
        <v>0</v>
      </c>
      <c r="AM19" s="6">
        <v>0</v>
      </c>
      <c r="AN19" s="6">
        <v>0</v>
      </c>
      <c r="AO19" s="6">
        <v>0</v>
      </c>
      <c r="AP19" s="6">
        <v>0</v>
      </c>
      <c r="AQ19" s="6">
        <v>0</v>
      </c>
      <c r="AR19" s="6">
        <v>0</v>
      </c>
      <c r="AS19" s="6">
        <v>0</v>
      </c>
      <c r="AT19" s="6">
        <v>0</v>
      </c>
      <c r="AU19" s="6">
        <v>0</v>
      </c>
      <c r="AV19" s="6">
        <v>0</v>
      </c>
      <c r="AW19" s="6">
        <v>0</v>
      </c>
      <c r="AX19" s="6">
        <v>0</v>
      </c>
      <c r="AY19" s="6">
        <v>0</v>
      </c>
      <c r="AZ19" s="6">
        <v>0</v>
      </c>
      <c r="BA19" s="6">
        <v>0</v>
      </c>
      <c r="BB19" s="6">
        <v>0</v>
      </c>
      <c r="BC19" s="6">
        <v>0</v>
      </c>
      <c r="BD19" s="6">
        <v>0</v>
      </c>
      <c r="BG19" s="6">
        <v>0</v>
      </c>
      <c r="BH19" s="6">
        <v>0</v>
      </c>
      <c r="BI19" s="6">
        <v>0</v>
      </c>
      <c r="BJ19" s="6">
        <v>0</v>
      </c>
      <c r="BK19" s="6">
        <v>0</v>
      </c>
      <c r="BL19" s="6">
        <v>0</v>
      </c>
      <c r="BM19" s="6">
        <v>0</v>
      </c>
      <c r="BN19" s="6">
        <v>0</v>
      </c>
      <c r="BO19" s="6">
        <v>0</v>
      </c>
      <c r="BP19" s="6">
        <v>0</v>
      </c>
      <c r="BQ19" s="6">
        <v>0</v>
      </c>
      <c r="BR19" s="6">
        <v>0</v>
      </c>
      <c r="BS19" s="6">
        <v>0</v>
      </c>
      <c r="BT19" s="6">
        <v>0</v>
      </c>
      <c r="BU19" s="6">
        <v>0</v>
      </c>
      <c r="BV19" s="6">
        <v>0</v>
      </c>
      <c r="BW19" s="6">
        <v>0</v>
      </c>
      <c r="BX19" s="6">
        <v>0</v>
      </c>
      <c r="BY19" s="6">
        <v>0</v>
      </c>
      <c r="BZ19" s="6">
        <v>0</v>
      </c>
      <c r="CA19" s="6">
        <v>0</v>
      </c>
      <c r="CB19" s="6">
        <v>0</v>
      </c>
      <c r="CC19" s="6">
        <v>0</v>
      </c>
      <c r="CD19" s="6">
        <v>0</v>
      </c>
      <c r="CE19" s="165">
        <v>0</v>
      </c>
      <c r="CF19" s="165">
        <v>0</v>
      </c>
      <c r="CG19" s="165">
        <v>0</v>
      </c>
      <c r="CH19" s="165">
        <v>0</v>
      </c>
      <c r="CI19" s="165">
        <v>0</v>
      </c>
      <c r="CJ19" s="165">
        <v>0</v>
      </c>
      <c r="CK19" s="165">
        <v>0</v>
      </c>
      <c r="CL19" s="165">
        <v>0</v>
      </c>
      <c r="CM19" s="165">
        <v>0</v>
      </c>
      <c r="CN19" s="165">
        <v>0</v>
      </c>
      <c r="CO19" s="165">
        <v>0</v>
      </c>
      <c r="CP19" s="165">
        <v>0</v>
      </c>
      <c r="CS19" t="s">
        <v>382</v>
      </c>
      <c r="CZ19" s="97">
        <v>1</v>
      </c>
      <c r="DC19" s="52">
        <f t="shared" si="5"/>
        <v>0</v>
      </c>
      <c r="DD19" s="53">
        <f t="shared" si="1"/>
        <v>1</v>
      </c>
      <c r="DE19" s="75" t="e">
        <f t="shared" si="2"/>
        <v>#N/A</v>
      </c>
      <c r="DF19" s="53" t="e">
        <f t="shared" si="3"/>
        <v>#N/A</v>
      </c>
      <c r="DG19" s="105" t="e">
        <f t="shared" si="4"/>
        <v>#N/A</v>
      </c>
    </row>
    <row r="20" spans="6:111" x14ac:dyDescent="0.2">
      <c r="F20" s="183">
        <v>36465</v>
      </c>
      <c r="G20" s="6">
        <v>3588</v>
      </c>
      <c r="H20" s="36">
        <v>0</v>
      </c>
      <c r="I20" s="6">
        <v>0</v>
      </c>
      <c r="J20" s="6">
        <v>0</v>
      </c>
      <c r="K20" s="566">
        <v>0</v>
      </c>
      <c r="M20" s="6">
        <v>0</v>
      </c>
      <c r="N20" s="36">
        <v>0</v>
      </c>
      <c r="O20" s="6">
        <v>0</v>
      </c>
      <c r="P20" s="6">
        <v>0</v>
      </c>
      <c r="Q20" s="184">
        <v>0</v>
      </c>
      <c r="S20" s="568" t="s">
        <v>991</v>
      </c>
      <c r="T20" s="6"/>
      <c r="U20" s="6">
        <v>0</v>
      </c>
      <c r="V20" s="6">
        <v>0</v>
      </c>
      <c r="W20" s="6">
        <v>0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0</v>
      </c>
      <c r="AE20" s="6">
        <v>0</v>
      </c>
      <c r="AF20" s="6">
        <v>0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  <c r="AO20" s="6">
        <v>0</v>
      </c>
      <c r="AP20" s="6">
        <v>0</v>
      </c>
      <c r="AQ20" s="6">
        <v>0</v>
      </c>
      <c r="AR20" s="6">
        <v>0</v>
      </c>
      <c r="AS20" s="6">
        <v>0</v>
      </c>
      <c r="AT20" s="6">
        <v>0</v>
      </c>
      <c r="AU20" s="6">
        <v>0</v>
      </c>
      <c r="AV20" s="6">
        <v>0</v>
      </c>
      <c r="AW20" s="6">
        <v>0</v>
      </c>
      <c r="AX20" s="6">
        <v>0</v>
      </c>
      <c r="AY20" s="6">
        <v>0</v>
      </c>
      <c r="AZ20" s="6">
        <v>0</v>
      </c>
      <c r="BA20" s="6">
        <v>0</v>
      </c>
      <c r="BB20" s="6">
        <v>0</v>
      </c>
      <c r="BC20" s="6">
        <v>0</v>
      </c>
      <c r="BD20" s="6">
        <v>0</v>
      </c>
      <c r="BG20" s="6">
        <v>0</v>
      </c>
      <c r="BH20" s="6">
        <v>0</v>
      </c>
      <c r="BI20" s="6">
        <v>0</v>
      </c>
      <c r="BJ20" s="6">
        <v>0</v>
      </c>
      <c r="BK20" s="6">
        <v>0</v>
      </c>
      <c r="BL20" s="6">
        <v>0</v>
      </c>
      <c r="BM20" s="6">
        <v>0</v>
      </c>
      <c r="BN20" s="6">
        <v>0</v>
      </c>
      <c r="BO20" s="6">
        <v>0</v>
      </c>
      <c r="BP20" s="6">
        <v>0</v>
      </c>
      <c r="BQ20" s="6">
        <v>0</v>
      </c>
      <c r="BR20" s="6">
        <v>0</v>
      </c>
      <c r="BS20" s="6">
        <v>0</v>
      </c>
      <c r="BT20" s="6">
        <v>0</v>
      </c>
      <c r="BU20" s="6">
        <v>0</v>
      </c>
      <c r="BV20" s="6">
        <v>0</v>
      </c>
      <c r="BW20" s="6">
        <v>0</v>
      </c>
      <c r="BX20" s="6">
        <v>0</v>
      </c>
      <c r="BY20" s="6">
        <v>0</v>
      </c>
      <c r="BZ20" s="6">
        <v>0</v>
      </c>
      <c r="CA20" s="6">
        <v>0</v>
      </c>
      <c r="CB20" s="6">
        <v>0</v>
      </c>
      <c r="CC20" s="6">
        <v>0</v>
      </c>
      <c r="CD20" s="165">
        <v>0</v>
      </c>
      <c r="CE20" s="165">
        <v>0</v>
      </c>
      <c r="CF20" s="165">
        <v>0</v>
      </c>
      <c r="CG20" s="165">
        <v>0</v>
      </c>
      <c r="CH20" s="165">
        <v>0</v>
      </c>
      <c r="CI20" s="165">
        <v>0</v>
      </c>
      <c r="CJ20" s="165">
        <v>0</v>
      </c>
      <c r="CK20" s="165">
        <v>0</v>
      </c>
      <c r="CL20" s="165">
        <v>0</v>
      </c>
      <c r="CM20" s="165">
        <v>0</v>
      </c>
      <c r="CN20" s="165">
        <v>0</v>
      </c>
      <c r="CO20" s="165">
        <v>0</v>
      </c>
      <c r="CP20" s="165">
        <v>0</v>
      </c>
      <c r="CS20" s="1" t="s">
        <v>445</v>
      </c>
      <c r="CZ20" s="97">
        <v>1</v>
      </c>
      <c r="DC20" s="52">
        <f t="shared" si="5"/>
        <v>0</v>
      </c>
      <c r="DD20" s="53">
        <f t="shared" si="1"/>
        <v>1</v>
      </c>
      <c r="DE20" s="75" t="e">
        <f t="shared" si="2"/>
        <v>#N/A</v>
      </c>
      <c r="DF20" s="53" t="e">
        <f t="shared" si="3"/>
        <v>#N/A</v>
      </c>
      <c r="DG20" s="105" t="e">
        <f t="shared" si="4"/>
        <v>#N/A</v>
      </c>
    </row>
    <row r="21" spans="6:111" ht="12.75" x14ac:dyDescent="0.2">
      <c r="F21" s="183">
        <v>36434</v>
      </c>
      <c r="G21" s="6">
        <v>3576</v>
      </c>
      <c r="H21" s="36">
        <v>0</v>
      </c>
      <c r="I21" s="6">
        <v>0</v>
      </c>
      <c r="J21" s="6">
        <v>0</v>
      </c>
      <c r="K21" s="566">
        <v>0</v>
      </c>
      <c r="M21" s="6">
        <v>0</v>
      </c>
      <c r="N21" s="36">
        <v>0</v>
      </c>
      <c r="O21" s="6">
        <v>0</v>
      </c>
      <c r="P21" s="6">
        <v>0</v>
      </c>
      <c r="Q21" s="184">
        <v>0</v>
      </c>
      <c r="S21" s="568" t="s">
        <v>992</v>
      </c>
      <c r="T21" s="6"/>
      <c r="U21" s="6">
        <v>0</v>
      </c>
      <c r="V21" s="6">
        <v>0</v>
      </c>
      <c r="W21" s="6">
        <v>0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6">
        <v>0</v>
      </c>
      <c r="AD21" s="6">
        <v>0</v>
      </c>
      <c r="AE21" s="6">
        <v>0</v>
      </c>
      <c r="AF21" s="6">
        <v>0</v>
      </c>
      <c r="AG21" s="6">
        <v>0</v>
      </c>
      <c r="AH21" s="6">
        <v>0</v>
      </c>
      <c r="AI21" s="6">
        <v>0</v>
      </c>
      <c r="AJ21" s="6">
        <v>0</v>
      </c>
      <c r="AK21" s="6">
        <v>0</v>
      </c>
      <c r="AL21" s="6">
        <v>0</v>
      </c>
      <c r="AM21" s="6">
        <v>0</v>
      </c>
      <c r="AN21" s="6">
        <v>0</v>
      </c>
      <c r="AO21" s="6">
        <v>0</v>
      </c>
      <c r="AP21" s="6">
        <v>0</v>
      </c>
      <c r="AQ21" s="6">
        <v>0</v>
      </c>
      <c r="AR21" s="6">
        <v>0</v>
      </c>
      <c r="AS21" s="6">
        <v>0</v>
      </c>
      <c r="AT21" s="6">
        <v>0</v>
      </c>
      <c r="AU21" s="6">
        <v>0</v>
      </c>
      <c r="AV21" s="6">
        <v>0</v>
      </c>
      <c r="AW21" s="6">
        <v>0</v>
      </c>
      <c r="AX21" s="6">
        <v>0</v>
      </c>
      <c r="AY21" s="6">
        <v>0</v>
      </c>
      <c r="AZ21" s="6">
        <v>0</v>
      </c>
      <c r="BA21" s="6">
        <v>0</v>
      </c>
      <c r="BB21" s="6">
        <v>0</v>
      </c>
      <c r="BC21" s="6">
        <v>0</v>
      </c>
      <c r="BD21" s="6">
        <v>0</v>
      </c>
      <c r="BG21" s="6">
        <v>0</v>
      </c>
      <c r="BH21" s="6">
        <v>0</v>
      </c>
      <c r="BI21" s="6">
        <v>0</v>
      </c>
      <c r="BJ21" s="6">
        <v>0</v>
      </c>
      <c r="BK21" s="6">
        <v>0</v>
      </c>
      <c r="BL21" s="6">
        <v>0</v>
      </c>
      <c r="BM21" s="6">
        <v>0</v>
      </c>
      <c r="BN21" s="6">
        <v>0</v>
      </c>
      <c r="BO21" s="6">
        <v>0</v>
      </c>
      <c r="BP21" s="6">
        <v>0</v>
      </c>
      <c r="BQ21" s="6">
        <v>0</v>
      </c>
      <c r="BR21" s="6">
        <v>0</v>
      </c>
      <c r="BS21" s="6">
        <v>0</v>
      </c>
      <c r="BT21" s="6">
        <v>0</v>
      </c>
      <c r="BU21" s="6">
        <v>0</v>
      </c>
      <c r="BV21" s="6">
        <v>0</v>
      </c>
      <c r="BW21" s="6">
        <v>0</v>
      </c>
      <c r="BX21" s="6">
        <v>0</v>
      </c>
      <c r="BY21" s="6">
        <v>0</v>
      </c>
      <c r="BZ21" s="6">
        <v>0</v>
      </c>
      <c r="CA21" s="6">
        <v>0</v>
      </c>
      <c r="CB21" s="6">
        <v>0</v>
      </c>
      <c r="CC21" s="165">
        <v>0</v>
      </c>
      <c r="CD21" s="165">
        <v>0</v>
      </c>
      <c r="CE21" s="165">
        <v>0</v>
      </c>
      <c r="CF21" s="165">
        <v>0</v>
      </c>
      <c r="CG21" s="165">
        <v>0</v>
      </c>
      <c r="CH21" s="165">
        <v>0</v>
      </c>
      <c r="CI21" s="165">
        <v>0</v>
      </c>
      <c r="CJ21" s="165">
        <v>0</v>
      </c>
      <c r="CK21" s="165">
        <v>0</v>
      </c>
      <c r="CL21" s="165">
        <v>0</v>
      </c>
      <c r="CM21" s="165">
        <v>0</v>
      </c>
      <c r="CN21" s="165">
        <v>0</v>
      </c>
      <c r="CO21" s="165">
        <v>0</v>
      </c>
      <c r="CP21" s="165">
        <v>0</v>
      </c>
      <c r="CS21" s="166" t="s">
        <v>383</v>
      </c>
      <c r="DC21" s="52"/>
      <c r="DD21" s="53"/>
      <c r="DE21" s="75"/>
      <c r="DF21" s="53"/>
      <c r="DG21" s="105"/>
    </row>
    <row r="22" spans="6:111" ht="12.75" x14ac:dyDescent="0.2">
      <c r="F22" s="183">
        <v>36404</v>
      </c>
      <c r="G22" s="6">
        <v>3877</v>
      </c>
      <c r="H22" s="36">
        <v>0</v>
      </c>
      <c r="I22" s="6">
        <v>0</v>
      </c>
      <c r="J22" s="6">
        <v>0</v>
      </c>
      <c r="K22" s="566">
        <v>0</v>
      </c>
      <c r="M22" s="6">
        <v>0</v>
      </c>
      <c r="N22" s="36">
        <v>0</v>
      </c>
      <c r="O22" s="6">
        <v>0</v>
      </c>
      <c r="P22" s="6">
        <v>0</v>
      </c>
      <c r="Q22" s="184">
        <v>0</v>
      </c>
      <c r="S22" s="568" t="s">
        <v>993</v>
      </c>
      <c r="T22" s="6"/>
      <c r="U22" s="6">
        <v>0</v>
      </c>
      <c r="V22" s="6">
        <v>0</v>
      </c>
      <c r="W22" s="6">
        <v>0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  <c r="AC22" s="6">
        <v>0</v>
      </c>
      <c r="AD22" s="6">
        <v>0</v>
      </c>
      <c r="AE22" s="6">
        <v>0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6">
        <v>0</v>
      </c>
      <c r="AP22" s="6">
        <v>0</v>
      </c>
      <c r="AQ22" s="6">
        <v>0</v>
      </c>
      <c r="AR22" s="6">
        <v>0</v>
      </c>
      <c r="AS22" s="6">
        <v>0</v>
      </c>
      <c r="AT22" s="6">
        <v>0</v>
      </c>
      <c r="AU22" s="6">
        <v>0</v>
      </c>
      <c r="AV22" s="6">
        <v>0</v>
      </c>
      <c r="AW22" s="6">
        <v>0</v>
      </c>
      <c r="AX22" s="6">
        <v>0</v>
      </c>
      <c r="AY22" s="6">
        <v>0</v>
      </c>
      <c r="AZ22" s="6">
        <v>0</v>
      </c>
      <c r="BA22" s="6">
        <v>0</v>
      </c>
      <c r="BB22" s="6">
        <v>0</v>
      </c>
      <c r="BC22" s="6">
        <v>0</v>
      </c>
      <c r="BD22" s="6">
        <v>0</v>
      </c>
      <c r="BG22" s="6">
        <v>0</v>
      </c>
      <c r="BH22" s="6">
        <v>0</v>
      </c>
      <c r="BI22" s="6">
        <v>0</v>
      </c>
      <c r="BJ22" s="6">
        <v>0</v>
      </c>
      <c r="BK22" s="6">
        <v>0</v>
      </c>
      <c r="BL22" s="6">
        <v>0</v>
      </c>
      <c r="BM22" s="6">
        <v>0</v>
      </c>
      <c r="BN22" s="6">
        <v>0</v>
      </c>
      <c r="BO22" s="6">
        <v>0</v>
      </c>
      <c r="BP22" s="6">
        <v>0</v>
      </c>
      <c r="BQ22" s="6">
        <v>0</v>
      </c>
      <c r="BR22" s="6">
        <v>0</v>
      </c>
      <c r="BS22" s="6">
        <v>0</v>
      </c>
      <c r="BT22" s="6">
        <v>0</v>
      </c>
      <c r="BU22" s="6">
        <v>0</v>
      </c>
      <c r="BV22" s="6">
        <v>0</v>
      </c>
      <c r="BW22" s="6">
        <v>0</v>
      </c>
      <c r="BX22" s="6">
        <v>0</v>
      </c>
      <c r="BY22" s="6">
        <v>0</v>
      </c>
      <c r="BZ22" s="6">
        <v>0</v>
      </c>
      <c r="CA22" s="6">
        <v>0</v>
      </c>
      <c r="CB22" s="165">
        <v>0</v>
      </c>
      <c r="CC22" s="165">
        <v>0</v>
      </c>
      <c r="CD22" s="165">
        <v>0</v>
      </c>
      <c r="CE22" s="165">
        <v>0</v>
      </c>
      <c r="CF22" s="165">
        <v>0</v>
      </c>
      <c r="CG22" s="165">
        <v>0</v>
      </c>
      <c r="CH22" s="165">
        <v>0</v>
      </c>
      <c r="CI22" s="165">
        <v>0</v>
      </c>
      <c r="CJ22" s="165">
        <v>0</v>
      </c>
      <c r="CK22" s="165">
        <v>0</v>
      </c>
      <c r="CL22" s="165">
        <v>0</v>
      </c>
      <c r="CM22" s="165">
        <v>0</v>
      </c>
      <c r="CN22" s="165">
        <v>0</v>
      </c>
      <c r="CO22" s="165">
        <v>0</v>
      </c>
      <c r="CP22" s="165">
        <v>0</v>
      </c>
      <c r="CS22" t="s">
        <v>14</v>
      </c>
      <c r="CU22" t="s">
        <v>41</v>
      </c>
      <c r="CV22" s="135">
        <v>1</v>
      </c>
      <c r="DC22" s="42"/>
      <c r="DD22" s="43"/>
      <c r="DE22" s="76"/>
      <c r="DF22" s="43"/>
      <c r="DG22" s="57"/>
    </row>
    <row r="23" spans="6:111" x14ac:dyDescent="0.2">
      <c r="F23" s="183">
        <v>36373</v>
      </c>
      <c r="G23" s="6">
        <v>3370</v>
      </c>
      <c r="H23" s="36">
        <v>0</v>
      </c>
      <c r="I23" s="6">
        <v>0</v>
      </c>
      <c r="J23" s="6">
        <v>0</v>
      </c>
      <c r="K23" s="566">
        <v>0</v>
      </c>
      <c r="M23" s="6">
        <v>0</v>
      </c>
      <c r="N23" s="36">
        <v>0</v>
      </c>
      <c r="O23" s="6">
        <v>0</v>
      </c>
      <c r="P23" s="6">
        <v>0</v>
      </c>
      <c r="Q23" s="184">
        <v>0</v>
      </c>
      <c r="S23" s="568" t="s">
        <v>994</v>
      </c>
      <c r="T23" s="6"/>
      <c r="U23" s="6">
        <v>0</v>
      </c>
      <c r="V23" s="6">
        <v>0</v>
      </c>
      <c r="W23" s="6">
        <v>0</v>
      </c>
      <c r="X23" s="6">
        <v>0</v>
      </c>
      <c r="Y23" s="6">
        <v>0</v>
      </c>
      <c r="Z23" s="6">
        <v>0</v>
      </c>
      <c r="AA23" s="6">
        <v>0</v>
      </c>
      <c r="AB23" s="6">
        <v>0</v>
      </c>
      <c r="AC23" s="6">
        <v>0</v>
      </c>
      <c r="AD23" s="6">
        <v>0</v>
      </c>
      <c r="AE23" s="6">
        <v>0</v>
      </c>
      <c r="AF23" s="6">
        <v>0</v>
      </c>
      <c r="AG23" s="6">
        <v>0</v>
      </c>
      <c r="AH23" s="6">
        <v>0</v>
      </c>
      <c r="AI23" s="6">
        <v>0</v>
      </c>
      <c r="AJ23" s="6">
        <v>0</v>
      </c>
      <c r="AK23" s="6">
        <v>0</v>
      </c>
      <c r="AL23" s="6">
        <v>0</v>
      </c>
      <c r="AM23" s="6">
        <v>0</v>
      </c>
      <c r="AN23" s="6">
        <v>0</v>
      </c>
      <c r="AO23" s="6">
        <v>0</v>
      </c>
      <c r="AP23" s="6">
        <v>0</v>
      </c>
      <c r="AQ23" s="6">
        <v>0</v>
      </c>
      <c r="AR23" s="6">
        <v>0</v>
      </c>
      <c r="AS23" s="6">
        <v>0</v>
      </c>
      <c r="AT23" s="6">
        <v>0</v>
      </c>
      <c r="AU23" s="6">
        <v>0</v>
      </c>
      <c r="AV23" s="6">
        <v>0</v>
      </c>
      <c r="AW23" s="6">
        <v>0</v>
      </c>
      <c r="AX23" s="6">
        <v>0</v>
      </c>
      <c r="AY23" s="6">
        <v>0</v>
      </c>
      <c r="AZ23" s="6">
        <v>0</v>
      </c>
      <c r="BA23" s="6">
        <v>0</v>
      </c>
      <c r="BB23" s="6">
        <v>0</v>
      </c>
      <c r="BC23" s="6">
        <v>0</v>
      </c>
      <c r="BD23" s="6">
        <v>0</v>
      </c>
      <c r="BG23" s="6">
        <v>0</v>
      </c>
      <c r="BH23" s="6">
        <v>0</v>
      </c>
      <c r="BI23" s="6">
        <v>0</v>
      </c>
      <c r="BJ23" s="6">
        <v>0</v>
      </c>
      <c r="BK23" s="6">
        <v>0</v>
      </c>
      <c r="BL23" s="6">
        <v>0</v>
      </c>
      <c r="BM23" s="6">
        <v>0</v>
      </c>
      <c r="BN23" s="6">
        <v>0</v>
      </c>
      <c r="BO23" s="6">
        <v>0</v>
      </c>
      <c r="BP23" s="6">
        <v>0</v>
      </c>
      <c r="BQ23" s="6">
        <v>0</v>
      </c>
      <c r="BR23" s="6">
        <v>0</v>
      </c>
      <c r="BS23" s="6">
        <v>0</v>
      </c>
      <c r="BT23" s="6">
        <v>0</v>
      </c>
      <c r="BU23" s="6">
        <v>0</v>
      </c>
      <c r="BV23" s="6">
        <v>0</v>
      </c>
      <c r="BW23" s="6">
        <v>0</v>
      </c>
      <c r="BX23" s="6">
        <v>0</v>
      </c>
      <c r="BY23" s="6">
        <v>0</v>
      </c>
      <c r="BZ23" s="6">
        <v>0</v>
      </c>
      <c r="CA23" s="165">
        <v>0</v>
      </c>
      <c r="CB23" s="165">
        <v>0</v>
      </c>
      <c r="CC23" s="165">
        <v>0</v>
      </c>
      <c r="CD23" s="165">
        <v>0</v>
      </c>
      <c r="CE23" s="165">
        <v>0</v>
      </c>
      <c r="CF23" s="165">
        <v>0</v>
      </c>
      <c r="CG23" s="165">
        <v>0</v>
      </c>
      <c r="CH23" s="165">
        <v>0</v>
      </c>
      <c r="CI23" s="165">
        <v>0</v>
      </c>
      <c r="CJ23" s="165">
        <v>0</v>
      </c>
      <c r="CK23" s="165">
        <v>0</v>
      </c>
      <c r="CL23" s="165">
        <v>0</v>
      </c>
      <c r="CM23" s="165">
        <v>0</v>
      </c>
      <c r="CN23" s="165">
        <v>0</v>
      </c>
      <c r="CO23" s="165">
        <v>0</v>
      </c>
      <c r="CP23" s="165">
        <v>0</v>
      </c>
      <c r="CU23" t="s">
        <v>42</v>
      </c>
      <c r="CV23" s="136">
        <v>1990</v>
      </c>
      <c r="DC23" t="s">
        <v>441</v>
      </c>
    </row>
    <row r="24" spans="6:111" x14ac:dyDescent="0.2">
      <c r="F24" s="183">
        <v>36342</v>
      </c>
      <c r="G24" s="6">
        <v>3485</v>
      </c>
      <c r="H24" s="36">
        <v>0</v>
      </c>
      <c r="I24" s="6">
        <v>0</v>
      </c>
      <c r="J24" s="6">
        <v>0</v>
      </c>
      <c r="K24" s="566">
        <v>0</v>
      </c>
      <c r="M24" s="6">
        <v>0</v>
      </c>
      <c r="N24" s="36">
        <v>0</v>
      </c>
      <c r="O24" s="6">
        <v>0</v>
      </c>
      <c r="P24" s="6">
        <v>0</v>
      </c>
      <c r="Q24" s="184">
        <v>0</v>
      </c>
      <c r="S24" s="568" t="s">
        <v>995</v>
      </c>
      <c r="T24" s="6"/>
      <c r="U24" s="6">
        <v>0</v>
      </c>
      <c r="V24" s="6">
        <v>0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  <c r="AD24" s="6">
        <v>0</v>
      </c>
      <c r="AE24" s="6">
        <v>0</v>
      </c>
      <c r="AF24" s="6">
        <v>0</v>
      </c>
      <c r="AG24" s="6">
        <v>0</v>
      </c>
      <c r="AH24" s="6">
        <v>0</v>
      </c>
      <c r="AI24" s="6">
        <v>0</v>
      </c>
      <c r="AJ24" s="6">
        <v>0</v>
      </c>
      <c r="AK24" s="6">
        <v>0</v>
      </c>
      <c r="AL24" s="6">
        <v>0</v>
      </c>
      <c r="AM24" s="6">
        <v>0</v>
      </c>
      <c r="AN24" s="6">
        <v>0</v>
      </c>
      <c r="AO24" s="6">
        <v>0</v>
      </c>
      <c r="AP24" s="6">
        <v>0</v>
      </c>
      <c r="AQ24" s="6">
        <v>0</v>
      </c>
      <c r="AR24" s="6">
        <v>0</v>
      </c>
      <c r="AS24" s="6">
        <v>0</v>
      </c>
      <c r="AT24" s="6">
        <v>0</v>
      </c>
      <c r="AU24" s="6">
        <v>0</v>
      </c>
      <c r="AV24" s="6">
        <v>0</v>
      </c>
      <c r="AW24" s="6">
        <v>0</v>
      </c>
      <c r="AX24" s="6">
        <v>0</v>
      </c>
      <c r="AY24" s="6">
        <v>0</v>
      </c>
      <c r="AZ24" s="6">
        <v>0</v>
      </c>
      <c r="BA24" s="6">
        <v>0</v>
      </c>
      <c r="BB24" s="6">
        <v>0</v>
      </c>
      <c r="BC24" s="6">
        <v>0</v>
      </c>
      <c r="BD24" s="6">
        <v>0</v>
      </c>
      <c r="BG24" s="6">
        <v>0</v>
      </c>
      <c r="BH24" s="6">
        <v>0</v>
      </c>
      <c r="BI24" s="6">
        <v>0</v>
      </c>
      <c r="BJ24" s="6">
        <v>0</v>
      </c>
      <c r="BK24" s="6">
        <v>0</v>
      </c>
      <c r="BL24" s="6">
        <v>0</v>
      </c>
      <c r="BM24" s="6">
        <v>0</v>
      </c>
      <c r="BN24" s="6">
        <v>0</v>
      </c>
      <c r="BO24" s="6">
        <v>0</v>
      </c>
      <c r="BP24" s="6">
        <v>0</v>
      </c>
      <c r="BQ24" s="6">
        <v>0</v>
      </c>
      <c r="BR24" s="6">
        <v>0</v>
      </c>
      <c r="BS24" s="6">
        <v>0</v>
      </c>
      <c r="BT24" s="6">
        <v>0</v>
      </c>
      <c r="BU24" s="6">
        <v>0</v>
      </c>
      <c r="BV24" s="6">
        <v>0</v>
      </c>
      <c r="BW24" s="6">
        <v>0</v>
      </c>
      <c r="BX24" s="6">
        <v>0</v>
      </c>
      <c r="BY24" s="6">
        <v>0</v>
      </c>
      <c r="BZ24" s="165">
        <v>0</v>
      </c>
      <c r="CA24" s="165">
        <v>0</v>
      </c>
      <c r="CB24" s="165">
        <v>0</v>
      </c>
      <c r="CC24" s="165">
        <v>0</v>
      </c>
      <c r="CD24" s="165">
        <v>0</v>
      </c>
      <c r="CE24" s="165">
        <v>0</v>
      </c>
      <c r="CF24" s="165">
        <v>0</v>
      </c>
      <c r="CG24" s="165">
        <v>0</v>
      </c>
      <c r="CH24" s="165">
        <v>0</v>
      </c>
      <c r="CI24" s="165">
        <v>0</v>
      </c>
      <c r="CJ24" s="165">
        <v>0</v>
      </c>
      <c r="CK24" s="165">
        <v>0</v>
      </c>
      <c r="CL24" s="165">
        <v>0</v>
      </c>
      <c r="CM24" s="165">
        <v>0</v>
      </c>
      <c r="CN24" s="165">
        <v>0</v>
      </c>
      <c r="CO24" s="165">
        <v>0</v>
      </c>
      <c r="CP24" s="165">
        <v>0</v>
      </c>
      <c r="CY24" t="s">
        <v>384</v>
      </c>
    </row>
    <row r="25" spans="6:111" x14ac:dyDescent="0.2">
      <c r="F25" s="183">
        <v>36312</v>
      </c>
      <c r="G25" s="6">
        <v>3466</v>
      </c>
      <c r="H25" s="36">
        <v>0</v>
      </c>
      <c r="I25" s="6">
        <v>0</v>
      </c>
      <c r="J25" s="6">
        <v>0</v>
      </c>
      <c r="K25" s="566">
        <v>0</v>
      </c>
      <c r="M25" s="6">
        <v>0</v>
      </c>
      <c r="N25" s="36">
        <v>0</v>
      </c>
      <c r="O25" s="6">
        <v>0</v>
      </c>
      <c r="P25" s="6">
        <v>0</v>
      </c>
      <c r="Q25" s="184">
        <v>0</v>
      </c>
      <c r="S25" s="568" t="s">
        <v>996</v>
      </c>
      <c r="T25" s="6"/>
      <c r="U25" s="6">
        <v>0</v>
      </c>
      <c r="V25" s="6">
        <v>0</v>
      </c>
      <c r="W25" s="6">
        <v>0</v>
      </c>
      <c r="X25" s="6">
        <v>0</v>
      </c>
      <c r="Y25" s="6">
        <v>0</v>
      </c>
      <c r="Z25" s="6">
        <v>0</v>
      </c>
      <c r="AA25" s="6">
        <v>0</v>
      </c>
      <c r="AB25" s="6">
        <v>0</v>
      </c>
      <c r="AC25" s="6">
        <v>0</v>
      </c>
      <c r="AD25" s="6">
        <v>0</v>
      </c>
      <c r="AE25" s="6">
        <v>0</v>
      </c>
      <c r="AF25" s="6">
        <v>0</v>
      </c>
      <c r="AG25" s="6">
        <v>0</v>
      </c>
      <c r="AH25" s="6">
        <v>0</v>
      </c>
      <c r="AI25" s="6">
        <v>0</v>
      </c>
      <c r="AJ25" s="6">
        <v>0</v>
      </c>
      <c r="AK25" s="6">
        <v>0</v>
      </c>
      <c r="AL25" s="6">
        <v>0</v>
      </c>
      <c r="AM25" s="6">
        <v>0</v>
      </c>
      <c r="AN25" s="6">
        <v>0</v>
      </c>
      <c r="AO25" s="6">
        <v>0</v>
      </c>
      <c r="AP25" s="6">
        <v>0</v>
      </c>
      <c r="AQ25" s="6">
        <v>0</v>
      </c>
      <c r="AR25" s="6">
        <v>0</v>
      </c>
      <c r="AS25" s="6">
        <v>0</v>
      </c>
      <c r="AT25" s="6">
        <v>0</v>
      </c>
      <c r="AU25" s="6">
        <v>0</v>
      </c>
      <c r="AV25" s="6">
        <v>0</v>
      </c>
      <c r="AW25" s="6">
        <v>0</v>
      </c>
      <c r="AX25" s="6">
        <v>0</v>
      </c>
      <c r="AY25" s="6">
        <v>0</v>
      </c>
      <c r="AZ25" s="6">
        <v>0</v>
      </c>
      <c r="BA25" s="6">
        <v>0</v>
      </c>
      <c r="BB25" s="6">
        <v>0</v>
      </c>
      <c r="BC25" s="6">
        <v>0</v>
      </c>
      <c r="BD25" s="6">
        <v>0</v>
      </c>
      <c r="BG25" s="6">
        <v>0</v>
      </c>
      <c r="BH25" s="6">
        <v>0</v>
      </c>
      <c r="BI25" s="6">
        <v>0</v>
      </c>
      <c r="BJ25" s="6">
        <v>0</v>
      </c>
      <c r="BK25" s="6">
        <v>0</v>
      </c>
      <c r="BL25" s="6">
        <v>0</v>
      </c>
      <c r="BM25" s="6">
        <v>0</v>
      </c>
      <c r="BN25" s="6">
        <v>0</v>
      </c>
      <c r="BO25" s="6">
        <v>0</v>
      </c>
      <c r="BP25" s="6">
        <v>0</v>
      </c>
      <c r="BQ25" s="6">
        <v>0</v>
      </c>
      <c r="BR25" s="6">
        <v>0</v>
      </c>
      <c r="BS25" s="6">
        <v>0</v>
      </c>
      <c r="BT25" s="6">
        <v>0</v>
      </c>
      <c r="BU25" s="6">
        <v>0</v>
      </c>
      <c r="BV25" s="6">
        <v>0</v>
      </c>
      <c r="BW25" s="6">
        <v>0</v>
      </c>
      <c r="BX25" s="6">
        <v>0</v>
      </c>
      <c r="BY25" s="165">
        <v>0</v>
      </c>
      <c r="BZ25" s="165">
        <v>0</v>
      </c>
      <c r="CA25" s="165">
        <v>0</v>
      </c>
      <c r="CB25" s="165">
        <v>0</v>
      </c>
      <c r="CC25" s="165">
        <v>0</v>
      </c>
      <c r="CD25" s="165">
        <v>0</v>
      </c>
      <c r="CE25" s="165">
        <v>0</v>
      </c>
      <c r="CF25" s="165">
        <v>0</v>
      </c>
      <c r="CG25" s="165">
        <v>0</v>
      </c>
      <c r="CH25" s="165">
        <v>0</v>
      </c>
      <c r="CI25" s="165">
        <v>0</v>
      </c>
      <c r="CJ25" s="165">
        <v>0</v>
      </c>
      <c r="CK25" s="165">
        <v>0</v>
      </c>
      <c r="CL25" s="165">
        <v>0</v>
      </c>
      <c r="CM25" s="165">
        <v>0</v>
      </c>
      <c r="CN25" s="165">
        <v>0</v>
      </c>
      <c r="CO25" s="165">
        <v>0</v>
      </c>
      <c r="CP25" s="165">
        <v>0</v>
      </c>
      <c r="CY25" s="1" t="s">
        <v>445</v>
      </c>
      <c r="DC25" t="s">
        <v>105</v>
      </c>
      <c r="DE25" s="48">
        <f>DA24</f>
        <v>0</v>
      </c>
    </row>
    <row r="26" spans="6:111" x14ac:dyDescent="0.2">
      <c r="F26" s="183">
        <v>36281</v>
      </c>
      <c r="G26" s="6">
        <v>3391</v>
      </c>
      <c r="H26" s="36">
        <v>0</v>
      </c>
      <c r="I26" s="6">
        <v>0</v>
      </c>
      <c r="J26" s="6">
        <v>0</v>
      </c>
      <c r="K26" s="566">
        <v>0</v>
      </c>
      <c r="M26" s="6">
        <v>0</v>
      </c>
      <c r="N26" s="36">
        <v>0</v>
      </c>
      <c r="O26" s="6">
        <v>0</v>
      </c>
      <c r="P26" s="6">
        <v>0</v>
      </c>
      <c r="Q26" s="184">
        <v>0</v>
      </c>
      <c r="S26" s="568" t="s">
        <v>997</v>
      </c>
      <c r="T26" s="6"/>
      <c r="U26" s="6">
        <v>0</v>
      </c>
      <c r="V26" s="6">
        <v>0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6">
        <v>0</v>
      </c>
      <c r="AD26" s="6">
        <v>0</v>
      </c>
      <c r="AE26" s="6">
        <v>0</v>
      </c>
      <c r="AF26" s="6">
        <v>0</v>
      </c>
      <c r="AG26" s="6">
        <v>0</v>
      </c>
      <c r="AH26" s="6">
        <v>0</v>
      </c>
      <c r="AI26" s="6">
        <v>0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6">
        <v>0</v>
      </c>
      <c r="AU26" s="6">
        <v>0</v>
      </c>
      <c r="AV26" s="6">
        <v>0</v>
      </c>
      <c r="AW26" s="6">
        <v>0</v>
      </c>
      <c r="AX26" s="6">
        <v>0</v>
      </c>
      <c r="AY26" s="6">
        <v>0</v>
      </c>
      <c r="AZ26" s="6">
        <v>0</v>
      </c>
      <c r="BA26" s="6">
        <v>0</v>
      </c>
      <c r="BB26" s="6">
        <v>0</v>
      </c>
      <c r="BC26" s="6">
        <v>0</v>
      </c>
      <c r="BD26" s="6">
        <v>0</v>
      </c>
      <c r="BG26" s="6">
        <v>0</v>
      </c>
      <c r="BH26" s="6">
        <v>0</v>
      </c>
      <c r="BI26" s="6">
        <v>0</v>
      </c>
      <c r="BJ26" s="6">
        <v>0</v>
      </c>
      <c r="BK26" s="6">
        <v>0</v>
      </c>
      <c r="BL26" s="6">
        <v>0</v>
      </c>
      <c r="BM26" s="6">
        <v>0</v>
      </c>
      <c r="BN26" s="6">
        <v>0</v>
      </c>
      <c r="BO26" s="6">
        <v>0</v>
      </c>
      <c r="BP26" s="6">
        <v>0</v>
      </c>
      <c r="BQ26" s="6">
        <v>0</v>
      </c>
      <c r="BR26" s="6">
        <v>0</v>
      </c>
      <c r="BS26" s="6">
        <v>0</v>
      </c>
      <c r="BT26" s="6">
        <v>0</v>
      </c>
      <c r="BU26" s="6">
        <v>0</v>
      </c>
      <c r="BV26" s="6">
        <v>0</v>
      </c>
      <c r="BW26" s="6">
        <v>0</v>
      </c>
      <c r="BX26" s="165">
        <v>0</v>
      </c>
      <c r="BY26" s="165">
        <v>0</v>
      </c>
      <c r="BZ26" s="165">
        <v>0</v>
      </c>
      <c r="CA26" s="165">
        <v>0</v>
      </c>
      <c r="CB26" s="165">
        <v>0</v>
      </c>
      <c r="CC26" s="165">
        <v>0</v>
      </c>
      <c r="CD26" s="165">
        <v>0</v>
      </c>
      <c r="CE26" s="165">
        <v>0</v>
      </c>
      <c r="CF26" s="165">
        <v>0</v>
      </c>
      <c r="CG26" s="165">
        <v>0</v>
      </c>
      <c r="CH26" s="165">
        <v>0</v>
      </c>
      <c r="CI26" s="165">
        <v>0</v>
      </c>
      <c r="CJ26" s="165">
        <v>0</v>
      </c>
      <c r="CK26" s="165">
        <v>0</v>
      </c>
      <c r="CL26" s="165">
        <v>0</v>
      </c>
      <c r="CM26" s="165">
        <v>0</v>
      </c>
      <c r="CN26" s="165">
        <v>0</v>
      </c>
      <c r="CO26" s="165">
        <v>0</v>
      </c>
      <c r="CP26" s="165">
        <v>0</v>
      </c>
      <c r="CS26" s="117" t="s">
        <v>337</v>
      </c>
      <c r="CT26" s="10"/>
      <c r="CU26" s="10"/>
      <c r="CV26" s="10"/>
      <c r="CW26" s="10"/>
      <c r="CX26" s="10"/>
      <c r="CY26" s="46">
        <v>6</v>
      </c>
      <c r="DC26" t="s">
        <v>106</v>
      </c>
    </row>
    <row r="27" spans="6:111" x14ac:dyDescent="0.2">
      <c r="F27" s="183">
        <v>36251</v>
      </c>
      <c r="G27" s="6">
        <v>3300</v>
      </c>
      <c r="H27" s="36">
        <v>0</v>
      </c>
      <c r="I27" s="6">
        <v>0</v>
      </c>
      <c r="J27" s="6">
        <v>0</v>
      </c>
      <c r="K27" s="566">
        <v>0</v>
      </c>
      <c r="M27" s="6">
        <v>0</v>
      </c>
      <c r="N27" s="36">
        <v>0</v>
      </c>
      <c r="O27" s="6">
        <v>0</v>
      </c>
      <c r="P27" s="6">
        <v>0</v>
      </c>
      <c r="Q27" s="184">
        <v>0</v>
      </c>
      <c r="S27" s="568" t="s">
        <v>998</v>
      </c>
      <c r="T27" s="6"/>
      <c r="U27" s="6">
        <v>0</v>
      </c>
      <c r="V27" s="6">
        <v>0</v>
      </c>
      <c r="W27" s="6">
        <v>0</v>
      </c>
      <c r="X27" s="6">
        <v>0</v>
      </c>
      <c r="Y27" s="6">
        <v>0</v>
      </c>
      <c r="Z27" s="6">
        <v>0</v>
      </c>
      <c r="AA27" s="6">
        <v>0</v>
      </c>
      <c r="AB27" s="6">
        <v>0</v>
      </c>
      <c r="AC27" s="6">
        <v>0</v>
      </c>
      <c r="AD27" s="6">
        <v>0</v>
      </c>
      <c r="AE27" s="6">
        <v>0</v>
      </c>
      <c r="AF27" s="6">
        <v>0</v>
      </c>
      <c r="AG27" s="6">
        <v>0</v>
      </c>
      <c r="AH27" s="6">
        <v>0</v>
      </c>
      <c r="AI27" s="6">
        <v>0</v>
      </c>
      <c r="AJ27" s="6">
        <v>0</v>
      </c>
      <c r="AK27" s="6">
        <v>0</v>
      </c>
      <c r="AL27" s="6">
        <v>0</v>
      </c>
      <c r="AM27" s="6">
        <v>0</v>
      </c>
      <c r="AN27" s="6">
        <v>0</v>
      </c>
      <c r="AO27" s="6">
        <v>0</v>
      </c>
      <c r="AP27" s="6">
        <v>0</v>
      </c>
      <c r="AQ27" s="6">
        <v>0</v>
      </c>
      <c r="AR27" s="6">
        <v>0</v>
      </c>
      <c r="AS27" s="6">
        <v>0</v>
      </c>
      <c r="AT27" s="6">
        <v>0</v>
      </c>
      <c r="AU27" s="6">
        <v>0</v>
      </c>
      <c r="AV27" s="6">
        <v>0</v>
      </c>
      <c r="AW27" s="6">
        <v>0</v>
      </c>
      <c r="AX27" s="6">
        <v>0</v>
      </c>
      <c r="AY27" s="6">
        <v>0</v>
      </c>
      <c r="AZ27" s="6">
        <v>0</v>
      </c>
      <c r="BA27" s="6">
        <v>0</v>
      </c>
      <c r="BB27" s="6">
        <v>0</v>
      </c>
      <c r="BC27" s="6">
        <v>0</v>
      </c>
      <c r="BD27" s="6">
        <v>0</v>
      </c>
      <c r="BG27" s="6">
        <v>0</v>
      </c>
      <c r="BH27" s="6">
        <v>0</v>
      </c>
      <c r="BI27" s="6">
        <v>0</v>
      </c>
      <c r="BJ27" s="6">
        <v>0</v>
      </c>
      <c r="BK27" s="6">
        <v>0</v>
      </c>
      <c r="BL27" s="6">
        <v>0</v>
      </c>
      <c r="BM27" s="6">
        <v>0</v>
      </c>
      <c r="BN27" s="6">
        <v>0</v>
      </c>
      <c r="BO27" s="6">
        <v>0</v>
      </c>
      <c r="BP27" s="6">
        <v>0</v>
      </c>
      <c r="BQ27" s="6">
        <v>0</v>
      </c>
      <c r="BR27" s="6">
        <v>0</v>
      </c>
      <c r="BS27" s="6">
        <v>0</v>
      </c>
      <c r="BT27" s="6">
        <v>0</v>
      </c>
      <c r="BU27" s="6">
        <v>0</v>
      </c>
      <c r="BV27" s="6">
        <v>0</v>
      </c>
      <c r="BW27" s="165">
        <v>0</v>
      </c>
      <c r="BX27" s="165">
        <v>0</v>
      </c>
      <c r="BY27" s="165">
        <v>0</v>
      </c>
      <c r="BZ27" s="165">
        <v>0</v>
      </c>
      <c r="CA27" s="165">
        <v>0</v>
      </c>
      <c r="CB27" s="165">
        <v>0</v>
      </c>
      <c r="CC27" s="165">
        <v>0</v>
      </c>
      <c r="CD27" s="165">
        <v>0</v>
      </c>
      <c r="CE27" s="165">
        <v>0</v>
      </c>
      <c r="CF27" s="165">
        <v>0</v>
      </c>
      <c r="CG27" s="165">
        <v>0</v>
      </c>
      <c r="CH27" s="165">
        <v>0</v>
      </c>
      <c r="CI27" s="165">
        <v>0</v>
      </c>
      <c r="CJ27" s="165">
        <v>0</v>
      </c>
      <c r="CK27" s="165">
        <v>0</v>
      </c>
      <c r="CL27" s="165">
        <v>0</v>
      </c>
      <c r="CM27" s="165">
        <v>0</v>
      </c>
      <c r="CN27" s="165">
        <v>0</v>
      </c>
      <c r="CO27" s="165">
        <v>0</v>
      </c>
      <c r="CP27" s="165">
        <v>0</v>
      </c>
      <c r="CS27" s="30" t="s">
        <v>220</v>
      </c>
      <c r="CT27" s="30"/>
      <c r="CU27" s="30"/>
      <c r="CV27" s="30"/>
      <c r="CW27" s="30"/>
      <c r="CX27" s="30" t="str">
        <f>IF(CY27=1,"Claim Log Method","PMPM Method")</f>
        <v>PMPM Method</v>
      </c>
      <c r="CY27" s="46">
        <v>0</v>
      </c>
      <c r="DC27" s="30" t="s">
        <v>110</v>
      </c>
      <c r="DD27" s="44" t="e">
        <f>#REF!</f>
        <v>#REF!</v>
      </c>
      <c r="DE27" s="53" t="e">
        <f>#REF!</f>
        <v>#REF!</v>
      </c>
    </row>
    <row r="28" spans="6:111" x14ac:dyDescent="0.2">
      <c r="F28" s="183">
        <v>36220</v>
      </c>
      <c r="G28" s="6">
        <v>3200</v>
      </c>
      <c r="H28" s="36">
        <v>0</v>
      </c>
      <c r="I28" s="6">
        <v>0</v>
      </c>
      <c r="J28" s="6">
        <v>0</v>
      </c>
      <c r="K28" s="566">
        <v>0</v>
      </c>
      <c r="M28" s="6">
        <v>0</v>
      </c>
      <c r="N28" s="36">
        <v>0</v>
      </c>
      <c r="O28" s="6">
        <v>0</v>
      </c>
      <c r="P28" s="6">
        <v>0</v>
      </c>
      <c r="Q28" s="184">
        <v>0</v>
      </c>
      <c r="S28" s="568" t="s">
        <v>999</v>
      </c>
      <c r="T28" s="6"/>
      <c r="U28" s="6">
        <v>0</v>
      </c>
      <c r="V28" s="6">
        <v>0</v>
      </c>
      <c r="W28" s="6">
        <v>0</v>
      </c>
      <c r="X28" s="6">
        <v>0</v>
      </c>
      <c r="Y28" s="6">
        <v>0</v>
      </c>
      <c r="Z28" s="6">
        <v>0</v>
      </c>
      <c r="AA28" s="6">
        <v>0</v>
      </c>
      <c r="AB28" s="6">
        <v>0</v>
      </c>
      <c r="AC28" s="6">
        <v>0</v>
      </c>
      <c r="AD28" s="6">
        <v>0</v>
      </c>
      <c r="AE28" s="6">
        <v>0</v>
      </c>
      <c r="AF28" s="6">
        <v>0</v>
      </c>
      <c r="AG28" s="6">
        <v>0</v>
      </c>
      <c r="AH28" s="6">
        <v>0</v>
      </c>
      <c r="AI28" s="6">
        <v>0</v>
      </c>
      <c r="AJ28" s="6">
        <v>0</v>
      </c>
      <c r="AK28" s="6">
        <v>0</v>
      </c>
      <c r="AL28" s="6">
        <v>0</v>
      </c>
      <c r="AM28" s="6">
        <v>0</v>
      </c>
      <c r="AN28" s="6">
        <v>0</v>
      </c>
      <c r="AO28" s="6">
        <v>0</v>
      </c>
      <c r="AP28" s="6">
        <v>0</v>
      </c>
      <c r="AQ28" s="6">
        <v>0</v>
      </c>
      <c r="AR28" s="6">
        <v>0</v>
      </c>
      <c r="AS28" s="6">
        <v>0</v>
      </c>
      <c r="AT28" s="6">
        <v>0</v>
      </c>
      <c r="AU28" s="6">
        <v>0</v>
      </c>
      <c r="AV28" s="6">
        <v>0</v>
      </c>
      <c r="AW28" s="6">
        <v>0</v>
      </c>
      <c r="AX28" s="6">
        <v>0</v>
      </c>
      <c r="AY28" s="6">
        <v>0</v>
      </c>
      <c r="AZ28" s="6">
        <v>0</v>
      </c>
      <c r="BA28" s="6">
        <v>0</v>
      </c>
      <c r="BB28" s="6">
        <v>0</v>
      </c>
      <c r="BC28" s="6">
        <v>0</v>
      </c>
      <c r="BD28" s="6">
        <v>0</v>
      </c>
      <c r="BG28" s="6">
        <v>0</v>
      </c>
      <c r="BH28" s="6">
        <v>0</v>
      </c>
      <c r="BI28" s="6">
        <v>0</v>
      </c>
      <c r="BJ28" s="6">
        <v>0</v>
      </c>
      <c r="BK28" s="6">
        <v>0</v>
      </c>
      <c r="BL28" s="6">
        <v>0</v>
      </c>
      <c r="BM28" s="6">
        <v>0</v>
      </c>
      <c r="BN28" s="6">
        <v>0</v>
      </c>
      <c r="BO28" s="6">
        <v>0</v>
      </c>
      <c r="BP28" s="6">
        <v>0</v>
      </c>
      <c r="BQ28" s="6">
        <v>0</v>
      </c>
      <c r="BR28" s="6">
        <v>0</v>
      </c>
      <c r="BS28" s="6">
        <v>0</v>
      </c>
      <c r="BT28" s="6">
        <v>0</v>
      </c>
      <c r="BU28" s="6">
        <v>0</v>
      </c>
      <c r="BV28" s="165">
        <v>0</v>
      </c>
      <c r="BW28" s="165">
        <v>0</v>
      </c>
      <c r="BX28" s="165">
        <v>0</v>
      </c>
      <c r="BY28" s="165">
        <v>0</v>
      </c>
      <c r="BZ28" s="165">
        <v>0</v>
      </c>
      <c r="CA28" s="165">
        <v>0</v>
      </c>
      <c r="CB28" s="165">
        <v>0</v>
      </c>
      <c r="CC28" s="165">
        <v>0</v>
      </c>
      <c r="CD28" s="165">
        <v>0</v>
      </c>
      <c r="CE28" s="165">
        <v>0</v>
      </c>
      <c r="CF28" s="165">
        <v>0</v>
      </c>
      <c r="CG28" s="165">
        <v>0</v>
      </c>
      <c r="CH28" s="165">
        <v>0</v>
      </c>
      <c r="CI28" s="165">
        <v>0</v>
      </c>
      <c r="CJ28" s="165">
        <v>0</v>
      </c>
      <c r="CK28" s="165">
        <v>0</v>
      </c>
      <c r="CL28" s="165">
        <v>0</v>
      </c>
      <c r="CM28" s="165">
        <v>0</v>
      </c>
      <c r="CN28" s="165">
        <v>0</v>
      </c>
      <c r="CO28" s="165">
        <v>0</v>
      </c>
      <c r="CP28" s="165">
        <v>0</v>
      </c>
      <c r="CS28" s="30" t="s">
        <v>172</v>
      </c>
      <c r="CT28" s="30"/>
      <c r="CU28" s="30"/>
      <c r="CV28" s="30"/>
      <c r="CW28" s="30"/>
      <c r="CX28" s="45"/>
      <c r="CY28" s="46">
        <v>0</v>
      </c>
      <c r="DC28" s="30" t="s">
        <v>114</v>
      </c>
      <c r="DD28" s="44">
        <f>DATE(2002,1,31)</f>
        <v>37287</v>
      </c>
      <c r="DE28" s="104" t="e">
        <f>NA()</f>
        <v>#N/A</v>
      </c>
    </row>
    <row r="29" spans="6:111" x14ac:dyDescent="0.2">
      <c r="F29" s="183">
        <v>36192</v>
      </c>
      <c r="G29" s="6">
        <v>3175</v>
      </c>
      <c r="H29" s="36">
        <v>0</v>
      </c>
      <c r="I29" s="6">
        <v>0</v>
      </c>
      <c r="J29" s="6">
        <v>0</v>
      </c>
      <c r="K29" s="566">
        <v>0</v>
      </c>
      <c r="M29" s="6">
        <v>0</v>
      </c>
      <c r="N29" s="36">
        <v>0</v>
      </c>
      <c r="O29" s="6">
        <v>0</v>
      </c>
      <c r="P29" s="6">
        <v>0</v>
      </c>
      <c r="Q29" s="184">
        <v>0</v>
      </c>
      <c r="S29" s="568" t="s">
        <v>1000</v>
      </c>
      <c r="T29" s="6"/>
      <c r="U29" s="6">
        <v>0</v>
      </c>
      <c r="V29" s="6">
        <v>0</v>
      </c>
      <c r="W29" s="6">
        <v>0</v>
      </c>
      <c r="X29" s="6">
        <v>0</v>
      </c>
      <c r="Y29" s="6">
        <v>0</v>
      </c>
      <c r="Z29" s="6">
        <v>0</v>
      </c>
      <c r="AA29" s="6">
        <v>0</v>
      </c>
      <c r="AB29" s="6">
        <v>0</v>
      </c>
      <c r="AC29" s="6">
        <v>0</v>
      </c>
      <c r="AD29" s="6">
        <v>0</v>
      </c>
      <c r="AE29" s="6">
        <v>0</v>
      </c>
      <c r="AF29" s="6">
        <v>0</v>
      </c>
      <c r="AG29" s="6">
        <v>0</v>
      </c>
      <c r="AH29" s="6">
        <v>0</v>
      </c>
      <c r="AI29" s="6">
        <v>0</v>
      </c>
      <c r="AJ29" s="6">
        <v>0</v>
      </c>
      <c r="AK29" s="6">
        <v>0</v>
      </c>
      <c r="AL29" s="6">
        <v>0</v>
      </c>
      <c r="AM29" s="6">
        <v>0</v>
      </c>
      <c r="AN29" s="6">
        <v>0</v>
      </c>
      <c r="AO29" s="6">
        <v>0</v>
      </c>
      <c r="AP29" s="6">
        <v>0</v>
      </c>
      <c r="AQ29" s="6">
        <v>0</v>
      </c>
      <c r="AR29" s="6">
        <v>0</v>
      </c>
      <c r="AS29" s="6">
        <v>0</v>
      </c>
      <c r="AT29" s="6">
        <v>0</v>
      </c>
      <c r="AU29" s="6">
        <v>0</v>
      </c>
      <c r="AV29" s="6">
        <v>0</v>
      </c>
      <c r="AW29" s="6">
        <v>0</v>
      </c>
      <c r="AX29" s="6">
        <v>0</v>
      </c>
      <c r="AY29" s="6">
        <v>0</v>
      </c>
      <c r="AZ29" s="6">
        <v>0</v>
      </c>
      <c r="BA29" s="6">
        <v>0</v>
      </c>
      <c r="BB29" s="6">
        <v>0</v>
      </c>
      <c r="BC29" s="6">
        <v>0</v>
      </c>
      <c r="BD29" s="6">
        <v>0</v>
      </c>
      <c r="BG29" s="6">
        <v>0</v>
      </c>
      <c r="BH29" s="6">
        <v>0</v>
      </c>
      <c r="BI29" s="6">
        <v>0</v>
      </c>
      <c r="BJ29" s="6">
        <v>0</v>
      </c>
      <c r="BK29" s="6">
        <v>0</v>
      </c>
      <c r="BL29" s="6">
        <v>0</v>
      </c>
      <c r="BM29" s="6">
        <v>0</v>
      </c>
      <c r="BN29" s="6">
        <v>0</v>
      </c>
      <c r="BO29" s="6">
        <v>0</v>
      </c>
      <c r="BP29" s="6">
        <v>0</v>
      </c>
      <c r="BQ29" s="6">
        <v>0</v>
      </c>
      <c r="BR29" s="6">
        <v>0</v>
      </c>
      <c r="BS29" s="6">
        <v>0</v>
      </c>
      <c r="BT29" s="6">
        <v>0</v>
      </c>
      <c r="BU29" s="165">
        <v>0</v>
      </c>
      <c r="BV29" s="165">
        <v>0</v>
      </c>
      <c r="BW29" s="165">
        <v>0</v>
      </c>
      <c r="BX29" s="165">
        <v>0</v>
      </c>
      <c r="BY29" s="165">
        <v>0</v>
      </c>
      <c r="BZ29" s="165">
        <v>0</v>
      </c>
      <c r="CA29" s="165">
        <v>0</v>
      </c>
      <c r="CB29" s="165">
        <v>0</v>
      </c>
      <c r="CC29" s="165">
        <v>0</v>
      </c>
      <c r="CD29" s="165">
        <v>0</v>
      </c>
      <c r="CE29" s="165">
        <v>0</v>
      </c>
      <c r="CF29" s="165">
        <v>0</v>
      </c>
      <c r="CG29" s="165">
        <v>0</v>
      </c>
      <c r="CH29" s="165">
        <v>0</v>
      </c>
      <c r="CI29" s="165">
        <v>0</v>
      </c>
      <c r="CJ29" s="165">
        <v>0</v>
      </c>
      <c r="CK29" s="165">
        <v>0</v>
      </c>
      <c r="CL29" s="165">
        <v>0</v>
      </c>
      <c r="CM29" s="165">
        <v>0</v>
      </c>
      <c r="CN29" s="165">
        <v>0</v>
      </c>
      <c r="CO29" s="165">
        <v>0</v>
      </c>
      <c r="CP29" s="165">
        <v>0</v>
      </c>
    </row>
    <row r="30" spans="6:111" x14ac:dyDescent="0.2">
      <c r="F30" s="183">
        <v>36161</v>
      </c>
      <c r="G30" s="6">
        <v>3150</v>
      </c>
      <c r="H30" s="36">
        <v>0</v>
      </c>
      <c r="I30" s="6">
        <v>0</v>
      </c>
      <c r="J30" s="6">
        <v>0</v>
      </c>
      <c r="K30" s="566">
        <v>0</v>
      </c>
      <c r="M30" s="6">
        <v>0</v>
      </c>
      <c r="N30" s="36">
        <v>0</v>
      </c>
      <c r="O30" s="6">
        <v>0</v>
      </c>
      <c r="P30" s="6">
        <v>0</v>
      </c>
      <c r="Q30" s="184">
        <v>0</v>
      </c>
      <c r="S30" s="568" t="s">
        <v>1001</v>
      </c>
      <c r="T30" s="6"/>
      <c r="U30" s="6">
        <v>0</v>
      </c>
      <c r="V30" s="6">
        <v>0</v>
      </c>
      <c r="W30" s="6">
        <v>0</v>
      </c>
      <c r="X30" s="6">
        <v>0</v>
      </c>
      <c r="Y30" s="6">
        <v>0</v>
      </c>
      <c r="Z30" s="6">
        <v>0</v>
      </c>
      <c r="AA30" s="6">
        <v>0</v>
      </c>
      <c r="AB30" s="6">
        <v>0</v>
      </c>
      <c r="AC30" s="6">
        <v>0</v>
      </c>
      <c r="AD30" s="6">
        <v>0</v>
      </c>
      <c r="AE30" s="6">
        <v>0</v>
      </c>
      <c r="AF30" s="6">
        <v>0</v>
      </c>
      <c r="AG30" s="6">
        <v>0</v>
      </c>
      <c r="AH30" s="6">
        <v>0</v>
      </c>
      <c r="AI30" s="6">
        <v>0</v>
      </c>
      <c r="AJ30" s="6">
        <v>0</v>
      </c>
      <c r="AK30" s="6">
        <v>0</v>
      </c>
      <c r="AL30" s="6">
        <v>0</v>
      </c>
      <c r="AM30" s="6">
        <v>0</v>
      </c>
      <c r="AN30" s="6">
        <v>0</v>
      </c>
      <c r="AO30" s="6">
        <v>0</v>
      </c>
      <c r="AP30" s="6">
        <v>0</v>
      </c>
      <c r="AQ30" s="6">
        <v>0</v>
      </c>
      <c r="AR30" s="6">
        <v>0</v>
      </c>
      <c r="AS30" s="6">
        <v>0</v>
      </c>
      <c r="AT30" s="6">
        <v>0</v>
      </c>
      <c r="AU30" s="6">
        <v>0</v>
      </c>
      <c r="AV30" s="6">
        <v>0</v>
      </c>
      <c r="AW30" s="6">
        <v>0</v>
      </c>
      <c r="AX30" s="6">
        <v>0</v>
      </c>
      <c r="AY30" s="6">
        <v>0</v>
      </c>
      <c r="AZ30" s="6">
        <v>0</v>
      </c>
      <c r="BA30" s="6">
        <v>0</v>
      </c>
      <c r="BB30" s="6">
        <v>0</v>
      </c>
      <c r="BC30" s="6">
        <v>0</v>
      </c>
      <c r="BD30" s="6">
        <v>0</v>
      </c>
      <c r="BG30" s="6">
        <v>0</v>
      </c>
      <c r="BH30" s="6">
        <v>0</v>
      </c>
      <c r="BI30" s="6">
        <v>0</v>
      </c>
      <c r="BJ30" s="6">
        <v>0</v>
      </c>
      <c r="BK30" s="6">
        <v>0</v>
      </c>
      <c r="BL30" s="6">
        <v>0</v>
      </c>
      <c r="BM30" s="6">
        <v>0</v>
      </c>
      <c r="BN30" s="6">
        <v>0</v>
      </c>
      <c r="BO30" s="6">
        <v>0</v>
      </c>
      <c r="BP30" s="6">
        <v>0</v>
      </c>
      <c r="BQ30" s="6">
        <v>0</v>
      </c>
      <c r="BR30" s="6">
        <v>0</v>
      </c>
      <c r="BS30" s="6">
        <v>0</v>
      </c>
      <c r="BT30" s="6">
        <v>0</v>
      </c>
      <c r="BU30" s="165">
        <v>0</v>
      </c>
      <c r="BV30" s="165">
        <v>0</v>
      </c>
      <c r="BW30" s="165">
        <v>0</v>
      </c>
      <c r="BX30" s="165">
        <v>0</v>
      </c>
      <c r="BY30" s="165">
        <v>0</v>
      </c>
      <c r="BZ30" s="165">
        <v>0</v>
      </c>
      <c r="CA30" s="165">
        <v>0</v>
      </c>
      <c r="CB30" s="165">
        <v>0</v>
      </c>
      <c r="CC30" s="165">
        <v>0</v>
      </c>
      <c r="CD30" s="165">
        <v>0</v>
      </c>
      <c r="CE30" s="165">
        <v>0</v>
      </c>
      <c r="CF30" s="165">
        <v>0</v>
      </c>
      <c r="CG30" s="165">
        <v>0</v>
      </c>
      <c r="CH30" s="165">
        <v>0</v>
      </c>
      <c r="CI30" s="165">
        <v>0</v>
      </c>
      <c r="CJ30" s="165">
        <v>0</v>
      </c>
      <c r="CK30" s="165">
        <v>0</v>
      </c>
      <c r="CL30" s="165">
        <v>0</v>
      </c>
      <c r="CM30" s="165">
        <v>0</v>
      </c>
      <c r="CN30" s="165">
        <v>0</v>
      </c>
      <c r="CO30" s="165">
        <v>0</v>
      </c>
      <c r="CP30" s="165">
        <v>0</v>
      </c>
      <c r="CS30" t="s">
        <v>385</v>
      </c>
    </row>
    <row r="31" spans="6:111" x14ac:dyDescent="0.2">
      <c r="F31" s="183">
        <v>36130</v>
      </c>
      <c r="G31" s="6">
        <v>3125</v>
      </c>
      <c r="H31" s="36">
        <v>0</v>
      </c>
      <c r="I31" s="6">
        <v>0</v>
      </c>
      <c r="J31" s="6">
        <v>0</v>
      </c>
      <c r="K31" s="566">
        <v>0</v>
      </c>
      <c r="M31" s="6">
        <v>0</v>
      </c>
      <c r="N31" s="36">
        <v>0</v>
      </c>
      <c r="O31" s="6">
        <v>0</v>
      </c>
      <c r="P31" s="6">
        <v>0</v>
      </c>
      <c r="Q31" s="184">
        <v>0</v>
      </c>
      <c r="S31" s="568" t="s">
        <v>1043</v>
      </c>
      <c r="U31" s="6">
        <v>0</v>
      </c>
      <c r="V31" s="6">
        <v>0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  <c r="AD31" s="6">
        <v>0</v>
      </c>
      <c r="AE31" s="6">
        <v>0</v>
      </c>
      <c r="AF31" s="6">
        <v>0</v>
      </c>
      <c r="AG31" s="6">
        <v>0</v>
      </c>
      <c r="AH31" s="6">
        <v>0</v>
      </c>
      <c r="AI31" s="6">
        <v>0</v>
      </c>
      <c r="AJ31" s="6">
        <v>0</v>
      </c>
      <c r="AK31" s="6">
        <v>0</v>
      </c>
      <c r="AL31" s="6">
        <v>0</v>
      </c>
      <c r="AM31" s="6">
        <v>0</v>
      </c>
      <c r="AN31" s="6">
        <v>0</v>
      </c>
      <c r="AO31" s="6">
        <v>0</v>
      </c>
      <c r="AP31" s="6">
        <v>0</v>
      </c>
      <c r="AQ31" s="6">
        <v>0</v>
      </c>
      <c r="AR31" s="6">
        <v>0</v>
      </c>
      <c r="AS31" s="6">
        <v>0</v>
      </c>
      <c r="AT31" s="6">
        <v>0</v>
      </c>
      <c r="AU31" s="6">
        <v>0</v>
      </c>
      <c r="AV31" s="6">
        <v>0</v>
      </c>
      <c r="AW31" s="6">
        <v>0</v>
      </c>
      <c r="AX31" s="6">
        <v>0</v>
      </c>
      <c r="AY31" s="6">
        <v>0</v>
      </c>
      <c r="AZ31" s="6">
        <v>0</v>
      </c>
      <c r="BA31" s="6">
        <v>0</v>
      </c>
      <c r="BC31" s="6">
        <v>0</v>
      </c>
      <c r="BD31" s="6">
        <v>0</v>
      </c>
      <c r="BG31" s="6">
        <v>0</v>
      </c>
      <c r="BH31" s="6">
        <v>0</v>
      </c>
      <c r="BI31" s="6">
        <v>0</v>
      </c>
      <c r="BJ31" s="6">
        <v>0</v>
      </c>
      <c r="BK31" s="6">
        <v>0</v>
      </c>
      <c r="BL31" s="6">
        <v>0</v>
      </c>
      <c r="BM31" s="6">
        <v>0</v>
      </c>
      <c r="BN31" s="6">
        <v>0</v>
      </c>
      <c r="BO31" s="6">
        <v>0</v>
      </c>
      <c r="BP31" s="6">
        <v>0</v>
      </c>
      <c r="BQ31" s="6">
        <v>0</v>
      </c>
      <c r="BR31" s="6">
        <v>0</v>
      </c>
      <c r="BS31" s="6">
        <v>0</v>
      </c>
      <c r="BT31" s="6">
        <v>0</v>
      </c>
      <c r="BU31" s="165">
        <v>0</v>
      </c>
      <c r="BV31" s="165">
        <v>0</v>
      </c>
      <c r="BW31" s="165">
        <v>0</v>
      </c>
      <c r="BX31" s="165">
        <v>0</v>
      </c>
      <c r="BY31" s="165">
        <v>0</v>
      </c>
      <c r="BZ31" s="165">
        <v>0</v>
      </c>
      <c r="CA31" s="165">
        <v>0</v>
      </c>
      <c r="CB31" s="165">
        <v>0</v>
      </c>
      <c r="CC31" s="165">
        <v>0</v>
      </c>
      <c r="CD31" s="165">
        <v>0</v>
      </c>
      <c r="CE31" s="165">
        <v>0</v>
      </c>
      <c r="CF31" s="165">
        <v>0</v>
      </c>
      <c r="CG31" s="165">
        <v>0</v>
      </c>
      <c r="CH31" s="165">
        <v>0</v>
      </c>
      <c r="CI31" s="165">
        <v>0</v>
      </c>
      <c r="CJ31" s="165">
        <v>0</v>
      </c>
      <c r="CK31" s="165">
        <v>0</v>
      </c>
      <c r="CL31" s="165">
        <v>0</v>
      </c>
      <c r="CM31" s="165">
        <v>0</v>
      </c>
      <c r="CN31" s="165">
        <v>0</v>
      </c>
      <c r="CO31" s="165">
        <v>0</v>
      </c>
      <c r="CP31" s="165">
        <v>0</v>
      </c>
    </row>
    <row r="32" spans="6:111" x14ac:dyDescent="0.2">
      <c r="F32" s="183">
        <v>36100</v>
      </c>
      <c r="G32" s="6">
        <v>3100</v>
      </c>
      <c r="H32" s="36">
        <v>0</v>
      </c>
      <c r="I32" s="6">
        <v>0</v>
      </c>
      <c r="J32" s="6">
        <v>0</v>
      </c>
      <c r="K32" s="566">
        <v>0</v>
      </c>
      <c r="M32" s="6">
        <v>0</v>
      </c>
      <c r="N32" s="36">
        <v>0</v>
      </c>
      <c r="O32" s="6">
        <v>0</v>
      </c>
      <c r="P32" s="6">
        <v>0</v>
      </c>
      <c r="Q32" s="184">
        <v>0</v>
      </c>
      <c r="S32" s="568" t="s">
        <v>1044</v>
      </c>
      <c r="U32" s="6">
        <v>0</v>
      </c>
      <c r="V32" s="6">
        <v>0</v>
      </c>
      <c r="W32" s="6">
        <v>0</v>
      </c>
      <c r="X32" s="6">
        <v>0</v>
      </c>
      <c r="Y32" s="6">
        <v>0</v>
      </c>
      <c r="Z32" s="6">
        <v>0</v>
      </c>
      <c r="AA32" s="6">
        <v>0</v>
      </c>
      <c r="AB32" s="6">
        <v>0</v>
      </c>
      <c r="AC32" s="6">
        <v>0</v>
      </c>
      <c r="AD32" s="6">
        <v>0</v>
      </c>
      <c r="AE32" s="6">
        <v>0</v>
      </c>
      <c r="AF32" s="6">
        <v>0</v>
      </c>
      <c r="AG32" s="6">
        <v>0</v>
      </c>
      <c r="AH32" s="6">
        <v>0</v>
      </c>
      <c r="AI32" s="6">
        <v>0</v>
      </c>
      <c r="AJ32" s="6">
        <v>0</v>
      </c>
      <c r="AK32" s="6">
        <v>0</v>
      </c>
      <c r="AL32" s="6">
        <v>0</v>
      </c>
      <c r="AM32" s="6">
        <v>0</v>
      </c>
      <c r="AN32" s="6">
        <v>0</v>
      </c>
      <c r="AO32" s="6">
        <v>0</v>
      </c>
      <c r="AP32" s="6">
        <v>0</v>
      </c>
      <c r="AQ32" s="6">
        <v>0</v>
      </c>
      <c r="AR32" s="6">
        <v>0</v>
      </c>
      <c r="AS32" s="6">
        <v>0</v>
      </c>
      <c r="AT32" s="6">
        <v>0</v>
      </c>
      <c r="AU32" s="6">
        <v>0</v>
      </c>
      <c r="AV32" s="6">
        <v>0</v>
      </c>
      <c r="AW32" s="6">
        <v>0</v>
      </c>
      <c r="AX32" s="6">
        <v>0</v>
      </c>
      <c r="AY32" s="6">
        <v>0</v>
      </c>
      <c r="AZ32" s="6">
        <v>0</v>
      </c>
      <c r="BA32" s="6">
        <v>0</v>
      </c>
      <c r="BC32" s="6">
        <v>0</v>
      </c>
      <c r="BD32" s="6">
        <v>0</v>
      </c>
      <c r="BG32" s="6">
        <v>0</v>
      </c>
      <c r="BH32" s="6">
        <v>0</v>
      </c>
      <c r="BI32" s="6">
        <v>0</v>
      </c>
      <c r="BJ32" s="6">
        <v>0</v>
      </c>
      <c r="BK32" s="6">
        <v>0</v>
      </c>
      <c r="BL32" s="6">
        <v>0</v>
      </c>
      <c r="BM32" s="6">
        <v>0</v>
      </c>
      <c r="BN32" s="6">
        <v>0</v>
      </c>
      <c r="BO32" s="6">
        <v>0</v>
      </c>
      <c r="BP32" s="6">
        <v>0</v>
      </c>
      <c r="BQ32" s="6">
        <v>0</v>
      </c>
      <c r="BR32" s="6">
        <v>0</v>
      </c>
      <c r="BS32" s="6">
        <v>0</v>
      </c>
      <c r="BT32" s="6">
        <v>0</v>
      </c>
      <c r="BU32" s="165">
        <v>0</v>
      </c>
      <c r="BV32" s="165">
        <v>0</v>
      </c>
      <c r="BW32" s="165">
        <v>0</v>
      </c>
      <c r="BX32" s="165">
        <v>0</v>
      </c>
      <c r="BY32" s="165">
        <v>0</v>
      </c>
      <c r="BZ32" s="165">
        <v>0</v>
      </c>
      <c r="CA32" s="165">
        <v>0</v>
      </c>
      <c r="CB32" s="165">
        <v>0</v>
      </c>
      <c r="CC32" s="165">
        <v>0</v>
      </c>
      <c r="CD32" s="165">
        <v>0</v>
      </c>
      <c r="CE32" s="165">
        <v>0</v>
      </c>
      <c r="CF32" s="165">
        <v>0</v>
      </c>
      <c r="CG32" s="165">
        <v>0</v>
      </c>
      <c r="CH32" s="165">
        <v>0</v>
      </c>
      <c r="CI32" s="165">
        <v>0</v>
      </c>
      <c r="CJ32" s="165">
        <v>0</v>
      </c>
      <c r="CK32" s="165">
        <v>0</v>
      </c>
      <c r="CL32" s="165">
        <v>0</v>
      </c>
      <c r="CM32" s="165">
        <v>0</v>
      </c>
      <c r="CN32" s="165">
        <v>0</v>
      </c>
      <c r="CO32" s="165">
        <v>0</v>
      </c>
      <c r="CP32" s="165">
        <v>0</v>
      </c>
      <c r="CS32" s="2" t="s">
        <v>164</v>
      </c>
    </row>
    <row r="33" spans="6:100" x14ac:dyDescent="0.2">
      <c r="F33" s="183">
        <v>36069</v>
      </c>
      <c r="G33" s="6">
        <v>3075</v>
      </c>
      <c r="H33" s="36">
        <v>0</v>
      </c>
      <c r="I33" s="6">
        <v>0</v>
      </c>
      <c r="J33" s="6">
        <v>0</v>
      </c>
      <c r="K33" s="566">
        <v>0</v>
      </c>
      <c r="M33" s="6">
        <v>0</v>
      </c>
      <c r="N33" s="36">
        <v>0</v>
      </c>
      <c r="O33" s="6">
        <v>0</v>
      </c>
      <c r="P33" s="6">
        <v>0</v>
      </c>
      <c r="Q33" s="184">
        <v>0</v>
      </c>
      <c r="S33" s="568" t="s">
        <v>1045</v>
      </c>
      <c r="U33" s="6">
        <v>0</v>
      </c>
      <c r="V33" s="6">
        <v>0</v>
      </c>
      <c r="W33" s="6">
        <v>0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6">
        <v>0</v>
      </c>
      <c r="AD33" s="6">
        <v>0</v>
      </c>
      <c r="AE33" s="6">
        <v>0</v>
      </c>
      <c r="AF33" s="6">
        <v>0</v>
      </c>
      <c r="AG33" s="6">
        <v>0</v>
      </c>
      <c r="AH33" s="6">
        <v>0</v>
      </c>
      <c r="AI33" s="6">
        <v>0</v>
      </c>
      <c r="AJ33" s="6">
        <v>0</v>
      </c>
      <c r="AK33" s="6">
        <v>0</v>
      </c>
      <c r="AL33" s="6">
        <v>0</v>
      </c>
      <c r="AM33" s="6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  <c r="AS33" s="6">
        <v>0</v>
      </c>
      <c r="AT33" s="6">
        <v>0</v>
      </c>
      <c r="AU33" s="6">
        <v>0</v>
      </c>
      <c r="AV33" s="6">
        <v>0</v>
      </c>
      <c r="AW33" s="6">
        <v>0</v>
      </c>
      <c r="AX33" s="6">
        <v>0</v>
      </c>
      <c r="AY33" s="6">
        <v>0</v>
      </c>
      <c r="AZ33" s="6">
        <v>0</v>
      </c>
      <c r="BA33" s="6">
        <v>0</v>
      </c>
      <c r="BC33" s="6">
        <v>0</v>
      </c>
      <c r="BD33" s="6">
        <v>0</v>
      </c>
      <c r="BG33" s="6">
        <v>0</v>
      </c>
      <c r="BH33" s="6">
        <v>0</v>
      </c>
      <c r="BI33" s="6">
        <v>0</v>
      </c>
      <c r="BJ33" s="6">
        <v>0</v>
      </c>
      <c r="BK33" s="6">
        <v>0</v>
      </c>
      <c r="BL33" s="6">
        <v>0</v>
      </c>
      <c r="BM33" s="6">
        <v>0</v>
      </c>
      <c r="BN33" s="6">
        <v>0</v>
      </c>
      <c r="BO33" s="6">
        <v>0</v>
      </c>
      <c r="BP33" s="6">
        <v>0</v>
      </c>
      <c r="BQ33" s="6">
        <v>0</v>
      </c>
      <c r="BR33" s="6">
        <v>0</v>
      </c>
      <c r="BS33" s="6">
        <v>0</v>
      </c>
      <c r="BT33" s="6">
        <v>0</v>
      </c>
      <c r="BU33" s="165">
        <v>0</v>
      </c>
      <c r="BV33" s="165">
        <v>0</v>
      </c>
      <c r="BW33" s="165">
        <v>0</v>
      </c>
      <c r="BX33" s="165">
        <v>0</v>
      </c>
      <c r="BY33" s="165">
        <v>0</v>
      </c>
      <c r="BZ33" s="165">
        <v>0</v>
      </c>
      <c r="CA33" s="165">
        <v>0</v>
      </c>
      <c r="CB33" s="165">
        <v>0</v>
      </c>
      <c r="CC33" s="165">
        <v>0</v>
      </c>
      <c r="CD33" s="165">
        <v>0</v>
      </c>
      <c r="CE33" s="165">
        <v>0</v>
      </c>
      <c r="CF33" s="165">
        <v>0</v>
      </c>
      <c r="CG33" s="165">
        <v>0</v>
      </c>
      <c r="CH33" s="165">
        <v>0</v>
      </c>
      <c r="CI33" s="165">
        <v>0</v>
      </c>
      <c r="CJ33" s="165">
        <v>0</v>
      </c>
      <c r="CK33" s="165">
        <v>0</v>
      </c>
      <c r="CL33" s="165">
        <v>0</v>
      </c>
      <c r="CM33" s="165">
        <v>0</v>
      </c>
      <c r="CN33" s="165">
        <v>0</v>
      </c>
      <c r="CO33" s="165">
        <v>0</v>
      </c>
      <c r="CP33" s="165">
        <v>0</v>
      </c>
      <c r="CS33" s="29" t="s">
        <v>354</v>
      </c>
    </row>
    <row r="34" spans="6:100" x14ac:dyDescent="0.2">
      <c r="F34" s="183">
        <v>36039</v>
      </c>
      <c r="G34" s="6">
        <v>3050</v>
      </c>
      <c r="H34" s="36">
        <v>0</v>
      </c>
      <c r="I34" s="6">
        <v>0</v>
      </c>
      <c r="J34" s="6">
        <v>0</v>
      </c>
      <c r="K34" s="566">
        <v>0</v>
      </c>
      <c r="M34" s="6">
        <v>0</v>
      </c>
      <c r="N34" s="36">
        <v>0</v>
      </c>
      <c r="O34" s="6">
        <v>0</v>
      </c>
      <c r="P34" s="6">
        <v>0</v>
      </c>
      <c r="Q34" s="184">
        <v>0</v>
      </c>
      <c r="S34" s="568" t="s">
        <v>1046</v>
      </c>
      <c r="U34" s="6">
        <v>0</v>
      </c>
      <c r="V34" s="6">
        <v>0</v>
      </c>
      <c r="W34" s="6">
        <v>0</v>
      </c>
      <c r="X34" s="6">
        <v>0</v>
      </c>
      <c r="Y34" s="6">
        <v>0</v>
      </c>
      <c r="Z34" s="6">
        <v>0</v>
      </c>
      <c r="AA34" s="6">
        <v>0</v>
      </c>
      <c r="AB34" s="6">
        <v>0</v>
      </c>
      <c r="AC34" s="6">
        <v>0</v>
      </c>
      <c r="AD34" s="6">
        <v>0</v>
      </c>
      <c r="AE34" s="6">
        <v>0</v>
      </c>
      <c r="AF34" s="6">
        <v>0</v>
      </c>
      <c r="AG34" s="6">
        <v>0</v>
      </c>
      <c r="AH34" s="6">
        <v>0</v>
      </c>
      <c r="AI34" s="6">
        <v>0</v>
      </c>
      <c r="AJ34" s="6">
        <v>0</v>
      </c>
      <c r="AK34" s="6">
        <v>0</v>
      </c>
      <c r="AL34" s="6">
        <v>0</v>
      </c>
      <c r="AM34" s="6">
        <v>0</v>
      </c>
      <c r="AN34" s="6">
        <v>0</v>
      </c>
      <c r="AO34" s="6">
        <v>0</v>
      </c>
      <c r="AP34" s="6">
        <v>0</v>
      </c>
      <c r="AQ34" s="6">
        <v>0</v>
      </c>
      <c r="AR34" s="6">
        <v>0</v>
      </c>
      <c r="AS34" s="6">
        <v>0</v>
      </c>
      <c r="AT34" s="6">
        <v>0</v>
      </c>
      <c r="AU34" s="6">
        <v>0</v>
      </c>
      <c r="AV34" s="6">
        <v>0</v>
      </c>
      <c r="AW34" s="6">
        <v>0</v>
      </c>
      <c r="AX34" s="6">
        <v>0</v>
      </c>
      <c r="AY34" s="6">
        <v>0</v>
      </c>
      <c r="AZ34" s="6">
        <v>0</v>
      </c>
      <c r="BA34" s="6">
        <v>0</v>
      </c>
      <c r="BC34" s="6">
        <v>0</v>
      </c>
      <c r="BD34" s="6">
        <v>0</v>
      </c>
      <c r="BG34" s="6">
        <v>0</v>
      </c>
      <c r="BH34" s="6">
        <v>0</v>
      </c>
      <c r="BI34" s="6">
        <v>0</v>
      </c>
      <c r="BJ34" s="6">
        <v>0</v>
      </c>
      <c r="BK34" s="6">
        <v>0</v>
      </c>
      <c r="BL34" s="6">
        <v>0</v>
      </c>
      <c r="BM34" s="6">
        <v>0</v>
      </c>
      <c r="BN34" s="6">
        <v>0</v>
      </c>
      <c r="BO34" s="6">
        <v>0</v>
      </c>
      <c r="BP34" s="6">
        <v>0</v>
      </c>
      <c r="BQ34" s="6">
        <v>0</v>
      </c>
      <c r="BR34" s="6">
        <v>0</v>
      </c>
      <c r="BS34" s="6">
        <v>0</v>
      </c>
      <c r="BT34" s="6">
        <v>0</v>
      </c>
      <c r="BU34" s="165">
        <v>0</v>
      </c>
      <c r="BV34" s="165">
        <v>0</v>
      </c>
      <c r="BW34" s="165">
        <v>0</v>
      </c>
      <c r="BX34" s="165">
        <v>0</v>
      </c>
      <c r="BY34" s="165">
        <v>0</v>
      </c>
      <c r="BZ34" s="165">
        <v>0</v>
      </c>
      <c r="CA34" s="165">
        <v>0</v>
      </c>
      <c r="CB34" s="165">
        <v>0</v>
      </c>
      <c r="CC34" s="165">
        <v>0</v>
      </c>
      <c r="CD34" s="165">
        <v>0</v>
      </c>
      <c r="CE34" s="165">
        <v>0</v>
      </c>
      <c r="CF34" s="165">
        <v>0</v>
      </c>
      <c r="CG34" s="165">
        <v>0</v>
      </c>
      <c r="CH34" s="165">
        <v>0</v>
      </c>
      <c r="CI34" s="165">
        <v>0</v>
      </c>
      <c r="CJ34" s="165">
        <v>0</v>
      </c>
      <c r="CK34" s="165">
        <v>0</v>
      </c>
      <c r="CL34" s="165">
        <v>0</v>
      </c>
      <c r="CM34" s="165">
        <v>0</v>
      </c>
      <c r="CN34" s="165">
        <v>0</v>
      </c>
      <c r="CO34" s="165">
        <v>0</v>
      </c>
      <c r="CP34" s="165">
        <v>0</v>
      </c>
      <c r="CS34" s="107">
        <v>1</v>
      </c>
    </row>
    <row r="35" spans="6:100" x14ac:dyDescent="0.2">
      <c r="F35" s="183">
        <v>36008</v>
      </c>
      <c r="G35" s="6">
        <v>3025</v>
      </c>
      <c r="H35" s="36">
        <v>0</v>
      </c>
      <c r="I35" s="6">
        <v>0</v>
      </c>
      <c r="J35" s="6">
        <v>0</v>
      </c>
      <c r="K35" s="566">
        <v>0</v>
      </c>
      <c r="M35" s="6">
        <v>0</v>
      </c>
      <c r="N35" s="36">
        <v>0</v>
      </c>
      <c r="O35" s="6">
        <v>0</v>
      </c>
      <c r="P35" s="6">
        <v>0</v>
      </c>
      <c r="Q35" s="184">
        <v>0</v>
      </c>
      <c r="S35" s="568" t="s">
        <v>1047</v>
      </c>
      <c r="U35" s="6">
        <v>0</v>
      </c>
      <c r="V35" s="6">
        <v>0</v>
      </c>
      <c r="W35" s="6">
        <v>0</v>
      </c>
      <c r="X35" s="6">
        <v>0</v>
      </c>
      <c r="Y35" s="6">
        <v>0</v>
      </c>
      <c r="Z35" s="6">
        <v>0</v>
      </c>
      <c r="AA35" s="6">
        <v>0</v>
      </c>
      <c r="AB35" s="6">
        <v>0</v>
      </c>
      <c r="AC35" s="6">
        <v>0</v>
      </c>
      <c r="AD35" s="6">
        <v>0</v>
      </c>
      <c r="AE35" s="6">
        <v>0</v>
      </c>
      <c r="AF35" s="6">
        <v>0</v>
      </c>
      <c r="AG35" s="6">
        <v>0</v>
      </c>
      <c r="AH35" s="6">
        <v>0</v>
      </c>
      <c r="AI35" s="6">
        <v>0</v>
      </c>
      <c r="AJ35" s="6">
        <v>0</v>
      </c>
      <c r="AK35" s="6">
        <v>0</v>
      </c>
      <c r="AL35" s="6">
        <v>0</v>
      </c>
      <c r="AM35" s="6">
        <v>0</v>
      </c>
      <c r="AN35" s="6">
        <v>0</v>
      </c>
      <c r="AO35" s="6">
        <v>0</v>
      </c>
      <c r="AP35" s="6">
        <v>0</v>
      </c>
      <c r="AQ35" s="6">
        <v>0</v>
      </c>
      <c r="AR35" s="6">
        <v>0</v>
      </c>
      <c r="AS35" s="6">
        <v>0</v>
      </c>
      <c r="AT35" s="6">
        <v>0</v>
      </c>
      <c r="AU35" s="6">
        <v>0</v>
      </c>
      <c r="AV35" s="6">
        <v>0</v>
      </c>
      <c r="AW35" s="6">
        <v>0</v>
      </c>
      <c r="AX35" s="6">
        <v>0</v>
      </c>
      <c r="AY35" s="6">
        <v>0</v>
      </c>
      <c r="AZ35" s="6">
        <v>0</v>
      </c>
      <c r="BA35" s="6">
        <v>0</v>
      </c>
      <c r="BC35" s="6">
        <v>0</v>
      </c>
      <c r="BD35" s="6">
        <v>0</v>
      </c>
      <c r="BG35" s="6">
        <v>0</v>
      </c>
      <c r="BH35" s="6">
        <v>0</v>
      </c>
      <c r="BI35" s="6">
        <v>0</v>
      </c>
      <c r="BJ35" s="6">
        <v>0</v>
      </c>
      <c r="BK35" s="6">
        <v>0</v>
      </c>
      <c r="BL35" s="6">
        <v>0</v>
      </c>
      <c r="BM35" s="6">
        <v>0</v>
      </c>
      <c r="BN35" s="6">
        <v>0</v>
      </c>
      <c r="BO35" s="6">
        <v>0</v>
      </c>
      <c r="BP35" s="6">
        <v>0</v>
      </c>
      <c r="BQ35" s="6">
        <v>0</v>
      </c>
      <c r="BR35" s="6">
        <v>0</v>
      </c>
      <c r="BS35" s="6">
        <v>0</v>
      </c>
      <c r="BT35" s="6">
        <v>0</v>
      </c>
      <c r="BU35" s="165">
        <v>0</v>
      </c>
      <c r="BV35" s="165">
        <v>0</v>
      </c>
      <c r="BW35" s="165">
        <v>0</v>
      </c>
      <c r="BX35" s="165">
        <v>0</v>
      </c>
      <c r="BY35" s="165">
        <v>0</v>
      </c>
      <c r="BZ35" s="165">
        <v>0</v>
      </c>
      <c r="CA35" s="165">
        <v>0</v>
      </c>
      <c r="CB35" s="165">
        <v>0</v>
      </c>
      <c r="CC35" s="165">
        <v>0</v>
      </c>
      <c r="CD35" s="165">
        <v>0</v>
      </c>
      <c r="CE35" s="165">
        <v>0</v>
      </c>
      <c r="CF35" s="165">
        <v>0</v>
      </c>
      <c r="CG35" s="165">
        <v>0</v>
      </c>
      <c r="CH35" s="165">
        <v>0</v>
      </c>
      <c r="CI35" s="165">
        <v>0</v>
      </c>
      <c r="CJ35" s="165">
        <v>0</v>
      </c>
      <c r="CK35" s="165">
        <v>0</v>
      </c>
      <c r="CL35" s="165">
        <v>0</v>
      </c>
      <c r="CM35" s="165">
        <v>0</v>
      </c>
      <c r="CN35" s="165">
        <v>0</v>
      </c>
      <c r="CO35" s="165">
        <v>0</v>
      </c>
      <c r="CP35" s="165">
        <v>0</v>
      </c>
    </row>
    <row r="36" spans="6:100" x14ac:dyDescent="0.2">
      <c r="F36" s="183">
        <v>35977</v>
      </c>
      <c r="G36" s="6">
        <v>3000</v>
      </c>
      <c r="H36" s="36">
        <v>0</v>
      </c>
      <c r="I36" s="6">
        <v>0</v>
      </c>
      <c r="J36" s="6">
        <v>0</v>
      </c>
      <c r="K36" s="566">
        <v>0</v>
      </c>
      <c r="M36" s="6">
        <v>0</v>
      </c>
      <c r="N36" s="36">
        <v>0</v>
      </c>
      <c r="O36" s="6">
        <v>0</v>
      </c>
      <c r="P36" s="6">
        <v>0</v>
      </c>
      <c r="Q36" s="184">
        <v>0</v>
      </c>
      <c r="S36" s="568" t="s">
        <v>1048</v>
      </c>
      <c r="U36" s="6">
        <v>0</v>
      </c>
      <c r="V36" s="6">
        <v>0</v>
      </c>
      <c r="W36" s="6">
        <v>0</v>
      </c>
      <c r="X36" s="6">
        <v>0</v>
      </c>
      <c r="Y36" s="6">
        <v>0</v>
      </c>
      <c r="Z36" s="6">
        <v>0</v>
      </c>
      <c r="AA36" s="6">
        <v>0</v>
      </c>
      <c r="AB36" s="6">
        <v>0</v>
      </c>
      <c r="AC36" s="6">
        <v>0</v>
      </c>
      <c r="AD36" s="6">
        <v>0</v>
      </c>
      <c r="AE36" s="6">
        <v>0</v>
      </c>
      <c r="AF36" s="6">
        <v>0</v>
      </c>
      <c r="AG36" s="6">
        <v>0</v>
      </c>
      <c r="AH36" s="6">
        <v>0</v>
      </c>
      <c r="AI36" s="6">
        <v>0</v>
      </c>
      <c r="AJ36" s="6">
        <v>0</v>
      </c>
      <c r="AK36" s="6">
        <v>0</v>
      </c>
      <c r="AL36" s="6">
        <v>0</v>
      </c>
      <c r="AM36" s="6">
        <v>0</v>
      </c>
      <c r="AN36" s="6">
        <v>0</v>
      </c>
      <c r="AO36" s="6">
        <v>0</v>
      </c>
      <c r="AP36" s="6">
        <v>0</v>
      </c>
      <c r="AQ36" s="6">
        <v>0</v>
      </c>
      <c r="AR36" s="6">
        <v>0</v>
      </c>
      <c r="AS36" s="6">
        <v>0</v>
      </c>
      <c r="AT36" s="6">
        <v>0</v>
      </c>
      <c r="AU36" s="6">
        <v>0</v>
      </c>
      <c r="AV36" s="6">
        <v>0</v>
      </c>
      <c r="AW36" s="6">
        <v>0</v>
      </c>
      <c r="AX36" s="6">
        <v>0</v>
      </c>
      <c r="AY36" s="6">
        <v>0</v>
      </c>
      <c r="AZ36" s="6">
        <v>0</v>
      </c>
      <c r="BA36" s="6">
        <v>0</v>
      </c>
      <c r="BC36" s="6">
        <v>0</v>
      </c>
      <c r="BD36" s="6">
        <v>0</v>
      </c>
      <c r="BG36" s="6">
        <v>0</v>
      </c>
      <c r="BH36" s="6">
        <v>0</v>
      </c>
      <c r="BI36" s="6">
        <v>0</v>
      </c>
      <c r="BJ36" s="6">
        <v>0</v>
      </c>
      <c r="BK36" s="6">
        <v>0</v>
      </c>
      <c r="BL36" s="6">
        <v>0</v>
      </c>
      <c r="BM36" s="6">
        <v>0</v>
      </c>
      <c r="BN36" s="6">
        <v>0</v>
      </c>
      <c r="BO36" s="6">
        <v>0</v>
      </c>
      <c r="BP36" s="6">
        <v>0</v>
      </c>
      <c r="BQ36" s="6">
        <v>0</v>
      </c>
      <c r="BR36" s="6">
        <v>0</v>
      </c>
      <c r="BS36" s="6">
        <v>0</v>
      </c>
      <c r="BT36" s="6">
        <v>0</v>
      </c>
      <c r="BU36" s="165">
        <v>0</v>
      </c>
      <c r="BV36" s="165">
        <v>0</v>
      </c>
      <c r="BW36" s="165">
        <v>0</v>
      </c>
      <c r="BX36" s="165">
        <v>0</v>
      </c>
      <c r="BY36" s="165">
        <v>0</v>
      </c>
      <c r="BZ36" s="165">
        <v>0</v>
      </c>
      <c r="CA36" s="165">
        <v>0</v>
      </c>
      <c r="CB36" s="165">
        <v>0</v>
      </c>
      <c r="CC36" s="165">
        <v>0</v>
      </c>
      <c r="CD36" s="165">
        <v>0</v>
      </c>
      <c r="CE36" s="165">
        <v>0</v>
      </c>
      <c r="CF36" s="165">
        <v>0</v>
      </c>
      <c r="CG36" s="165">
        <v>0</v>
      </c>
      <c r="CH36" s="165">
        <v>0</v>
      </c>
      <c r="CI36" s="165">
        <v>0</v>
      </c>
      <c r="CJ36" s="165">
        <v>0</v>
      </c>
      <c r="CK36" s="165">
        <v>0</v>
      </c>
      <c r="CL36" s="165">
        <v>0</v>
      </c>
      <c r="CM36" s="165">
        <v>0</v>
      </c>
      <c r="CN36" s="165">
        <v>0</v>
      </c>
      <c r="CO36" s="165">
        <v>0</v>
      </c>
      <c r="CP36" s="165">
        <v>0</v>
      </c>
    </row>
    <row r="37" spans="6:100" x14ac:dyDescent="0.2">
      <c r="F37" s="183">
        <v>35947</v>
      </c>
      <c r="G37" s="6">
        <v>2975</v>
      </c>
      <c r="H37" s="36">
        <v>0</v>
      </c>
      <c r="I37" s="6">
        <v>0</v>
      </c>
      <c r="J37" s="6">
        <v>0</v>
      </c>
      <c r="K37" s="566">
        <v>0</v>
      </c>
      <c r="M37" s="6">
        <v>0</v>
      </c>
      <c r="N37" s="36">
        <v>0</v>
      </c>
      <c r="O37" s="6">
        <v>0</v>
      </c>
      <c r="P37" s="6">
        <v>0</v>
      </c>
      <c r="Q37" s="184">
        <v>0</v>
      </c>
      <c r="S37" s="568" t="s">
        <v>1049</v>
      </c>
      <c r="U37" s="6">
        <v>0</v>
      </c>
      <c r="V37" s="6">
        <v>0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  <c r="AC37" s="6">
        <v>0</v>
      </c>
      <c r="AD37" s="6">
        <v>0</v>
      </c>
      <c r="AE37" s="6">
        <v>0</v>
      </c>
      <c r="AF37" s="6">
        <v>0</v>
      </c>
      <c r="AG37" s="6">
        <v>0</v>
      </c>
      <c r="AH37" s="6">
        <v>0</v>
      </c>
      <c r="AI37" s="6">
        <v>0</v>
      </c>
      <c r="AJ37" s="6">
        <v>0</v>
      </c>
      <c r="AK37" s="6">
        <v>0</v>
      </c>
      <c r="AL37" s="6">
        <v>0</v>
      </c>
      <c r="AM37" s="6">
        <v>0</v>
      </c>
      <c r="AN37" s="6">
        <v>0</v>
      </c>
      <c r="AO37" s="6">
        <v>0</v>
      </c>
      <c r="AP37" s="6">
        <v>0</v>
      </c>
      <c r="AQ37" s="6">
        <v>0</v>
      </c>
      <c r="AR37" s="6">
        <v>0</v>
      </c>
      <c r="AS37" s="6">
        <v>0</v>
      </c>
      <c r="AT37" s="6">
        <v>0</v>
      </c>
      <c r="AU37" s="6">
        <v>0</v>
      </c>
      <c r="AV37" s="6">
        <v>0</v>
      </c>
      <c r="AW37" s="6">
        <v>0</v>
      </c>
      <c r="AX37" s="6">
        <v>0</v>
      </c>
      <c r="AY37" s="6">
        <v>0</v>
      </c>
      <c r="AZ37" s="6">
        <v>0</v>
      </c>
      <c r="BA37" s="6">
        <v>0</v>
      </c>
      <c r="BC37" s="6">
        <v>0</v>
      </c>
      <c r="BD37" s="6">
        <v>0</v>
      </c>
      <c r="BG37" s="6">
        <v>0</v>
      </c>
      <c r="BH37" s="6">
        <v>0</v>
      </c>
      <c r="BI37" s="6">
        <v>0</v>
      </c>
      <c r="BJ37" s="6">
        <v>0</v>
      </c>
      <c r="BK37" s="6">
        <v>0</v>
      </c>
      <c r="BL37" s="6">
        <v>0</v>
      </c>
      <c r="BM37" s="6">
        <v>0</v>
      </c>
      <c r="BN37" s="6">
        <v>0</v>
      </c>
      <c r="BO37" s="6">
        <v>0</v>
      </c>
      <c r="BP37" s="6">
        <v>0</v>
      </c>
      <c r="BQ37" s="6">
        <v>0</v>
      </c>
      <c r="BR37" s="6">
        <v>0</v>
      </c>
      <c r="BS37" s="6">
        <v>0</v>
      </c>
      <c r="BT37" s="6">
        <v>0</v>
      </c>
      <c r="BU37" s="165">
        <v>0</v>
      </c>
      <c r="BV37" s="165">
        <v>0</v>
      </c>
      <c r="BW37" s="165">
        <v>0</v>
      </c>
      <c r="BX37" s="165">
        <v>0</v>
      </c>
      <c r="BY37" s="165">
        <v>0</v>
      </c>
      <c r="BZ37" s="165">
        <v>0</v>
      </c>
      <c r="CA37" s="165">
        <v>0</v>
      </c>
      <c r="CB37" s="165">
        <v>0</v>
      </c>
      <c r="CC37" s="165">
        <v>0</v>
      </c>
      <c r="CD37" s="165">
        <v>0</v>
      </c>
      <c r="CE37" s="165">
        <v>0</v>
      </c>
      <c r="CF37" s="165">
        <v>0</v>
      </c>
      <c r="CG37" s="165">
        <v>0</v>
      </c>
      <c r="CH37" s="165">
        <v>0</v>
      </c>
      <c r="CI37" s="165">
        <v>0</v>
      </c>
      <c r="CJ37" s="165">
        <v>0</v>
      </c>
      <c r="CK37" s="165">
        <v>0</v>
      </c>
      <c r="CL37" s="165">
        <v>0</v>
      </c>
      <c r="CM37" s="165">
        <v>0</v>
      </c>
      <c r="CN37" s="165">
        <v>0</v>
      </c>
      <c r="CO37" s="165">
        <v>0</v>
      </c>
      <c r="CP37" s="165">
        <v>0</v>
      </c>
      <c r="CS37" t="s">
        <v>380</v>
      </c>
    </row>
    <row r="38" spans="6:100" x14ac:dyDescent="0.2">
      <c r="F38" s="183">
        <v>35916</v>
      </c>
      <c r="G38" s="6">
        <v>2950</v>
      </c>
      <c r="H38" s="36">
        <v>0</v>
      </c>
      <c r="I38" s="6">
        <v>0</v>
      </c>
      <c r="J38" s="6">
        <v>0</v>
      </c>
      <c r="K38" s="566">
        <v>0</v>
      </c>
      <c r="M38" s="6">
        <v>0</v>
      </c>
      <c r="N38" s="36">
        <v>0</v>
      </c>
      <c r="O38" s="6">
        <v>0</v>
      </c>
      <c r="P38" s="6">
        <v>0</v>
      </c>
      <c r="Q38" s="184">
        <v>0</v>
      </c>
      <c r="S38" s="568" t="s">
        <v>1050</v>
      </c>
      <c r="U38" s="6">
        <v>0</v>
      </c>
      <c r="V38" s="6">
        <v>0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  <c r="AD38" s="6">
        <v>0</v>
      </c>
      <c r="AE38" s="6">
        <v>0</v>
      </c>
      <c r="AF38" s="6">
        <v>0</v>
      </c>
      <c r="AG38" s="6">
        <v>0</v>
      </c>
      <c r="AH38" s="6">
        <v>0</v>
      </c>
      <c r="AI38" s="6">
        <v>0</v>
      </c>
      <c r="AJ38" s="6">
        <v>0</v>
      </c>
      <c r="AK38" s="6">
        <v>0</v>
      </c>
      <c r="AL38" s="6">
        <v>0</v>
      </c>
      <c r="AM38" s="6">
        <v>0</v>
      </c>
      <c r="AN38" s="6">
        <v>0</v>
      </c>
      <c r="AO38" s="6">
        <v>0</v>
      </c>
      <c r="AP38" s="6">
        <v>0</v>
      </c>
      <c r="AQ38" s="6">
        <v>0</v>
      </c>
      <c r="AR38" s="6">
        <v>0</v>
      </c>
      <c r="AS38" s="6">
        <v>0</v>
      </c>
      <c r="AT38" s="6">
        <v>0</v>
      </c>
      <c r="AU38" s="6">
        <v>0</v>
      </c>
      <c r="AV38" s="6">
        <v>0</v>
      </c>
      <c r="AW38" s="6">
        <v>0</v>
      </c>
      <c r="AX38" s="6">
        <v>0</v>
      </c>
      <c r="AY38" s="6">
        <v>0</v>
      </c>
      <c r="AZ38" s="6">
        <v>0</v>
      </c>
      <c r="BA38" s="6">
        <v>0</v>
      </c>
      <c r="BC38" s="6">
        <v>0</v>
      </c>
      <c r="BD38" s="6">
        <v>0</v>
      </c>
      <c r="BG38" s="6">
        <v>0</v>
      </c>
      <c r="BH38" s="6">
        <v>0</v>
      </c>
      <c r="BI38" s="6">
        <v>0</v>
      </c>
      <c r="BJ38" s="6">
        <v>0</v>
      </c>
      <c r="BK38" s="6">
        <v>0</v>
      </c>
      <c r="BL38" s="6">
        <v>0</v>
      </c>
      <c r="BM38" s="6">
        <v>0</v>
      </c>
      <c r="BN38" s="6">
        <v>0</v>
      </c>
      <c r="BO38" s="6">
        <v>0</v>
      </c>
      <c r="BP38" s="6">
        <v>0</v>
      </c>
      <c r="BQ38" s="6">
        <v>0</v>
      </c>
      <c r="BR38" s="6">
        <v>0</v>
      </c>
      <c r="BS38" s="6">
        <v>0</v>
      </c>
      <c r="BT38" s="6">
        <v>0</v>
      </c>
      <c r="BU38" s="165">
        <v>0</v>
      </c>
      <c r="BV38" s="165">
        <v>0</v>
      </c>
      <c r="BW38" s="165">
        <v>0</v>
      </c>
      <c r="BX38" s="165">
        <v>0</v>
      </c>
      <c r="BY38" s="165">
        <v>0</v>
      </c>
      <c r="BZ38" s="165">
        <v>0</v>
      </c>
      <c r="CA38" s="165">
        <v>0</v>
      </c>
      <c r="CB38" s="165">
        <v>0</v>
      </c>
      <c r="CC38" s="165">
        <v>0</v>
      </c>
      <c r="CD38" s="165">
        <v>0</v>
      </c>
      <c r="CE38" s="165">
        <v>0</v>
      </c>
      <c r="CF38" s="165">
        <v>0</v>
      </c>
      <c r="CG38" s="165">
        <v>0</v>
      </c>
      <c r="CH38" s="165">
        <v>0</v>
      </c>
      <c r="CI38" s="165">
        <v>0</v>
      </c>
      <c r="CJ38" s="165">
        <v>0</v>
      </c>
      <c r="CK38" s="165">
        <v>0</v>
      </c>
      <c r="CL38" s="165">
        <v>0</v>
      </c>
      <c r="CM38" s="165">
        <v>0</v>
      </c>
      <c r="CN38" s="165">
        <v>0</v>
      </c>
      <c r="CO38" s="165">
        <v>0</v>
      </c>
      <c r="CP38" s="165">
        <v>0</v>
      </c>
    </row>
    <row r="39" spans="6:100" x14ac:dyDescent="0.2">
      <c r="F39" s="40"/>
      <c r="S39" s="568" t="s">
        <v>1051</v>
      </c>
      <c r="U39" s="6">
        <v>0</v>
      </c>
      <c r="V39" s="6">
        <v>0</v>
      </c>
      <c r="W39" s="6">
        <v>0</v>
      </c>
      <c r="X39" s="6">
        <v>0</v>
      </c>
      <c r="Y39" s="6">
        <v>0</v>
      </c>
      <c r="Z39" s="6">
        <v>0</v>
      </c>
      <c r="AA39" s="6">
        <v>0</v>
      </c>
      <c r="AB39" s="6">
        <v>0</v>
      </c>
      <c r="AC39" s="6">
        <v>0</v>
      </c>
      <c r="AD39" s="6">
        <v>0</v>
      </c>
      <c r="AE39" s="6">
        <v>0</v>
      </c>
      <c r="AF39" s="6">
        <v>0</v>
      </c>
      <c r="AG39" s="6">
        <v>0</v>
      </c>
      <c r="AH39" s="6">
        <v>0</v>
      </c>
      <c r="AI39" s="6">
        <v>0</v>
      </c>
      <c r="AJ39" s="6">
        <v>0</v>
      </c>
      <c r="AK39" s="6">
        <v>0</v>
      </c>
      <c r="AL39" s="6">
        <v>0</v>
      </c>
      <c r="AM39" s="6">
        <v>0</v>
      </c>
      <c r="AN39" s="6">
        <v>0</v>
      </c>
      <c r="AO39" s="6">
        <v>0</v>
      </c>
      <c r="AP39" s="6">
        <v>0</v>
      </c>
      <c r="AQ39" s="6">
        <v>0</v>
      </c>
      <c r="AR39" s="6">
        <v>0</v>
      </c>
      <c r="AS39" s="6">
        <v>0</v>
      </c>
      <c r="AT39" s="6">
        <v>0</v>
      </c>
      <c r="AU39" s="6">
        <v>0</v>
      </c>
      <c r="AV39" s="6">
        <v>0</v>
      </c>
      <c r="AW39" s="6">
        <v>0</v>
      </c>
      <c r="AX39" s="6">
        <v>0</v>
      </c>
      <c r="AY39" s="6">
        <v>0</v>
      </c>
      <c r="AZ39" s="6">
        <v>0</v>
      </c>
      <c r="BA39" s="6">
        <v>0</v>
      </c>
      <c r="BC39" s="6">
        <v>0</v>
      </c>
      <c r="BD39" s="6">
        <v>0</v>
      </c>
      <c r="BG39" s="6">
        <v>0</v>
      </c>
      <c r="BH39" s="6">
        <v>0</v>
      </c>
      <c r="BI39" s="6">
        <v>0</v>
      </c>
      <c r="BJ39" s="6">
        <v>0</v>
      </c>
      <c r="BK39" s="6">
        <v>0</v>
      </c>
      <c r="BL39" s="6">
        <v>0</v>
      </c>
      <c r="BM39" s="6">
        <v>0</v>
      </c>
      <c r="BN39" s="6">
        <v>0</v>
      </c>
      <c r="BO39" s="6">
        <v>0</v>
      </c>
      <c r="BP39" s="6">
        <v>0</v>
      </c>
      <c r="BQ39" s="6">
        <v>0</v>
      </c>
      <c r="BR39" s="6">
        <v>0</v>
      </c>
      <c r="BS39" s="6">
        <v>0</v>
      </c>
      <c r="BT39" s="6">
        <v>0</v>
      </c>
      <c r="BU39" s="165">
        <v>0</v>
      </c>
      <c r="BV39" s="165">
        <v>0</v>
      </c>
      <c r="BW39" s="165">
        <v>0</v>
      </c>
      <c r="BX39" s="165">
        <v>0</v>
      </c>
      <c r="BY39" s="165">
        <v>0</v>
      </c>
      <c r="BZ39" s="165">
        <v>0</v>
      </c>
      <c r="CA39" s="165">
        <v>0</v>
      </c>
      <c r="CB39" s="165">
        <v>0</v>
      </c>
      <c r="CC39" s="165">
        <v>0</v>
      </c>
      <c r="CD39" s="165">
        <v>0</v>
      </c>
      <c r="CE39" s="165">
        <v>0</v>
      </c>
      <c r="CF39" s="165">
        <v>0</v>
      </c>
      <c r="CG39" s="165">
        <v>0</v>
      </c>
      <c r="CH39" s="165">
        <v>0</v>
      </c>
      <c r="CI39" s="165">
        <v>0</v>
      </c>
      <c r="CJ39" s="165">
        <v>0</v>
      </c>
      <c r="CK39" s="165">
        <v>0</v>
      </c>
      <c r="CL39" s="165">
        <v>0</v>
      </c>
      <c r="CM39" s="165">
        <v>0</v>
      </c>
      <c r="CN39" s="165">
        <v>0</v>
      </c>
      <c r="CO39" s="165">
        <v>0</v>
      </c>
      <c r="CP39" s="165">
        <v>0</v>
      </c>
    </row>
    <row r="40" spans="6:100" x14ac:dyDescent="0.2">
      <c r="S40" s="568" t="s">
        <v>1052</v>
      </c>
      <c r="U40" s="6">
        <v>0</v>
      </c>
      <c r="V40" s="6">
        <v>0</v>
      </c>
      <c r="W40" s="6">
        <v>0</v>
      </c>
      <c r="X40" s="6">
        <v>0</v>
      </c>
      <c r="Y40" s="6">
        <v>0</v>
      </c>
      <c r="Z40" s="6">
        <v>0</v>
      </c>
      <c r="AA40" s="6">
        <v>0</v>
      </c>
      <c r="AB40" s="6">
        <v>0</v>
      </c>
      <c r="AC40" s="6">
        <v>0</v>
      </c>
      <c r="AD40" s="6">
        <v>0</v>
      </c>
      <c r="AE40" s="6">
        <v>0</v>
      </c>
      <c r="AF40" s="6">
        <v>0</v>
      </c>
      <c r="AG40" s="6">
        <v>0</v>
      </c>
      <c r="AH40" s="6">
        <v>0</v>
      </c>
      <c r="AI40" s="6">
        <v>0</v>
      </c>
      <c r="AJ40" s="6">
        <v>0</v>
      </c>
      <c r="AK40" s="6">
        <v>0</v>
      </c>
      <c r="AL40" s="6">
        <v>0</v>
      </c>
      <c r="AM40" s="6">
        <v>0</v>
      </c>
      <c r="AN40" s="6">
        <v>0</v>
      </c>
      <c r="AO40" s="6">
        <v>0</v>
      </c>
      <c r="AP40" s="6">
        <v>0</v>
      </c>
      <c r="AQ40" s="6">
        <v>0</v>
      </c>
      <c r="AR40" s="6">
        <v>0</v>
      </c>
      <c r="AS40" s="6">
        <v>0</v>
      </c>
      <c r="AT40" s="6">
        <v>0</v>
      </c>
      <c r="AU40" s="6">
        <v>0</v>
      </c>
      <c r="AV40" s="6">
        <v>0</v>
      </c>
      <c r="AW40" s="6">
        <v>0</v>
      </c>
      <c r="AX40" s="6">
        <v>0</v>
      </c>
      <c r="AY40" s="6">
        <v>0</v>
      </c>
      <c r="AZ40" s="6">
        <v>0</v>
      </c>
      <c r="BA40" s="6">
        <v>0</v>
      </c>
      <c r="BC40" s="6">
        <v>0</v>
      </c>
      <c r="BD40" s="6">
        <v>0</v>
      </c>
      <c r="BG40" s="6">
        <v>0</v>
      </c>
      <c r="BH40" s="6">
        <v>0</v>
      </c>
      <c r="BI40" s="6">
        <v>0</v>
      </c>
      <c r="BJ40" s="6">
        <v>0</v>
      </c>
      <c r="BK40" s="6">
        <v>0</v>
      </c>
      <c r="BL40" s="6">
        <v>0</v>
      </c>
      <c r="BM40" s="6">
        <v>0</v>
      </c>
      <c r="BN40" s="6">
        <v>0</v>
      </c>
      <c r="BO40" s="6">
        <v>0</v>
      </c>
      <c r="BP40" s="6">
        <v>0</v>
      </c>
      <c r="BQ40" s="6">
        <v>0</v>
      </c>
      <c r="BR40" s="6">
        <v>0</v>
      </c>
      <c r="BS40" s="6">
        <v>0</v>
      </c>
      <c r="BT40" s="6">
        <v>0</v>
      </c>
      <c r="BU40" s="165">
        <v>0</v>
      </c>
      <c r="BV40" s="165">
        <v>0</v>
      </c>
      <c r="BW40" s="165">
        <v>0</v>
      </c>
      <c r="BX40" s="165">
        <v>0</v>
      </c>
      <c r="BY40" s="165">
        <v>0</v>
      </c>
      <c r="BZ40" s="165">
        <v>0</v>
      </c>
      <c r="CA40" s="165">
        <v>0</v>
      </c>
      <c r="CB40" s="165">
        <v>0</v>
      </c>
      <c r="CC40" s="165">
        <v>0</v>
      </c>
      <c r="CD40" s="165">
        <v>0</v>
      </c>
      <c r="CE40" s="165">
        <v>0</v>
      </c>
      <c r="CF40" s="165">
        <v>0</v>
      </c>
      <c r="CG40" s="165">
        <v>0</v>
      </c>
      <c r="CH40" s="165">
        <v>0</v>
      </c>
      <c r="CI40" s="165">
        <v>0</v>
      </c>
      <c r="CJ40" s="165">
        <v>0</v>
      </c>
      <c r="CK40" s="165">
        <v>0</v>
      </c>
      <c r="CL40" s="165">
        <v>0</v>
      </c>
      <c r="CM40" s="165">
        <v>0</v>
      </c>
      <c r="CN40" s="165">
        <v>0</v>
      </c>
      <c r="CO40" s="165">
        <v>0</v>
      </c>
      <c r="CP40" s="165">
        <v>0</v>
      </c>
      <c r="CS40" s="321">
        <f>DATE(2000,1,1)</f>
        <v>36526</v>
      </c>
      <c r="CT40" s="94">
        <v>0</v>
      </c>
      <c r="CU40" s="178"/>
      <c r="CV40" s="178" t="s">
        <v>727</v>
      </c>
    </row>
    <row r="41" spans="6:100" x14ac:dyDescent="0.2">
      <c r="S41" s="568" t="s">
        <v>1053</v>
      </c>
      <c r="U41" s="6">
        <v>0</v>
      </c>
      <c r="V41" s="6">
        <v>0</v>
      </c>
      <c r="W41" s="6">
        <v>0</v>
      </c>
      <c r="X41" s="6">
        <v>0</v>
      </c>
      <c r="Y41" s="6">
        <v>0</v>
      </c>
      <c r="Z41" s="6">
        <v>0</v>
      </c>
      <c r="AA41" s="6">
        <v>0</v>
      </c>
      <c r="AB41" s="6">
        <v>0</v>
      </c>
      <c r="AC41" s="6">
        <v>0</v>
      </c>
      <c r="AD41" s="6">
        <v>0</v>
      </c>
      <c r="AE41" s="6">
        <v>0</v>
      </c>
      <c r="AF41" s="6">
        <v>0</v>
      </c>
      <c r="AG41" s="6">
        <v>0</v>
      </c>
      <c r="AH41" s="6">
        <v>0</v>
      </c>
      <c r="AI41" s="6">
        <v>0</v>
      </c>
      <c r="AJ41" s="6">
        <v>0</v>
      </c>
      <c r="AK41" s="6">
        <v>0</v>
      </c>
      <c r="AL41" s="6">
        <v>0</v>
      </c>
      <c r="AM41" s="6">
        <v>0</v>
      </c>
      <c r="AN41" s="6">
        <v>0</v>
      </c>
      <c r="AO41" s="6">
        <v>0</v>
      </c>
      <c r="AP41" s="6">
        <v>0</v>
      </c>
      <c r="AQ41" s="6">
        <v>0</v>
      </c>
      <c r="AR41" s="6">
        <v>0</v>
      </c>
      <c r="AS41" s="6">
        <v>0</v>
      </c>
      <c r="AT41" s="6">
        <v>0</v>
      </c>
      <c r="AU41" s="6">
        <v>0</v>
      </c>
      <c r="AV41" s="6">
        <v>0</v>
      </c>
      <c r="AW41" s="6">
        <v>0</v>
      </c>
      <c r="AX41" s="6">
        <v>0</v>
      </c>
      <c r="AY41" s="6">
        <v>0</v>
      </c>
      <c r="AZ41" s="6">
        <v>0</v>
      </c>
      <c r="BA41" s="6">
        <v>0</v>
      </c>
      <c r="BC41" s="6">
        <v>0</v>
      </c>
      <c r="BD41" s="6">
        <v>0</v>
      </c>
      <c r="BG41" s="6">
        <v>0</v>
      </c>
      <c r="BH41" s="6">
        <v>0</v>
      </c>
      <c r="BI41" s="6">
        <v>0</v>
      </c>
      <c r="BJ41" s="6">
        <v>0</v>
      </c>
      <c r="BK41" s="6">
        <v>0</v>
      </c>
      <c r="BL41" s="6">
        <v>0</v>
      </c>
      <c r="BM41" s="6">
        <v>0</v>
      </c>
      <c r="BN41" s="6">
        <v>0</v>
      </c>
      <c r="BO41" s="6">
        <v>0</v>
      </c>
      <c r="BP41" s="6">
        <v>0</v>
      </c>
      <c r="BQ41" s="6">
        <v>0</v>
      </c>
      <c r="BR41" s="6">
        <v>0</v>
      </c>
      <c r="BS41" s="6">
        <v>0</v>
      </c>
      <c r="BT41" s="6">
        <v>0</v>
      </c>
      <c r="BU41" s="165">
        <v>0</v>
      </c>
      <c r="BV41" s="165">
        <v>0</v>
      </c>
      <c r="BW41" s="165">
        <v>0</v>
      </c>
      <c r="BX41" s="165">
        <v>0</v>
      </c>
      <c r="BY41" s="165">
        <v>0</v>
      </c>
      <c r="BZ41" s="165">
        <v>0</v>
      </c>
      <c r="CA41" s="165">
        <v>0</v>
      </c>
      <c r="CB41" s="165">
        <v>0</v>
      </c>
      <c r="CC41" s="165">
        <v>0</v>
      </c>
      <c r="CD41" s="165">
        <v>0</v>
      </c>
      <c r="CE41" s="165">
        <v>0</v>
      </c>
      <c r="CF41" s="165">
        <v>0</v>
      </c>
      <c r="CG41" s="165">
        <v>0</v>
      </c>
      <c r="CH41" s="165">
        <v>0</v>
      </c>
      <c r="CI41" s="165">
        <v>0</v>
      </c>
      <c r="CJ41" s="165">
        <v>0</v>
      </c>
      <c r="CK41" s="165">
        <v>0</v>
      </c>
      <c r="CL41" s="165">
        <v>0</v>
      </c>
      <c r="CM41" s="165">
        <v>0</v>
      </c>
      <c r="CN41" s="165">
        <v>0</v>
      </c>
      <c r="CO41" s="165">
        <v>0</v>
      </c>
      <c r="CP41" s="165">
        <v>0</v>
      </c>
      <c r="CS41" s="321">
        <f>DATE(2010,1,1)</f>
        <v>40179</v>
      </c>
      <c r="CT41" s="94">
        <v>0</v>
      </c>
      <c r="CU41" s="178"/>
      <c r="CV41" s="178"/>
    </row>
    <row r="42" spans="6:100" x14ac:dyDescent="0.2">
      <c r="S42" s="568" t="s">
        <v>1054</v>
      </c>
      <c r="U42" s="6">
        <v>0</v>
      </c>
      <c r="V42" s="6">
        <v>0</v>
      </c>
      <c r="W42" s="6">
        <v>0</v>
      </c>
      <c r="X42" s="6">
        <v>0</v>
      </c>
      <c r="Y42" s="6">
        <v>0</v>
      </c>
      <c r="Z42" s="6">
        <v>0</v>
      </c>
      <c r="AA42" s="6">
        <v>0</v>
      </c>
      <c r="AB42" s="6">
        <v>0</v>
      </c>
      <c r="AC42" s="6">
        <v>0</v>
      </c>
      <c r="AD42" s="6">
        <v>0</v>
      </c>
      <c r="AE42" s="6">
        <v>0</v>
      </c>
      <c r="AF42" s="6">
        <v>0</v>
      </c>
      <c r="AG42" s="6">
        <v>0</v>
      </c>
      <c r="AH42" s="6">
        <v>0</v>
      </c>
      <c r="AI42" s="6">
        <v>0</v>
      </c>
      <c r="AJ42" s="6">
        <v>0</v>
      </c>
      <c r="AK42" s="6">
        <v>0</v>
      </c>
      <c r="AL42" s="6">
        <v>0</v>
      </c>
      <c r="AM42" s="6">
        <v>0</v>
      </c>
      <c r="AN42" s="6">
        <v>0</v>
      </c>
      <c r="AO42" s="6">
        <v>0</v>
      </c>
      <c r="AP42" s="6">
        <v>0</v>
      </c>
      <c r="AQ42" s="6">
        <v>0</v>
      </c>
      <c r="AR42" s="6">
        <v>0</v>
      </c>
      <c r="AS42" s="6">
        <v>0</v>
      </c>
      <c r="AT42" s="6">
        <v>0</v>
      </c>
      <c r="AU42" s="6">
        <v>0</v>
      </c>
      <c r="AV42" s="6">
        <v>0</v>
      </c>
      <c r="AW42" s="6">
        <v>0</v>
      </c>
      <c r="AX42" s="6">
        <v>0</v>
      </c>
      <c r="AY42" s="6">
        <v>0</v>
      </c>
      <c r="AZ42" s="6">
        <v>0</v>
      </c>
      <c r="BA42" s="6">
        <v>0</v>
      </c>
      <c r="BC42" s="6">
        <v>0</v>
      </c>
      <c r="BD42" s="6">
        <v>0</v>
      </c>
      <c r="BG42" s="6">
        <v>0</v>
      </c>
      <c r="BH42" s="6">
        <v>0</v>
      </c>
      <c r="BI42" s="6">
        <v>0</v>
      </c>
      <c r="BJ42" s="6">
        <v>0</v>
      </c>
      <c r="BK42" s="6">
        <v>0</v>
      </c>
      <c r="BL42" s="6">
        <v>0</v>
      </c>
      <c r="BM42" s="6">
        <v>0</v>
      </c>
      <c r="BN42" s="6">
        <v>0</v>
      </c>
      <c r="BO42" s="6">
        <v>0</v>
      </c>
      <c r="BP42" s="6">
        <v>0</v>
      </c>
      <c r="BQ42" s="6">
        <v>0</v>
      </c>
      <c r="BR42" s="6">
        <v>0</v>
      </c>
      <c r="BS42" s="6">
        <v>0</v>
      </c>
      <c r="BT42" s="165">
        <v>0</v>
      </c>
      <c r="BU42" s="165">
        <v>0</v>
      </c>
      <c r="BV42" s="165">
        <v>0</v>
      </c>
      <c r="BW42" s="165">
        <v>0</v>
      </c>
      <c r="BX42" s="165">
        <v>0</v>
      </c>
      <c r="BY42" s="165">
        <v>0</v>
      </c>
      <c r="BZ42" s="165">
        <v>0</v>
      </c>
      <c r="CA42" s="165">
        <v>0</v>
      </c>
      <c r="CB42" s="165">
        <v>0</v>
      </c>
      <c r="CC42" s="165">
        <v>0</v>
      </c>
      <c r="CD42" s="165">
        <v>0</v>
      </c>
      <c r="CE42" s="165">
        <v>0</v>
      </c>
      <c r="CF42" s="165">
        <v>0</v>
      </c>
      <c r="CG42" s="165">
        <v>0</v>
      </c>
      <c r="CH42" s="165">
        <v>0</v>
      </c>
      <c r="CI42" s="165">
        <v>0</v>
      </c>
      <c r="CJ42" s="165">
        <v>0</v>
      </c>
      <c r="CK42" s="165">
        <v>0</v>
      </c>
      <c r="CL42" s="165">
        <v>0</v>
      </c>
      <c r="CM42" s="165">
        <v>0</v>
      </c>
      <c r="CN42" s="165">
        <v>0</v>
      </c>
      <c r="CO42" s="165">
        <v>0</v>
      </c>
      <c r="CP42" s="165">
        <v>0</v>
      </c>
      <c r="CS42" s="321">
        <f>DATE(2010,1,1)</f>
        <v>40179</v>
      </c>
      <c r="CT42" s="94">
        <v>0</v>
      </c>
      <c r="CU42" s="178"/>
      <c r="CV42" s="178"/>
    </row>
    <row r="43" spans="6:100" x14ac:dyDescent="0.2">
      <c r="CS43" s="321">
        <f>DATE(2010,1,1)</f>
        <v>40179</v>
      </c>
      <c r="CT43" s="94">
        <v>0</v>
      </c>
      <c r="CU43" s="178"/>
      <c r="CV43" s="178"/>
    </row>
    <row r="44" spans="6:100" x14ac:dyDescent="0.2">
      <c r="CS44" s="321">
        <f t="shared" ref="CS44:CS62" si="6">DATE(2010,1,1)</f>
        <v>40179</v>
      </c>
      <c r="CT44" s="94">
        <v>0</v>
      </c>
      <c r="CU44" s="178"/>
      <c r="CV44" s="178"/>
    </row>
    <row r="45" spans="6:100" x14ac:dyDescent="0.2">
      <c r="CS45" s="321">
        <f t="shared" si="6"/>
        <v>40179</v>
      </c>
      <c r="CT45" s="94">
        <v>0</v>
      </c>
      <c r="CU45" s="178"/>
      <c r="CV45" s="178"/>
    </row>
    <row r="46" spans="6:100" x14ac:dyDescent="0.2">
      <c r="CS46" s="321">
        <f t="shared" si="6"/>
        <v>40179</v>
      </c>
      <c r="CT46" s="94">
        <v>0</v>
      </c>
      <c r="CU46" s="178"/>
      <c r="CV46" s="178"/>
    </row>
    <row r="47" spans="6:100" x14ac:dyDescent="0.2">
      <c r="CS47" s="321">
        <f t="shared" si="6"/>
        <v>40179</v>
      </c>
      <c r="CT47" s="94">
        <v>0</v>
      </c>
      <c r="CU47" s="178"/>
      <c r="CV47" s="178"/>
    </row>
    <row r="48" spans="6:100" x14ac:dyDescent="0.2">
      <c r="CS48" s="321">
        <f t="shared" si="6"/>
        <v>40179</v>
      </c>
      <c r="CT48" s="94">
        <v>0</v>
      </c>
      <c r="CU48" s="178"/>
      <c r="CV48" s="178"/>
    </row>
    <row r="49" spans="97:100" x14ac:dyDescent="0.2">
      <c r="CS49" s="321">
        <f t="shared" si="6"/>
        <v>40179</v>
      </c>
      <c r="CT49" s="94">
        <v>0</v>
      </c>
      <c r="CU49" s="178"/>
      <c r="CV49" s="178"/>
    </row>
    <row r="50" spans="97:100" x14ac:dyDescent="0.2">
      <c r="CS50" s="321">
        <f t="shared" si="6"/>
        <v>40179</v>
      </c>
      <c r="CT50" s="94">
        <v>0</v>
      </c>
      <c r="CU50" s="178"/>
      <c r="CV50" s="178"/>
    </row>
    <row r="51" spans="97:100" x14ac:dyDescent="0.2">
      <c r="CS51" s="321">
        <f t="shared" si="6"/>
        <v>40179</v>
      </c>
      <c r="CT51" s="94">
        <v>0</v>
      </c>
      <c r="CU51" s="178"/>
      <c r="CV51" s="178"/>
    </row>
    <row r="52" spans="97:100" x14ac:dyDescent="0.2">
      <c r="CS52" s="321">
        <f t="shared" si="6"/>
        <v>40179</v>
      </c>
      <c r="CT52" s="94">
        <v>0</v>
      </c>
      <c r="CU52" s="178"/>
      <c r="CV52" s="178"/>
    </row>
    <row r="53" spans="97:100" x14ac:dyDescent="0.2">
      <c r="CS53" s="321">
        <f t="shared" si="6"/>
        <v>40179</v>
      </c>
      <c r="CT53" s="94">
        <v>0</v>
      </c>
      <c r="CU53" s="178"/>
      <c r="CV53" s="178"/>
    </row>
    <row r="54" spans="97:100" x14ac:dyDescent="0.2">
      <c r="CS54" s="321">
        <f t="shared" si="6"/>
        <v>40179</v>
      </c>
      <c r="CT54" s="94">
        <v>0</v>
      </c>
      <c r="CU54" s="178"/>
      <c r="CV54" s="178"/>
    </row>
    <row r="55" spans="97:100" x14ac:dyDescent="0.2">
      <c r="CS55" s="321">
        <f t="shared" si="6"/>
        <v>40179</v>
      </c>
      <c r="CT55" s="94">
        <v>0</v>
      </c>
      <c r="CU55" s="178"/>
      <c r="CV55" s="178"/>
    </row>
    <row r="56" spans="97:100" x14ac:dyDescent="0.2">
      <c r="CS56" s="321">
        <f t="shared" si="6"/>
        <v>40179</v>
      </c>
      <c r="CT56" s="94">
        <v>0</v>
      </c>
      <c r="CU56" s="178"/>
      <c r="CV56" s="178"/>
    </row>
    <row r="57" spans="97:100" x14ac:dyDescent="0.2">
      <c r="CS57" s="321">
        <f t="shared" si="6"/>
        <v>40179</v>
      </c>
      <c r="CT57" s="94">
        <v>0</v>
      </c>
      <c r="CU57" s="178"/>
      <c r="CV57" s="178"/>
    </row>
    <row r="58" spans="97:100" x14ac:dyDescent="0.2">
      <c r="CS58" s="321">
        <f t="shared" si="6"/>
        <v>40179</v>
      </c>
      <c r="CT58" s="94">
        <v>0</v>
      </c>
      <c r="CU58" s="178"/>
      <c r="CV58" s="178"/>
    </row>
    <row r="59" spans="97:100" x14ac:dyDescent="0.2">
      <c r="CS59" s="321">
        <f t="shared" si="6"/>
        <v>40179</v>
      </c>
      <c r="CT59" s="94">
        <v>0</v>
      </c>
      <c r="CU59" s="178"/>
      <c r="CV59" s="178"/>
    </row>
    <row r="60" spans="97:100" x14ac:dyDescent="0.2">
      <c r="CS60" s="321">
        <f t="shared" si="6"/>
        <v>40179</v>
      </c>
      <c r="CT60" s="94">
        <v>0</v>
      </c>
      <c r="CU60" s="178"/>
      <c r="CV60" s="178"/>
    </row>
    <row r="61" spans="97:100" x14ac:dyDescent="0.2">
      <c r="CS61" s="321">
        <f t="shared" si="6"/>
        <v>40179</v>
      </c>
      <c r="CT61" s="94">
        <v>0</v>
      </c>
      <c r="CU61" s="178"/>
      <c r="CV61" s="178"/>
    </row>
    <row r="62" spans="97:100" x14ac:dyDescent="0.2">
      <c r="CS62" s="321">
        <f t="shared" si="6"/>
        <v>40179</v>
      </c>
      <c r="CT62" s="94">
        <v>0</v>
      </c>
      <c r="CU62" s="178"/>
      <c r="CV62" s="178"/>
    </row>
  </sheetData>
  <phoneticPr fontId="0" type="noConversion"/>
  <conditionalFormatting sqref="AX7:AX10">
    <cfRule type="cellIs" dxfId="3" priority="1" operator="lessThan">
      <formula>0</formula>
    </cfRule>
  </conditionalFormatting>
  <conditionalFormatting sqref="AM16">
    <cfRule type="cellIs" dxfId="2" priority="3" operator="lessThan">
      <formula>0</formula>
    </cfRule>
  </conditionalFormatting>
  <conditionalFormatting sqref="AY7:AY10">
    <cfRule type="cellIs" dxfId="1" priority="2" operator="lessThan">
      <formula>0</formula>
    </cfRule>
  </conditionalFormatting>
  <conditionalFormatting sqref="U8:BA12 U7:AW7 U13:AW42">
    <cfRule type="cellIs" dxfId="0" priority="4" operator="lessThan">
      <formula>0</formula>
    </cfRule>
  </conditionalFormatting>
  <pageMargins left="0.75" right="0.75" top="1" bottom="1" header="0.5" footer="0.5"/>
  <pageSetup orientation="portrait" horizontalDpi="4294967293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PrintBox">
                <anchor moveWithCells="1" sizeWithCells="1">
                  <from>
                    <xdr:col>0</xdr:col>
                    <xdr:colOff>200025</xdr:colOff>
                    <xdr:row>2</xdr:row>
                    <xdr:rowOff>38100</xdr:rowOff>
                  </from>
                  <to>
                    <xdr:col>1</xdr:col>
                    <xdr:colOff>581025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A11:AL83"/>
  <sheetViews>
    <sheetView topLeftCell="A28" workbookViewId="0">
      <selection activeCell="O80" sqref="O80"/>
    </sheetView>
  </sheetViews>
  <sheetFormatPr defaultRowHeight="11.25" x14ac:dyDescent="0.2"/>
  <cols>
    <col min="1" max="1" width="13.5" customWidth="1"/>
    <col min="2" max="2" width="24" customWidth="1"/>
    <col min="3" max="47" width="10.83203125" customWidth="1"/>
  </cols>
  <sheetData>
    <row r="11" spans="1:38" x14ac:dyDescent="0.2">
      <c r="A11" t="s">
        <v>43</v>
      </c>
      <c r="C11" s="5">
        <f>Data!C147</f>
        <v>44287</v>
      </c>
      <c r="D11" s="5">
        <f>Data!D147</f>
        <v>44317</v>
      </c>
      <c r="E11" s="5">
        <f>Data!E147</f>
        <v>44348</v>
      </c>
      <c r="F11" s="5">
        <f>Data!F147</f>
        <v>44378</v>
      </c>
      <c r="G11" s="5">
        <f>Data!G147</f>
        <v>44409</v>
      </c>
      <c r="H11" s="5">
        <f>Data!H147</f>
        <v>44440</v>
      </c>
      <c r="I11" s="5">
        <f>Data!I147</f>
        <v>44470</v>
      </c>
      <c r="J11" s="5">
        <f>Data!J147</f>
        <v>44501</v>
      </c>
      <c r="K11" s="5">
        <f>Data!K147</f>
        <v>44531</v>
      </c>
      <c r="L11" s="5">
        <f>Data!L147</f>
        <v>44562</v>
      </c>
      <c r="M11" s="5">
        <f>Data!M147</f>
        <v>44593</v>
      </c>
      <c r="N11" s="5">
        <f>Data!N147</f>
        <v>44621</v>
      </c>
      <c r="O11" s="5">
        <f>Data!O147</f>
        <v>44652</v>
      </c>
      <c r="P11" s="5">
        <f>Data!P147</f>
        <v>44682</v>
      </c>
      <c r="Q11" s="5">
        <f>Data!Q147</f>
        <v>44713</v>
      </c>
      <c r="R11" s="5">
        <f>Data!R147</f>
        <v>44743</v>
      </c>
      <c r="S11" s="5">
        <f>Data!S147</f>
        <v>44774</v>
      </c>
      <c r="T11" s="5">
        <f>Data!T147</f>
        <v>44805</v>
      </c>
      <c r="U11" s="5">
        <f>Data!U147</f>
        <v>44835</v>
      </c>
      <c r="V11" s="5">
        <f>Data!V147</f>
        <v>44866</v>
      </c>
      <c r="W11" s="5">
        <f>Data!W147</f>
        <v>44896</v>
      </c>
      <c r="X11" s="5">
        <f>Data!X147</f>
        <v>44927</v>
      </c>
      <c r="Y11" s="5">
        <f>Data!Y147</f>
        <v>44958</v>
      </c>
      <c r="Z11" s="5">
        <f>Data!Z147</f>
        <v>44986</v>
      </c>
      <c r="AA11" s="5">
        <f>Data!AA147</f>
        <v>45017</v>
      </c>
      <c r="AB11" s="5">
        <f>Data!AB147</f>
        <v>45047</v>
      </c>
      <c r="AC11" s="5">
        <f>Data!AC147</f>
        <v>45078</v>
      </c>
      <c r="AD11" s="5">
        <f>Data!AD147</f>
        <v>45108</v>
      </c>
      <c r="AE11" s="5">
        <f>Data!AE147</f>
        <v>45139</v>
      </c>
      <c r="AF11" s="5">
        <f>Data!AF147</f>
        <v>45170</v>
      </c>
      <c r="AG11" s="5">
        <f>Data!AG147</f>
        <v>45200</v>
      </c>
      <c r="AH11" s="5">
        <f>Data!AH147</f>
        <v>45231</v>
      </c>
      <c r="AI11" s="5">
        <f>Data!AI147</f>
        <v>45261</v>
      </c>
      <c r="AJ11" s="5">
        <f>Data!AJ147</f>
        <v>45292</v>
      </c>
      <c r="AK11" s="5">
        <f>Data!AK147</f>
        <v>45323</v>
      </c>
      <c r="AL11" s="5">
        <f>Data!AL147</f>
        <v>45352</v>
      </c>
    </row>
    <row r="13" spans="1:38" x14ac:dyDescent="0.2">
      <c r="A13" s="7" t="s">
        <v>17</v>
      </c>
      <c r="B13" s="7"/>
      <c r="C13" s="176">
        <f>Data!C149</f>
        <v>1171089.2300000009</v>
      </c>
      <c r="D13" s="176">
        <f>Data!D149</f>
        <v>579155.90000000119</v>
      </c>
      <c r="E13" s="176">
        <f>Data!E149</f>
        <v>262917.34000000008</v>
      </c>
      <c r="F13" s="176">
        <f>Data!F149</f>
        <v>346167.9600000013</v>
      </c>
      <c r="G13" s="176">
        <f>Data!G149</f>
        <v>871625.33000000322</v>
      </c>
      <c r="H13" s="176">
        <f>Data!H149</f>
        <v>1263876.7799999972</v>
      </c>
      <c r="I13" s="176">
        <f>Data!I149</f>
        <v>989820.99000000278</v>
      </c>
      <c r="J13" s="176">
        <f>Data!J149</f>
        <v>768949.55999999982</v>
      </c>
      <c r="K13" s="176">
        <f>Data!K149</f>
        <v>777101.02000000118</v>
      </c>
      <c r="L13" s="176">
        <f>Data!L149</f>
        <v>179174.81000000003</v>
      </c>
      <c r="M13" s="176">
        <f>Data!M149</f>
        <v>836644.69000000192</v>
      </c>
      <c r="N13" s="176">
        <f>Data!N149</f>
        <v>691008.7700000006</v>
      </c>
      <c r="O13" s="176">
        <f>Data!O149</f>
        <v>983285.2000000031</v>
      </c>
      <c r="P13" s="176">
        <f>Data!P149</f>
        <v>1091266.08</v>
      </c>
      <c r="Q13" s="176">
        <f>Data!Q149</f>
        <v>1218450.8600000052</v>
      </c>
      <c r="R13" s="176">
        <f>Data!R149</f>
        <v>1263028.2200000035</v>
      </c>
      <c r="S13" s="176">
        <f>Data!S149</f>
        <v>2107589.4600000144</v>
      </c>
      <c r="T13" s="176">
        <f>Data!T149</f>
        <v>1641885.5100000086</v>
      </c>
      <c r="U13" s="176">
        <f>Data!U149</f>
        <v>1629313.2200000084</v>
      </c>
      <c r="V13" s="176">
        <f>Data!V149</f>
        <v>1127429.7800000033</v>
      </c>
      <c r="W13" s="176">
        <f>Data!W149</f>
        <v>1630311.6000000117</v>
      </c>
      <c r="X13" s="176">
        <f>Data!X149</f>
        <v>1528822.9999999986</v>
      </c>
      <c r="Y13" s="176">
        <f>Data!Y149</f>
        <v>1384275.8500000015</v>
      </c>
      <c r="Z13" s="176">
        <f>Data!Z149</f>
        <v>2114412.0599999824</v>
      </c>
      <c r="AA13" s="176">
        <f>Data!AA149</f>
        <v>1112952.5799999982</v>
      </c>
      <c r="AB13" s="176">
        <f>Data!AB149</f>
        <v>1248075.4199999948</v>
      </c>
      <c r="AC13" s="176">
        <f>Data!AC149</f>
        <v>1362036.8299999912</v>
      </c>
      <c r="AD13" s="176">
        <f>Data!AD149</f>
        <v>1112870.9599999983</v>
      </c>
      <c r="AE13" s="176">
        <f>Data!AE149</f>
        <v>1121294.2699999958</v>
      </c>
      <c r="AF13" s="176">
        <f>Data!AF149</f>
        <v>923783.92999999993</v>
      </c>
      <c r="AG13" s="176">
        <f>Data!AG149</f>
        <v>1616692.4899999921</v>
      </c>
      <c r="AH13" s="176">
        <f>Data!AH149</f>
        <v>1255793.5599999924</v>
      </c>
      <c r="AI13" s="176">
        <f>Data!AI149</f>
        <v>1296415.8899999966</v>
      </c>
      <c r="AJ13" s="176">
        <f>Data!AJ149</f>
        <v>1436799.309999998</v>
      </c>
      <c r="AK13" s="176">
        <f>Data!AK149</f>
        <v>1061866.1300000008</v>
      </c>
      <c r="AL13" s="176">
        <f>Data!AL149</f>
        <v>1157133.2399999991</v>
      </c>
    </row>
    <row r="14" spans="1:38" x14ac:dyDescent="0.2">
      <c r="A14" s="7" t="s">
        <v>18</v>
      </c>
      <c r="B14" s="7"/>
      <c r="C14" s="176">
        <f>Data!C150</f>
        <v>2373280.7600000007</v>
      </c>
      <c r="D14" s="176">
        <f>Data!D150</f>
        <v>1786051.9899999993</v>
      </c>
      <c r="E14" s="176">
        <f>Data!E150</f>
        <v>2220868.1199999955</v>
      </c>
      <c r="F14" s="176">
        <f>Data!F150</f>
        <v>2291780.4699999997</v>
      </c>
      <c r="G14" s="176">
        <f>Data!G150</f>
        <v>3221818.5199999972</v>
      </c>
      <c r="H14" s="176">
        <f>Data!H150</f>
        <v>3002970.5299999919</v>
      </c>
      <c r="I14" s="176">
        <f>Data!I150</f>
        <v>3094437.0999999968</v>
      </c>
      <c r="J14" s="176">
        <f>Data!J150</f>
        <v>3127006.7399999965</v>
      </c>
      <c r="K14" s="176">
        <f>Data!K150</f>
        <v>2155326.9399999976</v>
      </c>
      <c r="L14" s="176">
        <f>Data!L150</f>
        <v>2518489.8200000091</v>
      </c>
      <c r="M14" s="176">
        <f>Data!M150</f>
        <v>2450220.8700000052</v>
      </c>
      <c r="N14" s="176">
        <f>Data!N150</f>
        <v>3016355.1800000081</v>
      </c>
      <c r="O14" s="176">
        <f>Data!O150</f>
        <v>2985712.9600000144</v>
      </c>
      <c r="P14" s="176">
        <f>Data!P150</f>
        <v>3322216.5500000091</v>
      </c>
      <c r="Q14" s="176">
        <f>Data!Q150</f>
        <v>3297898.1200000169</v>
      </c>
      <c r="R14" s="176">
        <f>Data!R150</f>
        <v>3943404.5500000161</v>
      </c>
      <c r="S14" s="176">
        <f>Data!S150</f>
        <v>4537699.9800000265</v>
      </c>
      <c r="T14" s="176">
        <f>Data!T150</f>
        <v>3866778.9600000232</v>
      </c>
      <c r="U14" s="176">
        <f>Data!U150</f>
        <v>3859577.8600000199</v>
      </c>
      <c r="V14" s="176">
        <f>Data!V150</f>
        <v>3814162.3500000183</v>
      </c>
      <c r="W14" s="176">
        <f>Data!W150</f>
        <v>3997319.8000000245</v>
      </c>
      <c r="X14" s="176">
        <f>Data!X150</f>
        <v>3457076.0199999893</v>
      </c>
      <c r="Y14" s="176">
        <f>Data!Y150</f>
        <v>3920791.3699999894</v>
      </c>
      <c r="Z14" s="176">
        <f>Data!Z150</f>
        <v>4382981.6099999733</v>
      </c>
      <c r="AA14" s="176">
        <f>Data!AA150</f>
        <v>3743600.3299999898</v>
      </c>
      <c r="AB14" s="176">
        <f>Data!AB150</f>
        <v>4001092.4699999983</v>
      </c>
      <c r="AC14" s="176">
        <f>Data!AC150</f>
        <v>3912822.6099999878</v>
      </c>
      <c r="AD14" s="176">
        <f>Data!AD150</f>
        <v>3770869.0999999894</v>
      </c>
      <c r="AE14" s="176">
        <f>Data!AE150</f>
        <v>4289416.1199999833</v>
      </c>
      <c r="AF14" s="176">
        <f>Data!AF150</f>
        <v>4085245.4599999934</v>
      </c>
      <c r="AG14" s="176">
        <f>Data!AG150</f>
        <v>4772245.5800000029</v>
      </c>
      <c r="AH14" s="176">
        <f>Data!AH150</f>
        <v>4334363.0299999816</v>
      </c>
      <c r="AI14" s="176">
        <f>Data!AI150</f>
        <v>4241037.1699999971</v>
      </c>
      <c r="AJ14" s="176">
        <f>Data!AJ150</f>
        <v>4292217.069999991</v>
      </c>
      <c r="AK14" s="176">
        <f>Data!AK150</f>
        <v>3917198.8800000069</v>
      </c>
      <c r="AL14" s="176">
        <f>Data!AL150</f>
        <v>1157133.2399999991</v>
      </c>
    </row>
    <row r="15" spans="1:38" x14ac:dyDescent="0.2">
      <c r="A15" s="7" t="s">
        <v>19</v>
      </c>
      <c r="B15" s="7"/>
      <c r="C15" s="176">
        <f>Data!C151</f>
        <v>2758228.870000001</v>
      </c>
      <c r="D15" s="176">
        <f>Data!D151</f>
        <v>2413459.6700000009</v>
      </c>
      <c r="E15" s="176">
        <f>Data!E151</f>
        <v>2817583.8499999954</v>
      </c>
      <c r="F15" s="176">
        <f>Data!F151</f>
        <v>3293011.9000000008</v>
      </c>
      <c r="G15" s="176">
        <f>Data!G151</f>
        <v>3837704.4699999997</v>
      </c>
      <c r="H15" s="176">
        <f>Data!H151</f>
        <v>3847724.7299999911</v>
      </c>
      <c r="I15" s="176">
        <f>Data!I151</f>
        <v>3910862.6799999974</v>
      </c>
      <c r="J15" s="176">
        <f>Data!J151</f>
        <v>3688910.6699999971</v>
      </c>
      <c r="K15" s="176">
        <f>Data!K151</f>
        <v>3651497.25</v>
      </c>
      <c r="L15" s="176">
        <f>Data!L151</f>
        <v>3051570.8500000075</v>
      </c>
      <c r="M15" s="176">
        <f>Data!M151</f>
        <v>2981651.6700000037</v>
      </c>
      <c r="N15" s="176">
        <f>Data!N151</f>
        <v>3657805.0500000073</v>
      </c>
      <c r="O15" s="176">
        <f>Data!O151</f>
        <v>3731176.8900000146</v>
      </c>
      <c r="P15" s="176">
        <f>Data!P151</f>
        <v>3904348.930000009</v>
      </c>
      <c r="Q15" s="176">
        <f>Data!Q151</f>
        <v>4672203.3200000189</v>
      </c>
      <c r="R15" s="176">
        <f>Data!R151</f>
        <v>4500176.2900000159</v>
      </c>
      <c r="S15" s="176">
        <f>Data!S151</f>
        <v>5285358.6400000276</v>
      </c>
      <c r="T15" s="176">
        <f>Data!T151</f>
        <v>4678705.4400000237</v>
      </c>
      <c r="U15" s="176">
        <f>Data!U151</f>
        <v>4745118.3400000175</v>
      </c>
      <c r="V15" s="176">
        <f>Data!V151</f>
        <v>4471276.5200000191</v>
      </c>
      <c r="W15" s="176">
        <f>Data!W151</f>
        <v>4566877.2700000247</v>
      </c>
      <c r="X15" s="176">
        <f>Data!X151</f>
        <v>4067307.5499999886</v>
      </c>
      <c r="Y15" s="176">
        <f>Data!Y151</f>
        <v>4285002.2799999891</v>
      </c>
      <c r="Z15" s="176">
        <f>Data!Z151</f>
        <v>5191887.7699999716</v>
      </c>
      <c r="AA15" s="176">
        <f>Data!AA151</f>
        <v>4295486.0799999908</v>
      </c>
      <c r="AB15" s="176">
        <f>Data!AB151</f>
        <v>4746289.8999999966</v>
      </c>
      <c r="AC15" s="176">
        <f>Data!AC151</f>
        <v>4783527.6499999864</v>
      </c>
      <c r="AD15" s="176">
        <f>Data!AD151</f>
        <v>4600661.3599999892</v>
      </c>
      <c r="AE15" s="176">
        <f>Data!AE151</f>
        <v>5233719.1299999822</v>
      </c>
      <c r="AF15" s="176">
        <f>Data!AF151</f>
        <v>4855919.2499999935</v>
      </c>
      <c r="AG15" s="176">
        <f>Data!AG151</f>
        <v>5521340.1500000022</v>
      </c>
      <c r="AH15" s="176">
        <f>Data!AH151</f>
        <v>5203623.8699999806</v>
      </c>
      <c r="AI15" s="176">
        <f>Data!AI151</f>
        <v>5057392.3199999975</v>
      </c>
      <c r="AJ15" s="176">
        <f>Data!AJ151</f>
        <v>5174161.2699999912</v>
      </c>
      <c r="AK15" s="176">
        <f>Data!AK151</f>
        <v>3917198.8800000069</v>
      </c>
      <c r="AL15" s="176">
        <f>Data!AL151</f>
        <v>1157133.2399999991</v>
      </c>
    </row>
    <row r="16" spans="1:38" x14ac:dyDescent="0.2">
      <c r="A16" s="7" t="s">
        <v>20</v>
      </c>
      <c r="B16" s="7"/>
      <c r="C16" s="176">
        <f>Data!C152</f>
        <v>3041865.3200000017</v>
      </c>
      <c r="D16" s="176">
        <f>Data!D152</f>
        <v>3031550.700000002</v>
      </c>
      <c r="E16" s="176">
        <f>Data!E152</f>
        <v>3336910.2199999965</v>
      </c>
      <c r="F16" s="176">
        <f>Data!F152</f>
        <v>3549821.310000001</v>
      </c>
      <c r="G16" s="176">
        <f>Data!G152</f>
        <v>4230365.74</v>
      </c>
      <c r="H16" s="176">
        <f>Data!H152</f>
        <v>4234770.9299999913</v>
      </c>
      <c r="I16" s="176">
        <f>Data!I152</f>
        <v>4221225.5799999982</v>
      </c>
      <c r="J16" s="176">
        <f>Data!J152</f>
        <v>4172075.1599999978</v>
      </c>
      <c r="K16" s="176">
        <f>Data!K152</f>
        <v>4277458.1800000006</v>
      </c>
      <c r="L16" s="176">
        <f>Data!L152</f>
        <v>3273398.1800000072</v>
      </c>
      <c r="M16" s="176">
        <f>Data!M152</f>
        <v>3217521.2500000037</v>
      </c>
      <c r="N16" s="176">
        <f>Data!N152</f>
        <v>4099224.1400000071</v>
      </c>
      <c r="O16" s="176">
        <f>Data!O152</f>
        <v>4104165.5900000148</v>
      </c>
      <c r="P16" s="176">
        <f>Data!P152</f>
        <v>4757641.3300000085</v>
      </c>
      <c r="Q16" s="176">
        <f>Data!Q152</f>
        <v>4884433.1300000185</v>
      </c>
      <c r="R16" s="176">
        <f>Data!R152</f>
        <v>4677718.2700000163</v>
      </c>
      <c r="S16" s="176">
        <f>Data!S152</f>
        <v>5553460.1700000279</v>
      </c>
      <c r="T16" s="176">
        <f>Data!T152</f>
        <v>4935752.4600000232</v>
      </c>
      <c r="U16" s="176">
        <f>Data!U152</f>
        <v>4989837.3200000171</v>
      </c>
      <c r="V16" s="176">
        <f>Data!V152</f>
        <v>4695429.1200000187</v>
      </c>
      <c r="W16" s="176">
        <f>Data!W152</f>
        <v>4780539.1200000243</v>
      </c>
      <c r="X16" s="176">
        <f>Data!X152</f>
        <v>4236286.8599999882</v>
      </c>
      <c r="Y16" s="176">
        <f>Data!Y152</f>
        <v>4501015.4599999897</v>
      </c>
      <c r="Z16" s="176">
        <f>Data!Z152</f>
        <v>5399659.9999999711</v>
      </c>
      <c r="AA16" s="176">
        <f>Data!AA152</f>
        <v>4528693.7099999906</v>
      </c>
      <c r="AB16" s="176">
        <f>Data!AB152</f>
        <v>4975772.5099999961</v>
      </c>
      <c r="AC16" s="176">
        <f>Data!AC152</f>
        <v>5111272.5599999866</v>
      </c>
      <c r="AD16" s="176">
        <f>Data!AD152</f>
        <v>4887649.2899999889</v>
      </c>
      <c r="AE16" s="176">
        <f>Data!AE152</f>
        <v>5600511.3999999827</v>
      </c>
      <c r="AF16" s="176">
        <f>Data!AF152</f>
        <v>5115522.2199999932</v>
      </c>
      <c r="AG16" s="176">
        <f>Data!AG152</f>
        <v>5884706.5400000019</v>
      </c>
      <c r="AH16" s="176">
        <f>Data!AH152</f>
        <v>5591103.0099999802</v>
      </c>
      <c r="AI16" s="176">
        <f>Data!AI152</f>
        <v>5294588.3699999973</v>
      </c>
      <c r="AJ16" s="176">
        <f>Data!AJ152</f>
        <v>5174161.2699999912</v>
      </c>
      <c r="AK16" s="176">
        <f>Data!AK152</f>
        <v>3917198.8800000069</v>
      </c>
      <c r="AL16" s="176">
        <f>Data!AL152</f>
        <v>1157133.2399999991</v>
      </c>
    </row>
    <row r="17" spans="1:38" x14ac:dyDescent="0.2">
      <c r="A17" s="7" t="s">
        <v>21</v>
      </c>
      <c r="B17" s="7"/>
      <c r="C17" s="176">
        <f>Data!C153</f>
        <v>3291431.3900000015</v>
      </c>
      <c r="D17" s="176">
        <f>Data!D153</f>
        <v>3257269.8200000022</v>
      </c>
      <c r="E17" s="176">
        <f>Data!E153</f>
        <v>3496548.5399999963</v>
      </c>
      <c r="F17" s="176">
        <f>Data!F153</f>
        <v>3783614.1500000008</v>
      </c>
      <c r="G17" s="176">
        <f>Data!G153</f>
        <v>4543939.9400000004</v>
      </c>
      <c r="H17" s="176">
        <f>Data!H153</f>
        <v>4390173.4999999916</v>
      </c>
      <c r="I17" s="176">
        <f>Data!I153</f>
        <v>4418525.7599999979</v>
      </c>
      <c r="J17" s="176">
        <f>Data!J153</f>
        <v>4455410.5799999982</v>
      </c>
      <c r="K17" s="176">
        <f>Data!K153</f>
        <v>4508878.4800000004</v>
      </c>
      <c r="L17" s="176">
        <f>Data!L153</f>
        <v>3475478.5300000072</v>
      </c>
      <c r="M17" s="176">
        <f>Data!M153</f>
        <v>3439883.0200000037</v>
      </c>
      <c r="N17" s="176">
        <f>Data!N153</f>
        <v>4489151.6500000069</v>
      </c>
      <c r="O17" s="176">
        <f>Data!O153</f>
        <v>4629872.2100000158</v>
      </c>
      <c r="P17" s="176">
        <f>Data!P153</f>
        <v>4904750.7500000084</v>
      </c>
      <c r="Q17" s="176">
        <f>Data!Q153</f>
        <v>4950007.360000019</v>
      </c>
      <c r="R17" s="176">
        <f>Data!R153</f>
        <v>4778369.0800000159</v>
      </c>
      <c r="S17" s="176">
        <f>Data!S153</f>
        <v>5613196.0000000279</v>
      </c>
      <c r="T17" s="176">
        <f>Data!T153</f>
        <v>4991264.2600000231</v>
      </c>
      <c r="U17" s="176">
        <f>Data!U153</f>
        <v>5082926.3500000173</v>
      </c>
      <c r="V17" s="176">
        <f>Data!V153</f>
        <v>4767033.2600000184</v>
      </c>
      <c r="W17" s="176">
        <f>Data!W153</f>
        <v>4835348.0000000242</v>
      </c>
      <c r="X17" s="176">
        <f>Data!X153</f>
        <v>4330296.0399999879</v>
      </c>
      <c r="Y17" s="176">
        <f>Data!Y153</f>
        <v>4555024.1299999896</v>
      </c>
      <c r="Z17" s="176">
        <f>Data!Z153</f>
        <v>5496666.2399999714</v>
      </c>
      <c r="AA17" s="176">
        <f>Data!AA153</f>
        <v>4601069.6599999908</v>
      </c>
      <c r="AB17" s="176">
        <f>Data!AB153</f>
        <v>5093287.7799999965</v>
      </c>
      <c r="AC17" s="176">
        <f>Data!AC153</f>
        <v>5255853.8699999861</v>
      </c>
      <c r="AD17" s="176">
        <f>Data!AD153</f>
        <v>4970176.6499999892</v>
      </c>
      <c r="AE17" s="176">
        <f>Data!AE153</f>
        <v>5695164.6099999826</v>
      </c>
      <c r="AF17" s="176">
        <f>Data!AF153</f>
        <v>5196123.9999999935</v>
      </c>
      <c r="AG17" s="176">
        <f>Data!AG153</f>
        <v>6059983.1800000016</v>
      </c>
      <c r="AH17" s="176">
        <f>Data!AH153</f>
        <v>5691598.2099999804</v>
      </c>
      <c r="AI17" s="176">
        <f>Data!AI153</f>
        <v>5294588.3699999973</v>
      </c>
      <c r="AJ17" s="176">
        <f>Data!AJ153</f>
        <v>5174161.2699999912</v>
      </c>
      <c r="AK17" s="176">
        <f>Data!AK153</f>
        <v>3917198.8800000069</v>
      </c>
      <c r="AL17" s="176">
        <f>Data!AL153</f>
        <v>1157133.2399999991</v>
      </c>
    </row>
    <row r="18" spans="1:38" x14ac:dyDescent="0.2">
      <c r="A18" s="7" t="s">
        <v>22</v>
      </c>
      <c r="B18" s="7"/>
      <c r="C18" s="176">
        <f>Data!C154</f>
        <v>3409382.0200000014</v>
      </c>
      <c r="D18" s="176">
        <f>Data!D154</f>
        <v>3432465.430000002</v>
      </c>
      <c r="E18" s="176">
        <f>Data!E154</f>
        <v>3710666.7999999966</v>
      </c>
      <c r="F18" s="176">
        <f>Data!F154</f>
        <v>4037234.0700000008</v>
      </c>
      <c r="G18" s="176">
        <f>Data!G154</f>
        <v>4638748.37</v>
      </c>
      <c r="H18" s="176">
        <f>Data!H154</f>
        <v>4494814.2499999916</v>
      </c>
      <c r="I18" s="176">
        <f>Data!I154</f>
        <v>4567083.0999999978</v>
      </c>
      <c r="J18" s="176">
        <f>Data!J154</f>
        <v>4553022.4299999978</v>
      </c>
      <c r="K18" s="176">
        <f>Data!K154</f>
        <v>4665824.2600000007</v>
      </c>
      <c r="L18" s="176">
        <f>Data!L154</f>
        <v>3636655.8800000073</v>
      </c>
      <c r="M18" s="176">
        <f>Data!M154</f>
        <v>3710108.4900000035</v>
      </c>
      <c r="N18" s="176">
        <f>Data!N154</f>
        <v>4886867.3000000073</v>
      </c>
      <c r="O18" s="176">
        <f>Data!O154</f>
        <v>4742728.660000016</v>
      </c>
      <c r="P18" s="176">
        <f>Data!P154</f>
        <v>4934677.4100000085</v>
      </c>
      <c r="Q18" s="176">
        <f>Data!Q154</f>
        <v>4996935.8300000187</v>
      </c>
      <c r="R18" s="176">
        <f>Data!R154</f>
        <v>4816255.6500000162</v>
      </c>
      <c r="S18" s="176">
        <f>Data!S154</f>
        <v>5648039.1100000283</v>
      </c>
      <c r="T18" s="176">
        <f>Data!T154</f>
        <v>5067424.6400000229</v>
      </c>
      <c r="U18" s="176">
        <f>Data!U154</f>
        <v>5120645.3500000173</v>
      </c>
      <c r="V18" s="176">
        <f>Data!V154</f>
        <v>4793348.4300000183</v>
      </c>
      <c r="W18" s="176">
        <f>Data!W154</f>
        <v>4886188.4200000241</v>
      </c>
      <c r="X18" s="176">
        <f>Data!X154</f>
        <v>4357187.4199999878</v>
      </c>
      <c r="Y18" s="176">
        <f>Data!Y154</f>
        <v>4616675.7999999896</v>
      </c>
      <c r="Z18" s="176">
        <f>Data!Z154</f>
        <v>5562684.2199999718</v>
      </c>
      <c r="AA18" s="176">
        <f>Data!AA154</f>
        <v>4653120.9599999906</v>
      </c>
      <c r="AB18" s="176">
        <f>Data!AB154</f>
        <v>5151003.2199999969</v>
      </c>
      <c r="AC18" s="176">
        <f>Data!AC154</f>
        <v>5322215.6499999864</v>
      </c>
      <c r="AD18" s="176">
        <f>Data!AD154</f>
        <v>4998306.0799999889</v>
      </c>
      <c r="AE18" s="176">
        <f>Data!AE154</f>
        <v>5738395.7399999825</v>
      </c>
      <c r="AF18" s="176">
        <f>Data!AF154</f>
        <v>5251117.2799999937</v>
      </c>
      <c r="AG18" s="176">
        <f>Data!AG154</f>
        <v>6118778.3800000018</v>
      </c>
      <c r="AH18" s="176">
        <f>Data!AH154</f>
        <v>5691598.2099999804</v>
      </c>
      <c r="AI18" s="176">
        <f>Data!AI154</f>
        <v>5294588.3699999973</v>
      </c>
      <c r="AJ18" s="176">
        <f>Data!AJ154</f>
        <v>5174161.2699999912</v>
      </c>
      <c r="AK18" s="176">
        <f>Data!AK154</f>
        <v>3917198.8800000069</v>
      </c>
      <c r="AL18" s="176">
        <f>Data!AL154</f>
        <v>1157133.2399999991</v>
      </c>
    </row>
    <row r="19" spans="1:38" x14ac:dyDescent="0.2">
      <c r="A19" s="7" t="s">
        <v>23</v>
      </c>
      <c r="B19" s="7"/>
      <c r="C19" s="176">
        <f>Data!C155</f>
        <v>3463605.7800000012</v>
      </c>
      <c r="D19" s="176">
        <f>Data!D155</f>
        <v>3556024.3200000022</v>
      </c>
      <c r="E19" s="176">
        <f>Data!E155</f>
        <v>3919564.9499999965</v>
      </c>
      <c r="F19" s="176">
        <f>Data!F155</f>
        <v>4084167.2800000007</v>
      </c>
      <c r="G19" s="176">
        <f>Data!G155</f>
        <v>4690413.05</v>
      </c>
      <c r="H19" s="176">
        <f>Data!H155</f>
        <v>4612602.7299999921</v>
      </c>
      <c r="I19" s="176">
        <f>Data!I155</f>
        <v>4661861.5999999978</v>
      </c>
      <c r="J19" s="176">
        <f>Data!J155</f>
        <v>4651100.2099999981</v>
      </c>
      <c r="K19" s="176">
        <f>Data!K155</f>
        <v>4808563.2100000009</v>
      </c>
      <c r="L19" s="176">
        <f>Data!L155</f>
        <v>3875697.5600000075</v>
      </c>
      <c r="M19" s="176">
        <f>Data!M155</f>
        <v>3863755.6500000032</v>
      </c>
      <c r="N19" s="176">
        <f>Data!N155</f>
        <v>4994901.2000000076</v>
      </c>
      <c r="O19" s="176">
        <f>Data!O155</f>
        <v>4763026.8700000159</v>
      </c>
      <c r="P19" s="176">
        <f>Data!P155</f>
        <v>4953751.4800000088</v>
      </c>
      <c r="Q19" s="176">
        <f>Data!Q155</f>
        <v>5017202.8300000187</v>
      </c>
      <c r="R19" s="176">
        <f>Data!R155</f>
        <v>4849104.6700000158</v>
      </c>
      <c r="S19" s="176">
        <f>Data!S155</f>
        <v>5677727.3700000281</v>
      </c>
      <c r="T19" s="176">
        <f>Data!T155</f>
        <v>5096322.4600000232</v>
      </c>
      <c r="U19" s="176">
        <f>Data!U155</f>
        <v>5151396.3000000175</v>
      </c>
      <c r="V19" s="176">
        <f>Data!V155</f>
        <v>4852361.7300000181</v>
      </c>
      <c r="W19" s="176">
        <f>Data!W155</f>
        <v>4908061.9400000237</v>
      </c>
      <c r="X19" s="176">
        <f>Data!X155</f>
        <v>4413454.7699999874</v>
      </c>
      <c r="Y19" s="176">
        <f>Data!Y155</f>
        <v>4657535.4099999899</v>
      </c>
      <c r="Z19" s="176">
        <f>Data!Z155</f>
        <v>5646098.3699999722</v>
      </c>
      <c r="AA19" s="176">
        <f>Data!AA155</f>
        <v>4691706.8899999904</v>
      </c>
      <c r="AB19" s="176">
        <f>Data!AB155</f>
        <v>5177480.009999997</v>
      </c>
      <c r="AC19" s="176">
        <f>Data!AC155</f>
        <v>5371934.0099999867</v>
      </c>
      <c r="AD19" s="176">
        <f>Data!AD155</f>
        <v>5040062.6699999887</v>
      </c>
      <c r="AE19" s="176">
        <f>Data!AE155</f>
        <v>5782850.8599999826</v>
      </c>
      <c r="AF19" s="176">
        <f>Data!AF155</f>
        <v>5279025.1699999934</v>
      </c>
      <c r="AG19" s="176">
        <f>Data!AG155</f>
        <v>6118778.3800000018</v>
      </c>
      <c r="AH19" s="176">
        <f>Data!AH155</f>
        <v>5691598.2099999804</v>
      </c>
      <c r="AI19" s="176">
        <f>Data!AI155</f>
        <v>5294588.3699999973</v>
      </c>
      <c r="AJ19" s="176">
        <f>Data!AJ155</f>
        <v>5174161.2699999912</v>
      </c>
      <c r="AK19" s="176">
        <f>Data!AK155</f>
        <v>3917198.8800000069</v>
      </c>
      <c r="AL19" s="176">
        <f>Data!AL155</f>
        <v>1157133.2399999991</v>
      </c>
    </row>
    <row r="20" spans="1:38" x14ac:dyDescent="0.2">
      <c r="A20" s="7" t="s">
        <v>24</v>
      </c>
      <c r="B20" s="7"/>
      <c r="C20" s="176">
        <f>Data!C156</f>
        <v>3591794.1700000013</v>
      </c>
      <c r="D20" s="176">
        <f>Data!D156</f>
        <v>3668236.620000002</v>
      </c>
      <c r="E20" s="176">
        <f>Data!E156</f>
        <v>3950051.7599999965</v>
      </c>
      <c r="F20" s="176">
        <f>Data!F156</f>
        <v>4121187.7000000007</v>
      </c>
      <c r="G20" s="176">
        <f>Data!G156</f>
        <v>4739774.6499999994</v>
      </c>
      <c r="H20" s="176">
        <f>Data!H156</f>
        <v>4673486.2199999923</v>
      </c>
      <c r="I20" s="176">
        <f>Data!I156</f>
        <v>4744224.9099999974</v>
      </c>
      <c r="J20" s="176">
        <f>Data!J156</f>
        <v>4784403.4399999976</v>
      </c>
      <c r="K20" s="176">
        <f>Data!K156</f>
        <v>5017908.1900000013</v>
      </c>
      <c r="L20" s="176">
        <f>Data!L156</f>
        <v>3975885.7400000077</v>
      </c>
      <c r="M20" s="176">
        <f>Data!M156</f>
        <v>3965304.7800000031</v>
      </c>
      <c r="N20" s="176">
        <f>Data!N156</f>
        <v>5016745.060000008</v>
      </c>
      <c r="O20" s="176">
        <f>Data!O156</f>
        <v>4779002.4000000162</v>
      </c>
      <c r="P20" s="176">
        <f>Data!P156</f>
        <v>4994860.6500000088</v>
      </c>
      <c r="Q20" s="176">
        <f>Data!Q156</f>
        <v>5031066.6200000187</v>
      </c>
      <c r="R20" s="176">
        <f>Data!R156</f>
        <v>4872841.9300000155</v>
      </c>
      <c r="S20" s="176">
        <f>Data!S156</f>
        <v>5701211.3700000281</v>
      </c>
      <c r="T20" s="176">
        <f>Data!T156</f>
        <v>5117783.0700000236</v>
      </c>
      <c r="U20" s="176">
        <f>Data!U156</f>
        <v>5182518.1200000178</v>
      </c>
      <c r="V20" s="176">
        <f>Data!V156</f>
        <v>4886504.7900000177</v>
      </c>
      <c r="W20" s="176">
        <f>Data!W156</f>
        <v>4955463.6700000241</v>
      </c>
      <c r="X20" s="176">
        <f>Data!X156</f>
        <v>4452739.249999987</v>
      </c>
      <c r="Y20" s="176">
        <f>Data!Y156</f>
        <v>4689161.7999999896</v>
      </c>
      <c r="Z20" s="176">
        <f>Data!Z156</f>
        <v>5687128.0899999719</v>
      </c>
      <c r="AA20" s="176">
        <f>Data!AA156</f>
        <v>4710602.02999999</v>
      </c>
      <c r="AB20" s="176">
        <f>Data!AB156</f>
        <v>5247587.6199999973</v>
      </c>
      <c r="AC20" s="176">
        <f>Data!AC156</f>
        <v>5392302.6299999868</v>
      </c>
      <c r="AD20" s="176">
        <f>Data!AD156</f>
        <v>5079925.0899999887</v>
      </c>
      <c r="AE20" s="176">
        <f>Data!AE156</f>
        <v>5836334.2899999823</v>
      </c>
      <c r="AF20" s="176">
        <f>Data!AF156</f>
        <v>5279025.1699999934</v>
      </c>
      <c r="AG20" s="176">
        <f>Data!AG156</f>
        <v>6118778.3800000018</v>
      </c>
      <c r="AH20" s="176">
        <f>Data!AH156</f>
        <v>5691598.2099999804</v>
      </c>
      <c r="AI20" s="176">
        <f>Data!AI156</f>
        <v>5294588.3699999973</v>
      </c>
      <c r="AJ20" s="176">
        <f>Data!AJ156</f>
        <v>5174161.2699999912</v>
      </c>
      <c r="AK20" s="176">
        <f>Data!AK156</f>
        <v>3917198.8800000069</v>
      </c>
      <c r="AL20" s="176">
        <f>Data!AL156</f>
        <v>1157133.2399999991</v>
      </c>
    </row>
    <row r="21" spans="1:38" x14ac:dyDescent="0.2">
      <c r="A21" s="7" t="s">
        <v>25</v>
      </c>
      <c r="B21" s="7"/>
      <c r="C21" s="176">
        <f>Data!C157</f>
        <v>3658209.9700000011</v>
      </c>
      <c r="D21" s="176">
        <f>Data!D157</f>
        <v>3696334.5100000021</v>
      </c>
      <c r="E21" s="176">
        <f>Data!E157</f>
        <v>3971429.7399999965</v>
      </c>
      <c r="F21" s="176">
        <f>Data!F157</f>
        <v>4162182.1600000006</v>
      </c>
      <c r="G21" s="176">
        <f>Data!G157</f>
        <v>4770827.3199999994</v>
      </c>
      <c r="H21" s="176">
        <f>Data!H157</f>
        <v>4733727.8399999924</v>
      </c>
      <c r="I21" s="176">
        <f>Data!I157</f>
        <v>4779884.9899999974</v>
      </c>
      <c r="J21" s="176">
        <f>Data!J157</f>
        <v>4871160.3499999978</v>
      </c>
      <c r="K21" s="176">
        <f>Data!K157</f>
        <v>5097601.7300000014</v>
      </c>
      <c r="L21" s="176">
        <f>Data!L157</f>
        <v>4038332.5600000075</v>
      </c>
      <c r="M21" s="176">
        <f>Data!M157</f>
        <v>3977502.6700000032</v>
      </c>
      <c r="N21" s="176">
        <f>Data!N157</f>
        <v>5047123.0400000084</v>
      </c>
      <c r="O21" s="176">
        <f>Data!O157</f>
        <v>4795108.0500000166</v>
      </c>
      <c r="P21" s="176">
        <f>Data!P157</f>
        <v>5016444.180000009</v>
      </c>
      <c r="Q21" s="176">
        <f>Data!Q157</f>
        <v>5073645.4100000188</v>
      </c>
      <c r="R21" s="176">
        <f>Data!R157</f>
        <v>4885464.5800000159</v>
      </c>
      <c r="S21" s="176">
        <f>Data!S157</f>
        <v>5744349.3900000276</v>
      </c>
      <c r="T21" s="176">
        <f>Data!T157</f>
        <v>5138527.7100000232</v>
      </c>
      <c r="U21" s="176">
        <f>Data!U157</f>
        <v>5203899.6000000183</v>
      </c>
      <c r="V21" s="176">
        <f>Data!V157</f>
        <v>4911047.6700000176</v>
      </c>
      <c r="W21" s="176">
        <f>Data!W157</f>
        <v>4980586.0800000243</v>
      </c>
      <c r="X21" s="176">
        <f>Data!X157</f>
        <v>4496301.6599999871</v>
      </c>
      <c r="Y21" s="176">
        <f>Data!Y157</f>
        <v>4716170.9099999899</v>
      </c>
      <c r="Z21" s="176">
        <f>Data!Z157</f>
        <v>5699318.3799999719</v>
      </c>
      <c r="AA21" s="176">
        <f>Data!AA157</f>
        <v>4728344.0499999896</v>
      </c>
      <c r="AB21" s="176">
        <f>Data!AB157</f>
        <v>5271888.3299999973</v>
      </c>
      <c r="AC21" s="176">
        <f>Data!AC157</f>
        <v>5421825.9399999864</v>
      </c>
      <c r="AD21" s="176">
        <f>Data!AD157</f>
        <v>5091384.0599999884</v>
      </c>
      <c r="AE21" s="176">
        <f>Data!AE157</f>
        <v>5836334.2899999823</v>
      </c>
      <c r="AF21" s="176">
        <f>Data!AF157</f>
        <v>5279025.1699999934</v>
      </c>
      <c r="AG21" s="176">
        <f>Data!AG157</f>
        <v>6118778.3800000018</v>
      </c>
      <c r="AH21" s="176">
        <f>Data!AH157</f>
        <v>5691598.2099999804</v>
      </c>
      <c r="AI21" s="176">
        <f>Data!AI157</f>
        <v>5294588.3699999973</v>
      </c>
      <c r="AJ21" s="176">
        <f>Data!AJ157</f>
        <v>5174161.2699999912</v>
      </c>
      <c r="AK21" s="176">
        <f>Data!AK157</f>
        <v>3917198.8800000069</v>
      </c>
      <c r="AL21" s="176">
        <f>Data!AL157</f>
        <v>1157133.2399999991</v>
      </c>
    </row>
    <row r="22" spans="1:38" x14ac:dyDescent="0.2">
      <c r="A22" s="7" t="s">
        <v>26</v>
      </c>
      <c r="B22" s="7"/>
      <c r="C22" s="176">
        <f>Data!C158</f>
        <v>3682554.1900000013</v>
      </c>
      <c r="D22" s="176">
        <f>Data!D158</f>
        <v>3722157.9800000023</v>
      </c>
      <c r="E22" s="176">
        <f>Data!E158</f>
        <v>3996378.1599999964</v>
      </c>
      <c r="F22" s="176">
        <f>Data!F158</f>
        <v>4182207.8300000005</v>
      </c>
      <c r="G22" s="176">
        <f>Data!G158</f>
        <v>4808661.47</v>
      </c>
      <c r="H22" s="176">
        <f>Data!H158</f>
        <v>4766417.0899999924</v>
      </c>
      <c r="I22" s="176">
        <f>Data!I158</f>
        <v>4863002.0699999975</v>
      </c>
      <c r="J22" s="176">
        <f>Data!J158</f>
        <v>4909363.9799999977</v>
      </c>
      <c r="K22" s="176">
        <f>Data!K158</f>
        <v>5234949.330000001</v>
      </c>
      <c r="L22" s="176">
        <f>Data!L158</f>
        <v>4052913.8700000076</v>
      </c>
      <c r="M22" s="176">
        <f>Data!M158</f>
        <v>4016529.2500000033</v>
      </c>
      <c r="N22" s="176">
        <f>Data!N158</f>
        <v>5066728.0500000082</v>
      </c>
      <c r="O22" s="176">
        <f>Data!O158</f>
        <v>4820958.3500000164</v>
      </c>
      <c r="P22" s="176">
        <f>Data!P158</f>
        <v>5050400.7600000091</v>
      </c>
      <c r="Q22" s="176">
        <f>Data!Q158</f>
        <v>5093751.3500000192</v>
      </c>
      <c r="R22" s="176">
        <f>Data!R158</f>
        <v>4899995.1400000155</v>
      </c>
      <c r="S22" s="176">
        <f>Data!S158</f>
        <v>5759300.1100000273</v>
      </c>
      <c r="T22" s="176">
        <f>Data!T158</f>
        <v>5168191.680000023</v>
      </c>
      <c r="U22" s="176">
        <f>Data!U158</f>
        <v>5215302.9600000186</v>
      </c>
      <c r="V22" s="176">
        <f>Data!V158</f>
        <v>4926991.6400000174</v>
      </c>
      <c r="W22" s="176">
        <f>Data!W158</f>
        <v>5012672.6500000246</v>
      </c>
      <c r="X22" s="176">
        <f>Data!X158</f>
        <v>4517243.1299999868</v>
      </c>
      <c r="Y22" s="176">
        <f>Data!Y158</f>
        <v>4731436.73999999</v>
      </c>
      <c r="Z22" s="176">
        <f>Data!Z158</f>
        <v>5720173.1799999718</v>
      </c>
      <c r="AA22" s="176">
        <f>Data!AA158</f>
        <v>4746352.8199999891</v>
      </c>
      <c r="AB22" s="176">
        <f>Data!AB158</f>
        <v>5292234.6299999971</v>
      </c>
      <c r="AC22" s="176">
        <f>Data!AC158</f>
        <v>5428880.2999999868</v>
      </c>
      <c r="AD22" s="176">
        <f>Data!AD158</f>
        <v>5091384.0599999884</v>
      </c>
      <c r="AE22" s="176">
        <f>Data!AE158</f>
        <v>5836334.2899999823</v>
      </c>
      <c r="AF22" s="176">
        <f>Data!AF158</f>
        <v>5279025.1699999934</v>
      </c>
      <c r="AG22" s="176">
        <f>Data!AG158</f>
        <v>6118778.3800000018</v>
      </c>
      <c r="AH22" s="176">
        <f>Data!AH158</f>
        <v>5691598.2099999804</v>
      </c>
      <c r="AI22" s="176">
        <f>Data!AI158</f>
        <v>5294588.3699999973</v>
      </c>
      <c r="AJ22" s="176">
        <f>Data!AJ158</f>
        <v>5174161.2699999912</v>
      </c>
      <c r="AK22" s="176">
        <f>Data!AK158</f>
        <v>3917198.8800000069</v>
      </c>
      <c r="AL22" s="176">
        <f>Data!AL158</f>
        <v>1157133.2399999991</v>
      </c>
    </row>
    <row r="23" spans="1:38" x14ac:dyDescent="0.2">
      <c r="A23" s="7" t="s">
        <v>27</v>
      </c>
      <c r="B23" s="7"/>
      <c r="C23" s="176">
        <f>Data!C159</f>
        <v>3698422.3900000015</v>
      </c>
      <c r="D23" s="176">
        <f>Data!D159</f>
        <v>3753424.2700000023</v>
      </c>
      <c r="E23" s="176">
        <f>Data!E159</f>
        <v>4020829.7999999966</v>
      </c>
      <c r="F23" s="176">
        <f>Data!F159</f>
        <v>4200258.66</v>
      </c>
      <c r="G23" s="176">
        <f>Data!G159</f>
        <v>4832217.18</v>
      </c>
      <c r="H23" s="176">
        <f>Data!H159</f>
        <v>4823355.5099999923</v>
      </c>
      <c r="I23" s="176">
        <f>Data!I159</f>
        <v>4893759.3799999971</v>
      </c>
      <c r="J23" s="176">
        <f>Data!J159</f>
        <v>4961673.6199999973</v>
      </c>
      <c r="K23" s="176">
        <f>Data!K159</f>
        <v>5262457.1900000013</v>
      </c>
      <c r="L23" s="176">
        <f>Data!L159</f>
        <v>4066312.4100000076</v>
      </c>
      <c r="M23" s="176">
        <f>Data!M159</f>
        <v>4058206.8000000031</v>
      </c>
      <c r="N23" s="176">
        <f>Data!N159</f>
        <v>5082682.7900000084</v>
      </c>
      <c r="O23" s="176">
        <f>Data!O159</f>
        <v>4828395.0600000164</v>
      </c>
      <c r="P23" s="176">
        <f>Data!P159</f>
        <v>5071243.6600000095</v>
      </c>
      <c r="Q23" s="176">
        <f>Data!Q159</f>
        <v>5109698.610000019</v>
      </c>
      <c r="R23" s="176">
        <f>Data!R159</f>
        <v>4924010.1400000155</v>
      </c>
      <c r="S23" s="176">
        <f>Data!S159</f>
        <v>5785460.000000027</v>
      </c>
      <c r="T23" s="176">
        <f>Data!T159</f>
        <v>5178879.5900000231</v>
      </c>
      <c r="U23" s="176">
        <f>Data!U159</f>
        <v>5226490.3100000182</v>
      </c>
      <c r="V23" s="176">
        <f>Data!V159</f>
        <v>4946509.0900000175</v>
      </c>
      <c r="W23" s="176">
        <f>Data!W159</f>
        <v>5033974.8100000247</v>
      </c>
      <c r="X23" s="176">
        <f>Data!X159</f>
        <v>4542013.289999987</v>
      </c>
      <c r="Y23" s="176">
        <f>Data!Y159</f>
        <v>4743115.0499999896</v>
      </c>
      <c r="Z23" s="176">
        <f>Data!Z159</f>
        <v>5735202.1199999722</v>
      </c>
      <c r="AA23" s="176">
        <f>Data!AA159</f>
        <v>4758156.8299999889</v>
      </c>
      <c r="AB23" s="176">
        <f>Data!AB159</f>
        <v>5316008.1099999975</v>
      </c>
      <c r="AC23" s="176">
        <f>Data!AC159</f>
        <v>5428880.2999999868</v>
      </c>
      <c r="AD23" s="176">
        <f>Data!AD159</f>
        <v>5091384.0599999884</v>
      </c>
      <c r="AE23" s="176">
        <f>Data!AE159</f>
        <v>5836334.2899999823</v>
      </c>
      <c r="AF23" s="176">
        <f>Data!AF159</f>
        <v>5279025.1699999934</v>
      </c>
      <c r="AG23" s="176">
        <f>Data!AG159</f>
        <v>6118778.3800000018</v>
      </c>
      <c r="AH23" s="176">
        <f>Data!AH159</f>
        <v>5691598.2099999804</v>
      </c>
      <c r="AI23" s="176">
        <f>Data!AI159</f>
        <v>5294588.3699999973</v>
      </c>
      <c r="AJ23" s="176">
        <f>Data!AJ159</f>
        <v>5174161.2699999912</v>
      </c>
      <c r="AK23" s="176">
        <f>Data!AK159</f>
        <v>3917198.8800000069</v>
      </c>
      <c r="AL23" s="176">
        <f>Data!AL159</f>
        <v>1157133.2399999991</v>
      </c>
    </row>
    <row r="24" spans="1:38" x14ac:dyDescent="0.2">
      <c r="A24" s="7" t="s">
        <v>28</v>
      </c>
      <c r="B24" s="7"/>
      <c r="C24" s="176">
        <f>Data!C160</f>
        <v>3730664.5500000017</v>
      </c>
      <c r="D24" s="176">
        <f>Data!D160</f>
        <v>3767460.1500000022</v>
      </c>
      <c r="E24" s="176">
        <f>Data!E160</f>
        <v>4037586.7799999965</v>
      </c>
      <c r="F24" s="176">
        <f>Data!F160</f>
        <v>4219028.74</v>
      </c>
      <c r="G24" s="176">
        <f>Data!G160</f>
        <v>4929984.3</v>
      </c>
      <c r="H24" s="176">
        <f>Data!H160</f>
        <v>4853171.5799999926</v>
      </c>
      <c r="I24" s="176">
        <f>Data!I160</f>
        <v>4979814.3999999966</v>
      </c>
      <c r="J24" s="176">
        <f>Data!J160</f>
        <v>4990987.9999999972</v>
      </c>
      <c r="K24" s="176">
        <f>Data!K160</f>
        <v>5312663.4600000009</v>
      </c>
      <c r="L24" s="176">
        <f>Data!L160</f>
        <v>4080134.8300000075</v>
      </c>
      <c r="M24" s="176">
        <f>Data!M160</f>
        <v>4083606.510000003</v>
      </c>
      <c r="N24" s="176">
        <f>Data!N160</f>
        <v>5088475.8000000082</v>
      </c>
      <c r="O24" s="176">
        <f>Data!O160</f>
        <v>4870586.1100000162</v>
      </c>
      <c r="P24" s="176">
        <f>Data!P160</f>
        <v>5085837.5700000096</v>
      </c>
      <c r="Q24" s="176">
        <f>Data!Q160</f>
        <v>5119716.7500000186</v>
      </c>
      <c r="R24" s="176">
        <f>Data!R160</f>
        <v>4935187.1200000159</v>
      </c>
      <c r="S24" s="176">
        <f>Data!S160</f>
        <v>5791226.5600000266</v>
      </c>
      <c r="T24" s="176">
        <f>Data!T160</f>
        <v>5213135.9900000235</v>
      </c>
      <c r="U24" s="176">
        <f>Data!U160</f>
        <v>5252461.9200000186</v>
      </c>
      <c r="V24" s="176">
        <f>Data!V160</f>
        <v>4956914.7600000175</v>
      </c>
      <c r="W24" s="176">
        <f>Data!W160</f>
        <v>5042364.6600000244</v>
      </c>
      <c r="X24" s="176">
        <f>Data!X160</f>
        <v>4554635.579999987</v>
      </c>
      <c r="Y24" s="176">
        <f>Data!Y160</f>
        <v>4750346.2599999895</v>
      </c>
      <c r="Z24" s="176">
        <f>Data!Z160</f>
        <v>5751488.2999999719</v>
      </c>
      <c r="AA24" s="176">
        <f>Data!AA160</f>
        <v>4763552.8999999892</v>
      </c>
      <c r="AB24" s="176">
        <f>Data!AB160</f>
        <v>5316008.1099999975</v>
      </c>
      <c r="AC24" s="176">
        <f>Data!AC160</f>
        <v>5428880.2999999868</v>
      </c>
      <c r="AD24" s="176">
        <f>Data!AD160</f>
        <v>5091384.0599999884</v>
      </c>
      <c r="AE24" s="176">
        <f>Data!AE160</f>
        <v>5836334.2899999823</v>
      </c>
      <c r="AF24" s="176">
        <f>Data!AF160</f>
        <v>5279025.1699999934</v>
      </c>
      <c r="AG24" s="176">
        <f>Data!AG160</f>
        <v>6118778.3800000018</v>
      </c>
      <c r="AH24" s="176">
        <f>Data!AH160</f>
        <v>5691598.2099999804</v>
      </c>
      <c r="AI24" s="176">
        <f>Data!AI160</f>
        <v>5294588.3699999973</v>
      </c>
      <c r="AJ24" s="176">
        <f>Data!AJ160</f>
        <v>5174161.2699999912</v>
      </c>
      <c r="AK24" s="176">
        <f>Data!AK160</f>
        <v>3917198.8800000069</v>
      </c>
      <c r="AL24" s="176">
        <f>Data!AL160</f>
        <v>1157133.2399999991</v>
      </c>
    </row>
    <row r="25" spans="1:38" x14ac:dyDescent="0.2">
      <c r="A25" s="7" t="s">
        <v>29</v>
      </c>
      <c r="B25" s="7"/>
      <c r="C25" s="176">
        <f>Data!C161</f>
        <v>3752586.2400000016</v>
      </c>
      <c r="D25" s="176">
        <f>Data!D161</f>
        <v>3784122.3700000024</v>
      </c>
      <c r="E25" s="176">
        <f>Data!E161</f>
        <v>4047377.7099999967</v>
      </c>
      <c r="F25" s="176">
        <f>Data!F161</f>
        <v>4236237.9800000004</v>
      </c>
      <c r="G25" s="176">
        <f>Data!G161</f>
        <v>4961457.1499999994</v>
      </c>
      <c r="H25" s="176">
        <f>Data!H161</f>
        <v>4921074.2399999928</v>
      </c>
      <c r="I25" s="176">
        <f>Data!I161</f>
        <v>5012348.3499999968</v>
      </c>
      <c r="J25" s="176">
        <f>Data!J161</f>
        <v>5035185.4399999976</v>
      </c>
      <c r="K25" s="176">
        <f>Data!K161</f>
        <v>5346903.9300000006</v>
      </c>
      <c r="L25" s="176">
        <f>Data!L161</f>
        <v>4139244.7600000077</v>
      </c>
      <c r="M25" s="176">
        <f>Data!M161</f>
        <v>4100769.7300000032</v>
      </c>
      <c r="N25" s="176">
        <f>Data!N161</f>
        <v>5099609.350000008</v>
      </c>
      <c r="O25" s="176">
        <f>Data!O161</f>
        <v>4883348.7800000161</v>
      </c>
      <c r="P25" s="176">
        <f>Data!P161</f>
        <v>5090755.9500000095</v>
      </c>
      <c r="Q25" s="176">
        <f>Data!Q161</f>
        <v>5135634.360000019</v>
      </c>
      <c r="R25" s="176">
        <f>Data!R161</f>
        <v>4947320.2400000161</v>
      </c>
      <c r="S25" s="176">
        <f>Data!S161</f>
        <v>5803156.8900000267</v>
      </c>
      <c r="T25" s="176">
        <f>Data!T161</f>
        <v>5222697.1300000232</v>
      </c>
      <c r="U25" s="176">
        <f>Data!U161</f>
        <v>5271889.4400000181</v>
      </c>
      <c r="V25" s="176">
        <f>Data!V161</f>
        <v>4975757.6700000176</v>
      </c>
      <c r="W25" s="176">
        <f>Data!W161</f>
        <v>5060676.3600000245</v>
      </c>
      <c r="X25" s="176">
        <f>Data!X161</f>
        <v>4562343.6299999868</v>
      </c>
      <c r="Y25" s="176">
        <f>Data!Y161</f>
        <v>4766759.2899999898</v>
      </c>
      <c r="Z25" s="176">
        <f>Data!Z161</f>
        <v>5761664.9499999722</v>
      </c>
      <c r="AA25" s="176">
        <f>Data!AA161</f>
        <v>4763552.8999999892</v>
      </c>
      <c r="AB25" s="176">
        <f>Data!AB161</f>
        <v>5316008.1099999975</v>
      </c>
      <c r="AC25" s="176">
        <f>Data!AC161</f>
        <v>5428880.2999999868</v>
      </c>
      <c r="AD25" s="176">
        <f>Data!AD161</f>
        <v>5091384.0599999884</v>
      </c>
      <c r="AE25" s="176">
        <f>Data!AE161</f>
        <v>5836334.2899999823</v>
      </c>
      <c r="AF25" s="176">
        <f>Data!AF161</f>
        <v>5279025.1699999934</v>
      </c>
      <c r="AG25" s="176">
        <f>Data!AG161</f>
        <v>6118778.3800000018</v>
      </c>
      <c r="AH25" s="176">
        <f>Data!AH161</f>
        <v>5691598.2099999804</v>
      </c>
      <c r="AI25" s="176">
        <f>Data!AI161</f>
        <v>5294588.3699999973</v>
      </c>
      <c r="AJ25" s="176">
        <f>Data!AJ161</f>
        <v>5174161.2699999912</v>
      </c>
      <c r="AK25" s="176">
        <f>Data!AK161</f>
        <v>3917198.8800000069</v>
      </c>
      <c r="AL25" s="176">
        <f>Data!AL161</f>
        <v>1157133.2399999991</v>
      </c>
    </row>
    <row r="26" spans="1:38" x14ac:dyDescent="0.2">
      <c r="A26" s="7" t="s">
        <v>30</v>
      </c>
      <c r="B26" s="7"/>
      <c r="C26" s="176">
        <f>Data!C162</f>
        <v>3760873.0300000017</v>
      </c>
      <c r="D26" s="176">
        <f>Data!D162</f>
        <v>3791201.1600000025</v>
      </c>
      <c r="E26" s="176">
        <f>Data!E162</f>
        <v>4069281.5899999966</v>
      </c>
      <c r="F26" s="176">
        <f>Data!F162</f>
        <v>4259242.03</v>
      </c>
      <c r="G26" s="176">
        <f>Data!G162</f>
        <v>5034389.3999999994</v>
      </c>
      <c r="H26" s="176">
        <f>Data!H162</f>
        <v>4935050.689999993</v>
      </c>
      <c r="I26" s="176">
        <f>Data!I162</f>
        <v>5038387.3899999969</v>
      </c>
      <c r="J26" s="176">
        <f>Data!J162</f>
        <v>5066728.9299999978</v>
      </c>
      <c r="K26" s="176">
        <f>Data!K162</f>
        <v>5357434.8100000005</v>
      </c>
      <c r="L26" s="176">
        <f>Data!L162</f>
        <v>4146392.5200000075</v>
      </c>
      <c r="M26" s="176">
        <f>Data!M162</f>
        <v>4105833.240000003</v>
      </c>
      <c r="N26" s="176">
        <f>Data!N162</f>
        <v>5110677.8700000076</v>
      </c>
      <c r="O26" s="176">
        <f>Data!O162</f>
        <v>4887582.6900000162</v>
      </c>
      <c r="P26" s="176">
        <f>Data!P162</f>
        <v>5108109.8700000094</v>
      </c>
      <c r="Q26" s="176">
        <f>Data!Q162</f>
        <v>5138539.5700000189</v>
      </c>
      <c r="R26" s="176">
        <f>Data!R162</f>
        <v>4959652.6100000162</v>
      </c>
      <c r="S26" s="176">
        <f>Data!S162</f>
        <v>5807948.3500000266</v>
      </c>
      <c r="T26" s="176">
        <f>Data!T162</f>
        <v>5228370.2900000233</v>
      </c>
      <c r="U26" s="176">
        <f>Data!U162</f>
        <v>5287502.9400000181</v>
      </c>
      <c r="V26" s="176">
        <f>Data!V162</f>
        <v>4993225.4400000172</v>
      </c>
      <c r="W26" s="176">
        <f>Data!W162</f>
        <v>5071070.7600000249</v>
      </c>
      <c r="X26" s="176">
        <f>Data!X162</f>
        <v>4573659.0199999865</v>
      </c>
      <c r="Y26" s="176">
        <f>Data!Y162</f>
        <v>4771663.9699999895</v>
      </c>
      <c r="Z26" s="176">
        <f>Data!Z162</f>
        <v>5761664.9499999722</v>
      </c>
      <c r="AA26" s="176">
        <f>Data!AA162</f>
        <v>4763552.8999999892</v>
      </c>
      <c r="AB26" s="176">
        <f>Data!AB162</f>
        <v>5316008.1099999975</v>
      </c>
      <c r="AC26" s="176">
        <f>Data!AC162</f>
        <v>5428880.2999999868</v>
      </c>
      <c r="AD26" s="176">
        <f>Data!AD162</f>
        <v>5091384.0599999884</v>
      </c>
      <c r="AE26" s="176">
        <f>Data!AE162</f>
        <v>5836334.2899999823</v>
      </c>
      <c r="AF26" s="176">
        <f>Data!AF162</f>
        <v>5279025.1699999934</v>
      </c>
      <c r="AG26" s="176">
        <f>Data!AG162</f>
        <v>6118778.3800000018</v>
      </c>
      <c r="AH26" s="176">
        <f>Data!AH162</f>
        <v>5691598.2099999804</v>
      </c>
      <c r="AI26" s="176">
        <f>Data!AI162</f>
        <v>5294588.3699999973</v>
      </c>
      <c r="AJ26" s="176">
        <f>Data!AJ162</f>
        <v>5174161.2699999912</v>
      </c>
      <c r="AK26" s="176">
        <f>Data!AK162</f>
        <v>3917198.8800000069</v>
      </c>
      <c r="AL26" s="176">
        <f>Data!AL162</f>
        <v>1157133.2399999991</v>
      </c>
    </row>
    <row r="27" spans="1:38" x14ac:dyDescent="0.2">
      <c r="A27" s="7" t="s">
        <v>31</v>
      </c>
      <c r="B27" s="7"/>
      <c r="C27" s="176">
        <f>Data!C163</f>
        <v>3763312.4700000016</v>
      </c>
      <c r="D27" s="176">
        <f>Data!D163</f>
        <v>3819013.0700000026</v>
      </c>
      <c r="E27" s="176">
        <f>Data!E163</f>
        <v>4080109.6499999966</v>
      </c>
      <c r="F27" s="176">
        <f>Data!F163</f>
        <v>4287668.8600000003</v>
      </c>
      <c r="G27" s="176">
        <f>Data!G163</f>
        <v>5040483.3599999994</v>
      </c>
      <c r="H27" s="176">
        <f>Data!H163</f>
        <v>4945830.3899999931</v>
      </c>
      <c r="I27" s="176">
        <f>Data!I163</f>
        <v>5059253.8199999966</v>
      </c>
      <c r="J27" s="176">
        <f>Data!J163</f>
        <v>5074691.7299999977</v>
      </c>
      <c r="K27" s="176">
        <f>Data!K163</f>
        <v>5359329.7700000005</v>
      </c>
      <c r="L27" s="176">
        <f>Data!L163</f>
        <v>4151232.3000000073</v>
      </c>
      <c r="M27" s="176">
        <f>Data!M163</f>
        <v>4113924.490000003</v>
      </c>
      <c r="N27" s="176">
        <f>Data!N163</f>
        <v>5117578.9600000074</v>
      </c>
      <c r="O27" s="176">
        <f>Data!O163</f>
        <v>4904090.0000000158</v>
      </c>
      <c r="P27" s="176">
        <f>Data!P163</f>
        <v>5119446.3800000092</v>
      </c>
      <c r="Q27" s="176">
        <f>Data!Q163</f>
        <v>5152267.440000019</v>
      </c>
      <c r="R27" s="176">
        <f>Data!R163</f>
        <v>4963652.5200000163</v>
      </c>
      <c r="S27" s="176">
        <f>Data!S163</f>
        <v>5809293.0300000263</v>
      </c>
      <c r="T27" s="176">
        <f>Data!T163</f>
        <v>5237309.0000000233</v>
      </c>
      <c r="U27" s="176">
        <f>Data!U163</f>
        <v>5300062.570000018</v>
      </c>
      <c r="V27" s="176">
        <f>Data!V163</f>
        <v>5000656.990000017</v>
      </c>
      <c r="W27" s="176">
        <f>Data!W163</f>
        <v>5074124.2100000251</v>
      </c>
      <c r="X27" s="176">
        <f>Data!X163</f>
        <v>4578453.5399999861</v>
      </c>
      <c r="Y27" s="176">
        <f>Data!Y163</f>
        <v>4771663.9699999895</v>
      </c>
      <c r="Z27" s="176">
        <f>Data!Z163</f>
        <v>5761664.9499999722</v>
      </c>
      <c r="AA27" s="176">
        <f>Data!AA163</f>
        <v>4763552.8999999892</v>
      </c>
      <c r="AB27" s="176">
        <f>Data!AB163</f>
        <v>5316008.1099999975</v>
      </c>
      <c r="AC27" s="176">
        <f>Data!AC163</f>
        <v>5428880.2999999868</v>
      </c>
      <c r="AD27" s="176">
        <f>Data!AD163</f>
        <v>5091384.0599999884</v>
      </c>
      <c r="AE27" s="176">
        <f>Data!AE163</f>
        <v>5836334.2899999823</v>
      </c>
      <c r="AF27" s="176">
        <f>Data!AF163</f>
        <v>5279025.1699999934</v>
      </c>
      <c r="AG27" s="176">
        <f>Data!AG163</f>
        <v>6118778.3800000018</v>
      </c>
      <c r="AH27" s="176">
        <f>Data!AH163</f>
        <v>5691598.2099999804</v>
      </c>
      <c r="AI27" s="176">
        <f>Data!AI163</f>
        <v>5294588.3699999973</v>
      </c>
      <c r="AJ27" s="176">
        <f>Data!AJ163</f>
        <v>5174161.2699999912</v>
      </c>
      <c r="AK27" s="176">
        <f>Data!AK163</f>
        <v>3917198.8800000069</v>
      </c>
      <c r="AL27" s="176">
        <f>Data!AL163</f>
        <v>1157133.2399999991</v>
      </c>
    </row>
    <row r="28" spans="1:38" x14ac:dyDescent="0.2">
      <c r="A28" s="7" t="s">
        <v>32</v>
      </c>
      <c r="B28" s="7"/>
      <c r="C28" s="176">
        <f>Data!C164</f>
        <v>3778527.3400000017</v>
      </c>
      <c r="D28" s="176">
        <f>Data!D164</f>
        <v>3827003.3700000024</v>
      </c>
      <c r="E28" s="176">
        <f>Data!E164</f>
        <v>4118784.0099999965</v>
      </c>
      <c r="F28" s="176">
        <f>Data!F164</f>
        <v>4292390.45</v>
      </c>
      <c r="G28" s="176">
        <f>Data!G164</f>
        <v>5052064.5799999991</v>
      </c>
      <c r="H28" s="176">
        <f>Data!H164</f>
        <v>4951725.8599999929</v>
      </c>
      <c r="I28" s="176">
        <f>Data!I164</f>
        <v>5066991.0899999961</v>
      </c>
      <c r="J28" s="176">
        <f>Data!J164</f>
        <v>5087112.5299999975</v>
      </c>
      <c r="K28" s="176">
        <f>Data!K164</f>
        <v>5364255.62</v>
      </c>
      <c r="L28" s="176">
        <f>Data!L164</f>
        <v>4159436.5800000071</v>
      </c>
      <c r="M28" s="176">
        <f>Data!M164</f>
        <v>4117451.5300000031</v>
      </c>
      <c r="N28" s="176">
        <f>Data!N164</f>
        <v>5120345.9300000072</v>
      </c>
      <c r="O28" s="176">
        <f>Data!O164</f>
        <v>4907662.5700000161</v>
      </c>
      <c r="P28" s="176">
        <f>Data!P164</f>
        <v>5131129.2100000093</v>
      </c>
      <c r="Q28" s="176">
        <f>Data!Q164</f>
        <v>5153830.2700000191</v>
      </c>
      <c r="R28" s="176">
        <f>Data!R164</f>
        <v>4967588.200000016</v>
      </c>
      <c r="S28" s="176">
        <f>Data!S164</f>
        <v>5820091.1600000262</v>
      </c>
      <c r="T28" s="176">
        <f>Data!T164</f>
        <v>5242718.7400000235</v>
      </c>
      <c r="U28" s="176">
        <f>Data!U164</f>
        <v>5310702.570000018</v>
      </c>
      <c r="V28" s="176">
        <f>Data!V164</f>
        <v>5011123.1200000169</v>
      </c>
      <c r="W28" s="176">
        <f>Data!W164</f>
        <v>5081907.6000000248</v>
      </c>
      <c r="X28" s="176">
        <f>Data!X164</f>
        <v>4578453.5399999861</v>
      </c>
      <c r="Y28" s="176">
        <f>Data!Y164</f>
        <v>4771663.9699999895</v>
      </c>
      <c r="Z28" s="176">
        <f>Data!Z164</f>
        <v>5761664.9499999722</v>
      </c>
      <c r="AA28" s="176">
        <f>Data!AA164</f>
        <v>4763552.8999999892</v>
      </c>
      <c r="AB28" s="176">
        <f>Data!AB164</f>
        <v>5316008.1099999975</v>
      </c>
      <c r="AC28" s="176">
        <f>Data!AC164</f>
        <v>5428880.2999999868</v>
      </c>
      <c r="AD28" s="176">
        <f>Data!AD164</f>
        <v>5091384.0599999884</v>
      </c>
      <c r="AE28" s="176">
        <f>Data!AE164</f>
        <v>5836334.2899999823</v>
      </c>
      <c r="AF28" s="176">
        <f>Data!AF164</f>
        <v>5279025.1699999934</v>
      </c>
      <c r="AG28" s="176">
        <f>Data!AG164</f>
        <v>6118778.3800000018</v>
      </c>
      <c r="AH28" s="176">
        <f>Data!AH164</f>
        <v>5691598.2099999804</v>
      </c>
      <c r="AI28" s="176">
        <f>Data!AI164</f>
        <v>5294588.3699999973</v>
      </c>
      <c r="AJ28" s="176">
        <f>Data!AJ164</f>
        <v>5174161.2699999912</v>
      </c>
      <c r="AK28" s="176">
        <f>Data!AK164</f>
        <v>3917198.8800000069</v>
      </c>
      <c r="AL28" s="176">
        <f>Data!AL164</f>
        <v>1157133.2399999991</v>
      </c>
    </row>
    <row r="29" spans="1:38" x14ac:dyDescent="0.2">
      <c r="A29" s="7" t="s">
        <v>33</v>
      </c>
      <c r="B29" s="7"/>
      <c r="C29" s="176">
        <f>Data!C165</f>
        <v>3786061.6200000015</v>
      </c>
      <c r="D29" s="176">
        <f>Data!D165</f>
        <v>3858838.2200000025</v>
      </c>
      <c r="E29" s="176">
        <f>Data!E165</f>
        <v>4130961.3399999966</v>
      </c>
      <c r="F29" s="176">
        <f>Data!F165</f>
        <v>4292982.4400000004</v>
      </c>
      <c r="G29" s="176">
        <f>Data!G165</f>
        <v>5054333.8399999989</v>
      </c>
      <c r="H29" s="176">
        <f>Data!H165</f>
        <v>4954937.2599999933</v>
      </c>
      <c r="I29" s="176">
        <f>Data!I165</f>
        <v>5097215.6399999959</v>
      </c>
      <c r="J29" s="176">
        <f>Data!J165</f>
        <v>5089929.3199999975</v>
      </c>
      <c r="K29" s="176">
        <f>Data!K165</f>
        <v>5372843.0700000003</v>
      </c>
      <c r="L29" s="176">
        <f>Data!L165</f>
        <v>4161884.1600000071</v>
      </c>
      <c r="M29" s="176">
        <f>Data!M165</f>
        <v>4119027.5600000028</v>
      </c>
      <c r="N29" s="176">
        <f>Data!N165</f>
        <v>5127728.1500000069</v>
      </c>
      <c r="O29" s="176">
        <f>Data!O165</f>
        <v>4914929.2500000158</v>
      </c>
      <c r="P29" s="176">
        <f>Data!P165</f>
        <v>5165599.8100000089</v>
      </c>
      <c r="Q29" s="176">
        <f>Data!Q165</f>
        <v>5155757.1000000192</v>
      </c>
      <c r="R29" s="176">
        <f>Data!R165</f>
        <v>4970920.3500000164</v>
      </c>
      <c r="S29" s="176">
        <f>Data!S165</f>
        <v>5822030.2300000265</v>
      </c>
      <c r="T29" s="176">
        <f>Data!T165</f>
        <v>5244426.4900000235</v>
      </c>
      <c r="U29" s="176">
        <f>Data!U165</f>
        <v>5312350.5000000177</v>
      </c>
      <c r="V29" s="176">
        <f>Data!V165</f>
        <v>5011832.2300000172</v>
      </c>
      <c r="W29" s="176">
        <f>Data!W165</f>
        <v>5081907.6000000248</v>
      </c>
      <c r="X29" s="176">
        <f>Data!X165</f>
        <v>4578453.5399999861</v>
      </c>
      <c r="Y29" s="176">
        <f>Data!Y165</f>
        <v>4771663.9699999895</v>
      </c>
      <c r="Z29" s="176">
        <f>Data!Z165</f>
        <v>5761664.9499999722</v>
      </c>
      <c r="AA29" s="176">
        <f>Data!AA165</f>
        <v>4763552.8999999892</v>
      </c>
      <c r="AB29" s="176">
        <f>Data!AB165</f>
        <v>5316008.1099999975</v>
      </c>
      <c r="AC29" s="176">
        <f>Data!AC165</f>
        <v>5428880.2999999868</v>
      </c>
      <c r="AD29" s="176">
        <f>Data!AD165</f>
        <v>5091384.0599999884</v>
      </c>
      <c r="AE29" s="176">
        <f>Data!AE165</f>
        <v>5836334.2899999823</v>
      </c>
      <c r="AF29" s="176">
        <f>Data!AF165</f>
        <v>5279025.1699999934</v>
      </c>
      <c r="AG29" s="176">
        <f>Data!AG165</f>
        <v>6118778.3800000018</v>
      </c>
      <c r="AH29" s="176">
        <f>Data!AH165</f>
        <v>5691598.2099999804</v>
      </c>
      <c r="AI29" s="176">
        <f>Data!AI165</f>
        <v>5294588.3699999973</v>
      </c>
      <c r="AJ29" s="176">
        <f>Data!AJ165</f>
        <v>5174161.2699999912</v>
      </c>
      <c r="AK29" s="176">
        <f>Data!AK165</f>
        <v>3917198.8800000069</v>
      </c>
      <c r="AL29" s="176">
        <f>Data!AL165</f>
        <v>1157133.2399999991</v>
      </c>
    </row>
    <row r="30" spans="1:38" x14ac:dyDescent="0.2">
      <c r="A30" s="7" t="s">
        <v>34</v>
      </c>
      <c r="B30" s="7"/>
      <c r="C30" s="176">
        <f>Data!C166</f>
        <v>3808023.1200000015</v>
      </c>
      <c r="D30" s="176">
        <f>Data!D166</f>
        <v>3870068.0000000023</v>
      </c>
      <c r="E30" s="176">
        <f>Data!E166</f>
        <v>4131885.5499999966</v>
      </c>
      <c r="F30" s="176">
        <f>Data!F166</f>
        <v>4294148.4200000009</v>
      </c>
      <c r="G30" s="176">
        <f>Data!G166</f>
        <v>5058724.2999999989</v>
      </c>
      <c r="H30" s="176">
        <f>Data!H166</f>
        <v>4963182.7099999934</v>
      </c>
      <c r="I30" s="176">
        <f>Data!I166</f>
        <v>5100254.6199999964</v>
      </c>
      <c r="J30" s="176">
        <f>Data!J166</f>
        <v>5092571.9399999976</v>
      </c>
      <c r="K30" s="176">
        <f>Data!K166</f>
        <v>5378869.04</v>
      </c>
      <c r="L30" s="176">
        <f>Data!L166</f>
        <v>4164505.5100000072</v>
      </c>
      <c r="M30" s="176">
        <f>Data!M166</f>
        <v>4126052.430000003</v>
      </c>
      <c r="N30" s="176">
        <f>Data!N166</f>
        <v>5129973.6800000072</v>
      </c>
      <c r="O30" s="176">
        <f>Data!O166</f>
        <v>4916915.8100000154</v>
      </c>
      <c r="P30" s="176">
        <f>Data!P166</f>
        <v>5174540.9100000085</v>
      </c>
      <c r="Q30" s="176">
        <f>Data!Q166</f>
        <v>5158817.650000019</v>
      </c>
      <c r="R30" s="176">
        <f>Data!R166</f>
        <v>4980217.200000016</v>
      </c>
      <c r="S30" s="176">
        <f>Data!S166</f>
        <v>5826466.9300000267</v>
      </c>
      <c r="T30" s="176">
        <f>Data!T166</f>
        <v>5246926.3100000238</v>
      </c>
      <c r="U30" s="176">
        <f>Data!U166</f>
        <v>5314346.360000018</v>
      </c>
      <c r="V30" s="176">
        <f>Data!V166</f>
        <v>5011832.2300000172</v>
      </c>
      <c r="W30" s="176">
        <f>Data!W166</f>
        <v>5081907.6000000248</v>
      </c>
      <c r="X30" s="176">
        <f>Data!X166</f>
        <v>4578453.5399999861</v>
      </c>
      <c r="Y30" s="176">
        <f>Data!Y166</f>
        <v>4771663.9699999895</v>
      </c>
      <c r="Z30" s="176">
        <f>Data!Z166</f>
        <v>5761664.9499999722</v>
      </c>
      <c r="AA30" s="176">
        <f>Data!AA166</f>
        <v>4763552.8999999892</v>
      </c>
      <c r="AB30" s="176">
        <f>Data!AB166</f>
        <v>5316008.1099999975</v>
      </c>
      <c r="AC30" s="176">
        <f>Data!AC166</f>
        <v>5428880.2999999868</v>
      </c>
      <c r="AD30" s="176">
        <f>Data!AD166</f>
        <v>5091384.0599999884</v>
      </c>
      <c r="AE30" s="176">
        <f>Data!AE166</f>
        <v>5836334.2899999823</v>
      </c>
      <c r="AF30" s="176">
        <f>Data!AF166</f>
        <v>5279025.1699999934</v>
      </c>
      <c r="AG30" s="176">
        <f>Data!AG166</f>
        <v>6118778.3800000018</v>
      </c>
      <c r="AH30" s="176">
        <f>Data!AH166</f>
        <v>5691598.2099999804</v>
      </c>
      <c r="AI30" s="176">
        <f>Data!AI166</f>
        <v>5294588.3699999973</v>
      </c>
      <c r="AJ30" s="176">
        <f>Data!AJ166</f>
        <v>5174161.2699999912</v>
      </c>
      <c r="AK30" s="176">
        <f>Data!AK166</f>
        <v>3917198.8800000069</v>
      </c>
      <c r="AL30" s="176">
        <f>Data!AL166</f>
        <v>1157133.2399999991</v>
      </c>
    </row>
    <row r="31" spans="1:38" x14ac:dyDescent="0.2">
      <c r="A31" s="7" t="s">
        <v>35</v>
      </c>
      <c r="B31" s="7"/>
      <c r="C31" s="176">
        <f>Data!C167</f>
        <v>3822592.7400000016</v>
      </c>
      <c r="D31" s="176">
        <f>Data!D167</f>
        <v>3887099.6100000022</v>
      </c>
      <c r="E31" s="176">
        <f>Data!E167</f>
        <v>4133349.0099999965</v>
      </c>
      <c r="F31" s="176">
        <f>Data!F167</f>
        <v>4297186.9000000013</v>
      </c>
      <c r="G31" s="176">
        <f>Data!G167</f>
        <v>5119561.9899999993</v>
      </c>
      <c r="H31" s="176">
        <f>Data!H167</f>
        <v>4967095.8999999939</v>
      </c>
      <c r="I31" s="176">
        <f>Data!I167</f>
        <v>5102630.9199999962</v>
      </c>
      <c r="J31" s="176">
        <f>Data!J167</f>
        <v>5100542.9899999974</v>
      </c>
      <c r="K31" s="176">
        <f>Data!K167</f>
        <v>5379888.2199999997</v>
      </c>
      <c r="L31" s="176">
        <f>Data!L167</f>
        <v>4168879.0500000073</v>
      </c>
      <c r="M31" s="176">
        <f>Data!M167</f>
        <v>4130433.5900000031</v>
      </c>
      <c r="N31" s="176">
        <f>Data!N167</f>
        <v>5137306.3800000073</v>
      </c>
      <c r="O31" s="176">
        <f>Data!O167</f>
        <v>4922704.8400000157</v>
      </c>
      <c r="P31" s="176">
        <f>Data!P167</f>
        <v>5182586.8200000087</v>
      </c>
      <c r="Q31" s="176">
        <f>Data!Q167</f>
        <v>5169953.5500000194</v>
      </c>
      <c r="R31" s="176">
        <f>Data!R167</f>
        <v>4980699.6300000157</v>
      </c>
      <c r="S31" s="176">
        <f>Data!S167</f>
        <v>5827957.5200000266</v>
      </c>
      <c r="T31" s="176">
        <f>Data!T167</f>
        <v>5247006.4900000235</v>
      </c>
      <c r="U31" s="176">
        <f>Data!U167</f>
        <v>5314346.360000018</v>
      </c>
      <c r="V31" s="176">
        <f>Data!V167</f>
        <v>5011832.2300000172</v>
      </c>
      <c r="W31" s="176">
        <f>Data!W167</f>
        <v>5081907.6000000248</v>
      </c>
      <c r="X31" s="176">
        <f>Data!X167</f>
        <v>4578453.5399999861</v>
      </c>
      <c r="Y31" s="176">
        <f>Data!Y167</f>
        <v>4771663.9699999895</v>
      </c>
      <c r="Z31" s="176">
        <f>Data!Z167</f>
        <v>5761664.9499999722</v>
      </c>
      <c r="AA31" s="176">
        <f>Data!AA167</f>
        <v>4763552.8999999892</v>
      </c>
      <c r="AB31" s="176">
        <f>Data!AB167</f>
        <v>5316008.1099999975</v>
      </c>
      <c r="AC31" s="176">
        <f>Data!AC167</f>
        <v>5428880.2999999868</v>
      </c>
      <c r="AD31" s="176">
        <f>Data!AD167</f>
        <v>5091384.0599999884</v>
      </c>
      <c r="AE31" s="176">
        <f>Data!AE167</f>
        <v>5836334.2899999823</v>
      </c>
      <c r="AF31" s="176">
        <f>Data!AF167</f>
        <v>5279025.1699999934</v>
      </c>
      <c r="AG31" s="176">
        <f>Data!AG167</f>
        <v>6118778.3800000018</v>
      </c>
      <c r="AH31" s="176">
        <f>Data!AH167</f>
        <v>5691598.2099999804</v>
      </c>
      <c r="AI31" s="176">
        <f>Data!AI167</f>
        <v>5294588.3699999973</v>
      </c>
      <c r="AJ31" s="176">
        <f>Data!AJ167</f>
        <v>5174161.2699999912</v>
      </c>
      <c r="AK31" s="176">
        <f>Data!AK167</f>
        <v>3917198.8800000069</v>
      </c>
      <c r="AL31" s="176">
        <f>Data!AL167</f>
        <v>1157133.2399999991</v>
      </c>
    </row>
    <row r="32" spans="1:38" x14ac:dyDescent="0.2">
      <c r="A32" s="7" t="s">
        <v>36</v>
      </c>
      <c r="B32" s="7"/>
      <c r="C32" s="176">
        <f>Data!C168</f>
        <v>3823601.0200000014</v>
      </c>
      <c r="D32" s="176">
        <f>Data!D168</f>
        <v>3888144.120000002</v>
      </c>
      <c r="E32" s="176">
        <f>Data!E168</f>
        <v>4136105.5399999963</v>
      </c>
      <c r="F32" s="176">
        <f>Data!F168</f>
        <v>4314395.9800000014</v>
      </c>
      <c r="G32" s="176">
        <f>Data!G168</f>
        <v>5121917.629999999</v>
      </c>
      <c r="H32" s="176">
        <f>Data!H168</f>
        <v>4968858.6699999934</v>
      </c>
      <c r="I32" s="176">
        <f>Data!I168</f>
        <v>5115375.2099999962</v>
      </c>
      <c r="J32" s="176">
        <f>Data!J168</f>
        <v>5101023.5299999975</v>
      </c>
      <c r="K32" s="176">
        <f>Data!K168</f>
        <v>5383696.2699999996</v>
      </c>
      <c r="L32" s="176">
        <f>Data!L168</f>
        <v>4177413.0800000071</v>
      </c>
      <c r="M32" s="176">
        <f>Data!M168</f>
        <v>4133256.2100000032</v>
      </c>
      <c r="N32" s="176">
        <f>Data!N168</f>
        <v>5141793.9700000072</v>
      </c>
      <c r="O32" s="176">
        <f>Data!O168</f>
        <v>4924946.950000016</v>
      </c>
      <c r="P32" s="176">
        <f>Data!P168</f>
        <v>5183525.6700000083</v>
      </c>
      <c r="Q32" s="176">
        <f>Data!Q168</f>
        <v>5170674.6300000194</v>
      </c>
      <c r="R32" s="176">
        <f>Data!R168</f>
        <v>4982746.6900000153</v>
      </c>
      <c r="S32" s="176">
        <f>Data!S168</f>
        <v>5828321.8600000264</v>
      </c>
      <c r="T32" s="176">
        <f>Data!T168</f>
        <v>5247006.4900000235</v>
      </c>
      <c r="U32" s="176">
        <f>Data!U168</f>
        <v>5314346.360000018</v>
      </c>
      <c r="V32" s="176">
        <f>Data!V168</f>
        <v>5011832.2300000172</v>
      </c>
      <c r="W32" s="176">
        <f>Data!W168</f>
        <v>5081907.6000000248</v>
      </c>
      <c r="X32" s="176">
        <f>Data!X168</f>
        <v>4578453.5399999861</v>
      </c>
      <c r="Y32" s="176">
        <f>Data!Y168</f>
        <v>4771663.9699999895</v>
      </c>
      <c r="Z32" s="176">
        <f>Data!Z168</f>
        <v>5761664.9499999722</v>
      </c>
      <c r="AA32" s="176">
        <f>Data!AA168</f>
        <v>4763552.8999999892</v>
      </c>
      <c r="AB32" s="176">
        <f>Data!AB168</f>
        <v>5316008.1099999975</v>
      </c>
      <c r="AC32" s="176">
        <f>Data!AC168</f>
        <v>5428880.2999999868</v>
      </c>
      <c r="AD32" s="176">
        <f>Data!AD168</f>
        <v>5091384.0599999884</v>
      </c>
      <c r="AE32" s="176">
        <f>Data!AE168</f>
        <v>5836334.2899999823</v>
      </c>
      <c r="AF32" s="176">
        <f>Data!AF168</f>
        <v>5279025.1699999934</v>
      </c>
      <c r="AG32" s="176">
        <f>Data!AG168</f>
        <v>6118778.3800000018</v>
      </c>
      <c r="AH32" s="176">
        <f>Data!AH168</f>
        <v>5691598.2099999804</v>
      </c>
      <c r="AI32" s="176">
        <f>Data!AI168</f>
        <v>5294588.3699999973</v>
      </c>
      <c r="AJ32" s="176">
        <f>Data!AJ168</f>
        <v>5174161.2699999912</v>
      </c>
      <c r="AK32" s="176">
        <f>Data!AK168</f>
        <v>3917198.8800000069</v>
      </c>
      <c r="AL32" s="176">
        <f>Data!AL168</f>
        <v>1157133.2399999991</v>
      </c>
    </row>
    <row r="33" spans="1:38" x14ac:dyDescent="0.2">
      <c r="A33" s="7" t="s">
        <v>37</v>
      </c>
      <c r="B33" s="7"/>
      <c r="C33" s="176">
        <f>Data!C169</f>
        <v>3824381.6400000015</v>
      </c>
      <c r="D33" s="176">
        <f>Data!D169</f>
        <v>3895430.8000000021</v>
      </c>
      <c r="E33" s="176">
        <f>Data!E169</f>
        <v>4142188.3099999963</v>
      </c>
      <c r="F33" s="176">
        <f>Data!F169</f>
        <v>4315952.6800000016</v>
      </c>
      <c r="G33" s="176">
        <f>Data!G169</f>
        <v>5122793.2599999988</v>
      </c>
      <c r="H33" s="176">
        <f>Data!H169</f>
        <v>4970249.8299999936</v>
      </c>
      <c r="I33" s="176">
        <f>Data!I169</f>
        <v>5116894.219999996</v>
      </c>
      <c r="J33" s="176">
        <f>Data!J169</f>
        <v>5103007.8999999976</v>
      </c>
      <c r="K33" s="176">
        <f>Data!K169</f>
        <v>5384087.7599999998</v>
      </c>
      <c r="L33" s="176">
        <f>Data!L169</f>
        <v>4192385.8000000073</v>
      </c>
      <c r="M33" s="176">
        <f>Data!M169</f>
        <v>4133918.4100000034</v>
      </c>
      <c r="N33" s="176">
        <f>Data!N169</f>
        <v>5144266.3200000068</v>
      </c>
      <c r="O33" s="176">
        <f>Data!O169</f>
        <v>4933501.4800000163</v>
      </c>
      <c r="P33" s="176">
        <f>Data!P169</f>
        <v>5183950.6700000083</v>
      </c>
      <c r="Q33" s="176">
        <f>Data!Q169</f>
        <v>5173601.7000000197</v>
      </c>
      <c r="R33" s="176">
        <f>Data!R169</f>
        <v>4982746.6900000153</v>
      </c>
      <c r="S33" s="176">
        <f>Data!S169</f>
        <v>5828321.8600000264</v>
      </c>
      <c r="T33" s="176">
        <f>Data!T169</f>
        <v>5247006.4900000235</v>
      </c>
      <c r="U33" s="176">
        <f>Data!U169</f>
        <v>5314346.360000018</v>
      </c>
      <c r="V33" s="176">
        <f>Data!V169</f>
        <v>5011832.2300000172</v>
      </c>
      <c r="W33" s="176">
        <f>Data!W169</f>
        <v>5081907.6000000248</v>
      </c>
      <c r="X33" s="176">
        <f>Data!X169</f>
        <v>4578453.5399999861</v>
      </c>
      <c r="Y33" s="176">
        <f>Data!Y169</f>
        <v>4771663.9699999895</v>
      </c>
      <c r="Z33" s="176">
        <f>Data!Z169</f>
        <v>5761664.9499999722</v>
      </c>
      <c r="AA33" s="176">
        <f>Data!AA169</f>
        <v>4763552.8999999892</v>
      </c>
      <c r="AB33" s="176">
        <f>Data!AB169</f>
        <v>5316008.1099999975</v>
      </c>
      <c r="AC33" s="176">
        <f>Data!AC169</f>
        <v>5428880.2999999868</v>
      </c>
      <c r="AD33" s="176">
        <f>Data!AD169</f>
        <v>5091384.0599999884</v>
      </c>
      <c r="AE33" s="176">
        <f>Data!AE169</f>
        <v>5836334.2899999823</v>
      </c>
      <c r="AF33" s="176">
        <f>Data!AF169</f>
        <v>5279025.1699999934</v>
      </c>
      <c r="AG33" s="176">
        <f>Data!AG169</f>
        <v>6118778.3800000018</v>
      </c>
      <c r="AH33" s="176">
        <f>Data!AH169</f>
        <v>5691598.2099999804</v>
      </c>
      <c r="AI33" s="176">
        <f>Data!AI169</f>
        <v>5294588.3699999973</v>
      </c>
      <c r="AJ33" s="176">
        <f>Data!AJ169</f>
        <v>5174161.2699999912</v>
      </c>
      <c r="AK33" s="176">
        <f>Data!AK169</f>
        <v>3917198.8800000069</v>
      </c>
      <c r="AL33" s="176">
        <f>Data!AL169</f>
        <v>1157133.2399999991</v>
      </c>
    </row>
    <row r="34" spans="1:38" x14ac:dyDescent="0.2">
      <c r="A34" s="7" t="s">
        <v>38</v>
      </c>
      <c r="B34" s="7"/>
      <c r="C34" s="176">
        <f>Data!C170</f>
        <v>3826514.1700000013</v>
      </c>
      <c r="D34" s="176">
        <f>Data!D170</f>
        <v>3899303.2400000021</v>
      </c>
      <c r="E34" s="176">
        <f>Data!E170</f>
        <v>4144151.7999999966</v>
      </c>
      <c r="F34" s="176">
        <f>Data!F170</f>
        <v>4320069.1000000015</v>
      </c>
      <c r="G34" s="176">
        <f>Data!G170</f>
        <v>5124452.3399999989</v>
      </c>
      <c r="H34" s="176">
        <f>Data!H170</f>
        <v>4970249.8299999936</v>
      </c>
      <c r="I34" s="176">
        <f>Data!I170</f>
        <v>5123195.429999996</v>
      </c>
      <c r="J34" s="176">
        <f>Data!J170</f>
        <v>5105318.8599999975</v>
      </c>
      <c r="K34" s="176">
        <f>Data!K170</f>
        <v>5385407.5699999994</v>
      </c>
      <c r="L34" s="176">
        <f>Data!L170</f>
        <v>4197502.0800000075</v>
      </c>
      <c r="M34" s="176">
        <f>Data!M170</f>
        <v>4135425.6000000034</v>
      </c>
      <c r="N34" s="176">
        <f>Data!N170</f>
        <v>5144283.9300000072</v>
      </c>
      <c r="O34" s="176">
        <f>Data!O170</f>
        <v>4945953.3000000166</v>
      </c>
      <c r="P34" s="176">
        <f>Data!P170</f>
        <v>5184141.3400000082</v>
      </c>
      <c r="Q34" s="176">
        <f>Data!Q170</f>
        <v>5173808.2900000196</v>
      </c>
      <c r="R34" s="176">
        <f>Data!R170</f>
        <v>4982746.6900000153</v>
      </c>
      <c r="S34" s="176">
        <f>Data!S170</f>
        <v>5828321.8600000264</v>
      </c>
      <c r="T34" s="176">
        <f>Data!T170</f>
        <v>5247006.4900000235</v>
      </c>
      <c r="U34" s="176">
        <f>Data!U170</f>
        <v>5314346.360000018</v>
      </c>
      <c r="V34" s="176">
        <f>Data!V170</f>
        <v>5011832.2300000172</v>
      </c>
      <c r="W34" s="176">
        <f>Data!W170</f>
        <v>5081907.6000000248</v>
      </c>
      <c r="X34" s="176">
        <f>Data!X170</f>
        <v>4578453.5399999861</v>
      </c>
      <c r="Y34" s="176">
        <f>Data!Y170</f>
        <v>4771663.9699999895</v>
      </c>
      <c r="Z34" s="176">
        <f>Data!Z170</f>
        <v>5761664.9499999722</v>
      </c>
      <c r="AA34" s="176">
        <f>Data!AA170</f>
        <v>4763552.8999999892</v>
      </c>
      <c r="AB34" s="176">
        <f>Data!AB170</f>
        <v>5316008.1099999975</v>
      </c>
      <c r="AC34" s="176">
        <f>Data!AC170</f>
        <v>5428880.2999999868</v>
      </c>
      <c r="AD34" s="176">
        <f>Data!AD170</f>
        <v>5091384.0599999884</v>
      </c>
      <c r="AE34" s="176">
        <f>Data!AE170</f>
        <v>5836334.2899999823</v>
      </c>
      <c r="AF34" s="176">
        <f>Data!AF170</f>
        <v>5279025.1699999934</v>
      </c>
      <c r="AG34" s="176">
        <f>Data!AG170</f>
        <v>6118778.3800000018</v>
      </c>
      <c r="AH34" s="176">
        <f>Data!AH170</f>
        <v>5691598.2099999804</v>
      </c>
      <c r="AI34" s="176">
        <f>Data!AI170</f>
        <v>5294588.3699999973</v>
      </c>
      <c r="AJ34" s="176">
        <f>Data!AJ170</f>
        <v>5174161.2699999912</v>
      </c>
      <c r="AK34" s="176">
        <f>Data!AK170</f>
        <v>3917198.8800000069</v>
      </c>
      <c r="AL34" s="176">
        <f>Data!AL170</f>
        <v>1157133.2399999991</v>
      </c>
    </row>
    <row r="35" spans="1:38" x14ac:dyDescent="0.2">
      <c r="A35" s="7" t="s">
        <v>39</v>
      </c>
      <c r="B35" s="7"/>
      <c r="C35" s="176">
        <f>Data!C171</f>
        <v>3829076.9200000013</v>
      </c>
      <c r="D35" s="176">
        <f>Data!D171</f>
        <v>3903442.160000002</v>
      </c>
      <c r="E35" s="176">
        <f>Data!E171</f>
        <v>4144609.8399999966</v>
      </c>
      <c r="F35" s="176">
        <f>Data!F171</f>
        <v>4320533.4500000011</v>
      </c>
      <c r="G35" s="176">
        <f>Data!G171</f>
        <v>5126142.0899999989</v>
      </c>
      <c r="H35" s="176">
        <f>Data!H171</f>
        <v>4974431.1699999934</v>
      </c>
      <c r="I35" s="176">
        <f>Data!I171</f>
        <v>5125851.429999996</v>
      </c>
      <c r="J35" s="176">
        <f>Data!J171</f>
        <v>5105687.6499999976</v>
      </c>
      <c r="K35" s="176">
        <f>Data!K171</f>
        <v>5387656.7299999995</v>
      </c>
      <c r="L35" s="176">
        <f>Data!L171</f>
        <v>4230469.9000000078</v>
      </c>
      <c r="M35" s="176">
        <f>Data!M171</f>
        <v>4137940.4200000032</v>
      </c>
      <c r="N35" s="176">
        <f>Data!N171</f>
        <v>5146747.0700000068</v>
      </c>
      <c r="O35" s="176">
        <f>Data!O171</f>
        <v>4947458.0600000164</v>
      </c>
      <c r="P35" s="176">
        <f>Data!P171</f>
        <v>5184205.140000008</v>
      </c>
      <c r="Q35" s="176">
        <f>Data!Q171</f>
        <v>5173808.2900000196</v>
      </c>
      <c r="R35" s="176">
        <f>Data!R171</f>
        <v>4982746.6900000153</v>
      </c>
      <c r="S35" s="176">
        <f>Data!S171</f>
        <v>5828321.8600000264</v>
      </c>
      <c r="T35" s="176">
        <f>Data!T171</f>
        <v>5247006.4900000235</v>
      </c>
      <c r="U35" s="176">
        <f>Data!U171</f>
        <v>5314346.360000018</v>
      </c>
      <c r="V35" s="176">
        <f>Data!V171</f>
        <v>5011832.2300000172</v>
      </c>
      <c r="W35" s="176">
        <f>Data!W171</f>
        <v>5081907.6000000248</v>
      </c>
      <c r="X35" s="176">
        <f>Data!X171</f>
        <v>4578453.5399999861</v>
      </c>
      <c r="Y35" s="176">
        <f>Data!Y171</f>
        <v>4771663.9699999895</v>
      </c>
      <c r="Z35" s="176">
        <f>Data!Z171</f>
        <v>5761664.9499999722</v>
      </c>
      <c r="AA35" s="176">
        <f>Data!AA171</f>
        <v>4763552.8999999892</v>
      </c>
      <c r="AB35" s="176">
        <f>Data!AB171</f>
        <v>5316008.1099999975</v>
      </c>
      <c r="AC35" s="176">
        <f>Data!AC171</f>
        <v>5428880.2999999868</v>
      </c>
      <c r="AD35" s="176">
        <f>Data!AD171</f>
        <v>5091384.0599999884</v>
      </c>
      <c r="AE35" s="176">
        <f>Data!AE171</f>
        <v>5836334.2899999823</v>
      </c>
      <c r="AF35" s="176">
        <f>Data!AF171</f>
        <v>5279025.1699999934</v>
      </c>
      <c r="AG35" s="176">
        <f>Data!AG171</f>
        <v>6118778.3800000018</v>
      </c>
      <c r="AH35" s="176">
        <f>Data!AH171</f>
        <v>5691598.2099999804</v>
      </c>
      <c r="AI35" s="176">
        <f>Data!AI171</f>
        <v>5294588.3699999973</v>
      </c>
      <c r="AJ35" s="176">
        <f>Data!AJ171</f>
        <v>5174161.2699999912</v>
      </c>
      <c r="AK35" s="176">
        <f>Data!AK171</f>
        <v>3917198.8800000069</v>
      </c>
      <c r="AL35" s="176">
        <f>Data!AL171</f>
        <v>1157133.2399999991</v>
      </c>
    </row>
    <row r="36" spans="1:38" x14ac:dyDescent="0.2">
      <c r="A36" s="7" t="s">
        <v>40</v>
      </c>
      <c r="B36" s="7"/>
      <c r="C36" s="176">
        <f>Data!C172</f>
        <v>3831107.2600000012</v>
      </c>
      <c r="D36" s="176">
        <f>Data!D172</f>
        <v>3905335.0300000021</v>
      </c>
      <c r="E36" s="176">
        <f>Data!E172</f>
        <v>4145169.4499999965</v>
      </c>
      <c r="F36" s="176">
        <f>Data!F172</f>
        <v>4320858.4500000011</v>
      </c>
      <c r="G36" s="176">
        <f>Data!G172</f>
        <v>5128246.0899999989</v>
      </c>
      <c r="H36" s="176">
        <f>Data!H172</f>
        <v>4974631.1699999934</v>
      </c>
      <c r="I36" s="176">
        <f>Data!I172</f>
        <v>5126929.0299999956</v>
      </c>
      <c r="J36" s="176">
        <f>Data!J172</f>
        <v>5107378.8699999973</v>
      </c>
      <c r="K36" s="176">
        <f>Data!K172</f>
        <v>5388176.0599999996</v>
      </c>
      <c r="L36" s="176">
        <f>Data!L172</f>
        <v>4230975.1900000079</v>
      </c>
      <c r="M36" s="176">
        <f>Data!M172</f>
        <v>4137940.4200000032</v>
      </c>
      <c r="N36" s="176">
        <f>Data!N172</f>
        <v>5147427.1300000064</v>
      </c>
      <c r="O36" s="176">
        <f>Data!O172</f>
        <v>4947613.3400000166</v>
      </c>
      <c r="P36" s="176">
        <f>Data!P172</f>
        <v>5184205.140000008</v>
      </c>
      <c r="Q36" s="176">
        <f>Data!Q172</f>
        <v>5173808.2900000196</v>
      </c>
      <c r="R36" s="176">
        <f>Data!R172</f>
        <v>4982746.6900000153</v>
      </c>
      <c r="S36" s="176">
        <f>Data!S172</f>
        <v>5828321.8600000264</v>
      </c>
      <c r="T36" s="176">
        <f>Data!T172</f>
        <v>5247006.4900000235</v>
      </c>
      <c r="U36" s="176">
        <f>Data!U172</f>
        <v>5314346.360000018</v>
      </c>
      <c r="V36" s="176">
        <f>Data!V172</f>
        <v>5011832.2300000172</v>
      </c>
      <c r="W36" s="176">
        <f>Data!W172</f>
        <v>5081907.6000000248</v>
      </c>
      <c r="X36" s="176">
        <f>Data!X172</f>
        <v>4578453.5399999861</v>
      </c>
      <c r="Y36" s="176">
        <f>Data!Y172</f>
        <v>4771663.9699999895</v>
      </c>
      <c r="Z36" s="176">
        <f>Data!Z172</f>
        <v>5761664.9499999722</v>
      </c>
      <c r="AA36" s="176">
        <f>Data!AA172</f>
        <v>4763552.8999999892</v>
      </c>
      <c r="AB36" s="176">
        <f>Data!AB172</f>
        <v>5316008.1099999975</v>
      </c>
      <c r="AC36" s="176">
        <f>Data!AC172</f>
        <v>5428880.2999999868</v>
      </c>
      <c r="AD36" s="176">
        <f>Data!AD172</f>
        <v>5091384.0599999884</v>
      </c>
      <c r="AE36" s="176">
        <f>Data!AE172</f>
        <v>5836334.2899999823</v>
      </c>
      <c r="AF36" s="176">
        <f>Data!AF172</f>
        <v>5279025.1699999934</v>
      </c>
      <c r="AG36" s="176">
        <f>Data!AG172</f>
        <v>6118778.3800000018</v>
      </c>
      <c r="AH36" s="176">
        <f>Data!AH172</f>
        <v>5691598.2099999804</v>
      </c>
      <c r="AI36" s="176">
        <f>Data!AI172</f>
        <v>5294588.3699999973</v>
      </c>
      <c r="AJ36" s="176">
        <f>Data!AJ172</f>
        <v>5174161.2699999912</v>
      </c>
      <c r="AK36" s="176">
        <f>Data!AK172</f>
        <v>3917198.8800000069</v>
      </c>
      <c r="AL36" s="176">
        <f>Data!AL172</f>
        <v>1157133.2399999991</v>
      </c>
    </row>
    <row r="38" spans="1:38" x14ac:dyDescent="0.2">
      <c r="A38" s="249" t="s">
        <v>196</v>
      </c>
      <c r="C38" s="500">
        <f t="shared" ref="C38:S38" si="0">+C36</f>
        <v>3831107.2600000012</v>
      </c>
      <c r="D38" s="500">
        <f t="shared" si="0"/>
        <v>3905335.0300000021</v>
      </c>
      <c r="E38" s="500">
        <f t="shared" si="0"/>
        <v>4145169.4499999965</v>
      </c>
      <c r="F38" s="500">
        <f t="shared" si="0"/>
        <v>4320858.4500000011</v>
      </c>
      <c r="G38" s="500">
        <f t="shared" si="0"/>
        <v>5128246.0899999989</v>
      </c>
      <c r="H38" s="500">
        <f t="shared" si="0"/>
        <v>4974631.1699999934</v>
      </c>
      <c r="I38" s="500">
        <f t="shared" si="0"/>
        <v>5126929.0299999956</v>
      </c>
      <c r="J38" s="500">
        <f t="shared" si="0"/>
        <v>5107378.8699999973</v>
      </c>
      <c r="K38" s="500">
        <f t="shared" si="0"/>
        <v>5388176.0599999996</v>
      </c>
      <c r="L38" s="500">
        <f t="shared" si="0"/>
        <v>4230975.1900000079</v>
      </c>
      <c r="M38" s="500">
        <f t="shared" si="0"/>
        <v>4137940.4200000032</v>
      </c>
      <c r="N38" s="500">
        <f t="shared" si="0"/>
        <v>5147427.1300000064</v>
      </c>
      <c r="O38" s="500">
        <f t="shared" si="0"/>
        <v>4947613.3400000166</v>
      </c>
      <c r="P38" s="500">
        <f t="shared" si="0"/>
        <v>5184205.140000008</v>
      </c>
      <c r="Q38" s="500">
        <f t="shared" si="0"/>
        <v>5173808.2900000196</v>
      </c>
      <c r="R38" s="500">
        <f t="shared" si="0"/>
        <v>4982746.6900000153</v>
      </c>
      <c r="S38" s="500">
        <f t="shared" si="0"/>
        <v>5828321.8600000264</v>
      </c>
      <c r="T38" s="500">
        <f>+T36</f>
        <v>5247006.4900000235</v>
      </c>
      <c r="U38" s="499">
        <f>Final!C28</f>
        <v>5346516.4463065388</v>
      </c>
      <c r="V38" s="499">
        <f>Final!C27</f>
        <v>5047051.0525426669</v>
      </c>
      <c r="W38" s="499">
        <f>Final!C26</f>
        <v>5120495.1487528142</v>
      </c>
      <c r="X38" s="499">
        <f>Final!C25</f>
        <v>4620382.2943228586</v>
      </c>
      <c r="Y38" s="499">
        <f>Final!C24</f>
        <v>4821841.9485111265</v>
      </c>
      <c r="Z38" s="499">
        <f>Final!C23</f>
        <v>5834981.5740672164</v>
      </c>
      <c r="AA38" s="499">
        <f ca="1">Final!C22</f>
        <v>4838676</v>
      </c>
      <c r="AB38" s="499">
        <f ca="1">Final!C21</f>
        <v>5412483</v>
      </c>
      <c r="AC38" s="499">
        <f ca="1">Final!C20</f>
        <v>5547486</v>
      </c>
      <c r="AD38" s="499">
        <f ca="1">Final!C19</f>
        <v>5220777</v>
      </c>
      <c r="AE38" s="499">
        <f ca="1">Final!C18</f>
        <v>6008618</v>
      </c>
      <c r="AF38" s="499">
        <f ca="1">Final!C17</f>
        <v>5476271</v>
      </c>
      <c r="AG38" s="499">
        <f ca="1">Final!C16</f>
        <v>6394678</v>
      </c>
      <c r="AH38" s="499">
        <f ca="1">Final!C15</f>
        <v>6005202</v>
      </c>
      <c r="AI38" s="499">
        <f ca="1">Final!C14</f>
        <v>5703064</v>
      </c>
      <c r="AJ38" s="499">
        <f ca="1">Final!C13</f>
        <v>6102795</v>
      </c>
      <c r="AK38" s="499">
        <f ca="1">Final!C12</f>
        <v>6178865</v>
      </c>
      <c r="AL38" s="499">
        <f ca="1">Final!C11</f>
        <v>6901567</v>
      </c>
    </row>
    <row r="40" spans="1:38" x14ac:dyDescent="0.2">
      <c r="A40" s="227" t="s">
        <v>900</v>
      </c>
      <c r="C40" s="139">
        <f>+C11</f>
        <v>44287</v>
      </c>
      <c r="D40" s="139">
        <f t="shared" ref="D40:AC40" si="1">+D11</f>
        <v>44317</v>
      </c>
      <c r="E40" s="139">
        <f t="shared" si="1"/>
        <v>44348</v>
      </c>
      <c r="F40" s="139">
        <f t="shared" si="1"/>
        <v>44378</v>
      </c>
      <c r="G40" s="139">
        <f t="shared" si="1"/>
        <v>44409</v>
      </c>
      <c r="H40" s="139">
        <f t="shared" si="1"/>
        <v>44440</v>
      </c>
      <c r="I40" s="139">
        <f t="shared" si="1"/>
        <v>44470</v>
      </c>
      <c r="J40" s="139">
        <f t="shared" si="1"/>
        <v>44501</v>
      </c>
      <c r="K40" s="139">
        <f t="shared" si="1"/>
        <v>44531</v>
      </c>
      <c r="L40" s="139">
        <f t="shared" si="1"/>
        <v>44562</v>
      </c>
      <c r="M40" s="139">
        <f t="shared" si="1"/>
        <v>44593</v>
      </c>
      <c r="N40" s="139">
        <f t="shared" si="1"/>
        <v>44621</v>
      </c>
      <c r="O40" s="139">
        <f t="shared" si="1"/>
        <v>44652</v>
      </c>
      <c r="P40" s="139">
        <f t="shared" si="1"/>
        <v>44682</v>
      </c>
      <c r="Q40" s="139">
        <f t="shared" si="1"/>
        <v>44713</v>
      </c>
      <c r="R40" s="139">
        <f t="shared" si="1"/>
        <v>44743</v>
      </c>
      <c r="S40" s="139">
        <f t="shared" si="1"/>
        <v>44774</v>
      </c>
      <c r="T40" s="139">
        <f t="shared" si="1"/>
        <v>44805</v>
      </c>
      <c r="U40" s="139">
        <f t="shared" si="1"/>
        <v>44835</v>
      </c>
      <c r="V40" s="139">
        <f t="shared" si="1"/>
        <v>44866</v>
      </c>
      <c r="W40" s="139">
        <f t="shared" si="1"/>
        <v>44896</v>
      </c>
      <c r="X40" s="139">
        <f t="shared" si="1"/>
        <v>44927</v>
      </c>
      <c r="Y40" s="139">
        <f t="shared" si="1"/>
        <v>44958</v>
      </c>
      <c r="Z40" s="139">
        <f t="shared" si="1"/>
        <v>44986</v>
      </c>
      <c r="AA40" s="139">
        <f t="shared" si="1"/>
        <v>45017</v>
      </c>
      <c r="AB40" s="139">
        <f t="shared" si="1"/>
        <v>45047</v>
      </c>
      <c r="AC40" s="139">
        <f t="shared" si="1"/>
        <v>45078</v>
      </c>
    </row>
    <row r="41" spans="1:38" x14ac:dyDescent="0.2">
      <c r="A41" s="227" t="s">
        <v>901</v>
      </c>
      <c r="C41" s="176">
        <f>+C38</f>
        <v>3831107.2600000012</v>
      </c>
      <c r="D41" s="176">
        <f t="shared" ref="D41:AC41" si="2">+D38</f>
        <v>3905335.0300000021</v>
      </c>
      <c r="E41" s="176">
        <f t="shared" si="2"/>
        <v>4145169.4499999965</v>
      </c>
      <c r="F41" s="176">
        <f t="shared" si="2"/>
        <v>4320858.4500000011</v>
      </c>
      <c r="G41" s="176">
        <f t="shared" si="2"/>
        <v>5128246.0899999989</v>
      </c>
      <c r="H41" s="176">
        <f t="shared" si="2"/>
        <v>4974631.1699999934</v>
      </c>
      <c r="I41" s="176">
        <f t="shared" si="2"/>
        <v>5126929.0299999956</v>
      </c>
      <c r="J41" s="176">
        <f t="shared" si="2"/>
        <v>5107378.8699999973</v>
      </c>
      <c r="K41" s="176">
        <f t="shared" si="2"/>
        <v>5388176.0599999996</v>
      </c>
      <c r="L41" s="176">
        <f t="shared" si="2"/>
        <v>4230975.1900000079</v>
      </c>
      <c r="M41" s="176">
        <f t="shared" si="2"/>
        <v>4137940.4200000032</v>
      </c>
      <c r="N41" s="176">
        <f t="shared" si="2"/>
        <v>5147427.1300000064</v>
      </c>
      <c r="O41" s="176">
        <f t="shared" si="2"/>
        <v>4947613.3400000166</v>
      </c>
      <c r="P41" s="176">
        <f t="shared" si="2"/>
        <v>5184205.140000008</v>
      </c>
      <c r="Q41" s="176">
        <f t="shared" si="2"/>
        <v>5173808.2900000196</v>
      </c>
      <c r="R41" s="176">
        <f t="shared" si="2"/>
        <v>4982746.6900000153</v>
      </c>
      <c r="S41" s="176">
        <f t="shared" si="2"/>
        <v>5828321.8600000264</v>
      </c>
      <c r="T41" s="176">
        <f t="shared" si="2"/>
        <v>5247006.4900000235</v>
      </c>
      <c r="U41" s="176">
        <f t="shared" si="2"/>
        <v>5346516.4463065388</v>
      </c>
      <c r="V41" s="176">
        <f t="shared" si="2"/>
        <v>5047051.0525426669</v>
      </c>
      <c r="W41" s="176">
        <f t="shared" si="2"/>
        <v>5120495.1487528142</v>
      </c>
      <c r="X41" s="176">
        <f t="shared" si="2"/>
        <v>4620382.2943228586</v>
      </c>
      <c r="Y41" s="176">
        <f t="shared" si="2"/>
        <v>4821841.9485111265</v>
      </c>
      <c r="Z41" s="176">
        <f t="shared" si="2"/>
        <v>5834981.5740672164</v>
      </c>
      <c r="AA41" s="176">
        <f t="shared" ca="1" si="2"/>
        <v>4838676</v>
      </c>
      <c r="AB41" s="176">
        <f t="shared" ca="1" si="2"/>
        <v>5412483</v>
      </c>
      <c r="AC41" s="176">
        <f t="shared" ca="1" si="2"/>
        <v>5547486</v>
      </c>
    </row>
    <row r="43" spans="1:38" x14ac:dyDescent="0.2">
      <c r="C43" s="227" t="s">
        <v>903</v>
      </c>
    </row>
    <row r="44" spans="1:38" x14ac:dyDescent="0.2">
      <c r="B44" s="501"/>
      <c r="C44" s="502"/>
      <c r="D44" s="503"/>
      <c r="E44" s="503"/>
      <c r="F44" s="229" t="str">
        <f>Data!AZ4</f>
        <v>Adjusted Completion Factors</v>
      </c>
      <c r="G44" s="503"/>
      <c r="H44" s="251"/>
      <c r="I44" s="227"/>
      <c r="J44" s="227"/>
      <c r="K44" s="286" t="str">
        <f>Data!BE4</f>
        <v xml:space="preserve">   Adjusted Completion Factors - Sorted Lag Factors</v>
      </c>
      <c r="L44" s="503"/>
      <c r="M44" s="503"/>
      <c r="N44" s="503"/>
      <c r="O44" s="503"/>
      <c r="P44" s="251"/>
    </row>
    <row r="45" spans="1:38" x14ac:dyDescent="0.2">
      <c r="B45" s="254" t="s">
        <v>552</v>
      </c>
      <c r="C45" s="227"/>
      <c r="D45" s="227"/>
      <c r="E45" s="227"/>
      <c r="F45" s="227"/>
      <c r="G45" s="228" t="str">
        <f>Data!BA5</f>
        <v>Last 6</v>
      </c>
      <c r="H45" s="228" t="str">
        <f>Data!BB5</f>
        <v>Last 12</v>
      </c>
      <c r="I45" s="227"/>
      <c r="J45" s="227"/>
      <c r="K45" s="227"/>
      <c r="L45" s="227"/>
      <c r="M45" s="227"/>
      <c r="N45" s="227"/>
      <c r="O45" s="228" t="str">
        <f>Data!BI5</f>
        <v>Last 6</v>
      </c>
      <c r="P45" s="228" t="str">
        <f>Data!BJ5</f>
        <v>Last 12</v>
      </c>
    </row>
    <row r="46" spans="1:38" x14ac:dyDescent="0.2">
      <c r="B46" s="17" t="s">
        <v>902</v>
      </c>
      <c r="C46" s="8" t="str">
        <f>Data!AW6</f>
        <v>Last 3</v>
      </c>
      <c r="D46" s="8" t="str">
        <f>Data!AX6</f>
        <v>Last 6</v>
      </c>
      <c r="E46" s="8" t="str">
        <f>Data!AY6</f>
        <v>Last 12</v>
      </c>
      <c r="F46" s="8" t="str">
        <f>Data!AZ6</f>
        <v>All Data</v>
      </c>
      <c r="G46" s="38" t="str">
        <f>Data!BA6</f>
        <v>Rem H/L</v>
      </c>
      <c r="H46" s="38" t="str">
        <f>Data!BB6</f>
        <v>Rem H/L</v>
      </c>
      <c r="I46" s="8"/>
      <c r="J46" s="8"/>
      <c r="K46" s="8" t="str">
        <f>Data!BE6</f>
        <v>Last 3</v>
      </c>
      <c r="L46" s="8" t="str">
        <f>Data!BF6</f>
        <v>Last 6</v>
      </c>
      <c r="M46" s="8" t="str">
        <f>Data!BG6</f>
        <v>Last 12</v>
      </c>
      <c r="N46" s="8" t="str">
        <f>Data!BH6</f>
        <v>All Data</v>
      </c>
      <c r="O46" s="38" t="str">
        <f>Data!BI6</f>
        <v>Rem H/L</v>
      </c>
      <c r="P46" s="38" t="str">
        <f>Data!BJ6</f>
        <v>Rem H/L</v>
      </c>
    </row>
    <row r="47" spans="1:38" x14ac:dyDescent="0.2">
      <c r="A47" s="7" t="s">
        <v>17</v>
      </c>
      <c r="B47" s="510">
        <f ca="1">CORREL(C$41:AC$41,C13:AC13)</f>
        <v>0.6543584804170226</v>
      </c>
      <c r="C47" s="508">
        <f>Data!AW8</f>
        <v>0.22267961147516946</v>
      </c>
      <c r="D47" s="508">
        <f>Data!AX8</f>
        <v>0.21553914296864224</v>
      </c>
      <c r="E47" s="508">
        <f>Data!AY8</f>
        <v>0.23261241776060959</v>
      </c>
      <c r="F47" s="508">
        <f>Data!AZ8</f>
        <v>0.21250753586641688</v>
      </c>
      <c r="G47" s="508">
        <f>Data!BA8</f>
        <v>0.21996961268782741</v>
      </c>
      <c r="H47" s="508">
        <f>Data!BB8</f>
        <v>0.22629229444231419</v>
      </c>
      <c r="I47" s="192"/>
      <c r="J47" s="192"/>
      <c r="K47" s="508">
        <f>Data!BE8</f>
        <v>0.22267961147516943</v>
      </c>
      <c r="L47" s="508">
        <f>Data!BF8</f>
        <v>0.21553914296864221</v>
      </c>
      <c r="M47" s="508">
        <f>Data!BG8</f>
        <v>0.23261241776060959</v>
      </c>
      <c r="N47" s="508">
        <f>Data!BH8</f>
        <v>0.21250753586641688</v>
      </c>
      <c r="O47" s="508">
        <f>Data!BI8</f>
        <v>0.21996961268782739</v>
      </c>
      <c r="P47" s="508">
        <f>Data!BJ8</f>
        <v>0.22629229444231427</v>
      </c>
    </row>
    <row r="48" spans="1:38" x14ac:dyDescent="0.2">
      <c r="A48" s="7" t="s">
        <v>18</v>
      </c>
      <c r="B48" s="511">
        <f t="shared" ref="B48:B70" ca="1" si="3">CORREL(C$41:AC$41,C14:AC14)</f>
        <v>0.75834934528440079</v>
      </c>
      <c r="C48" s="508">
        <f>Data!AW9</f>
        <v>0.73289500849945555</v>
      </c>
      <c r="D48" s="508">
        <f>Data!AX9</f>
        <v>0.7322408374727789</v>
      </c>
      <c r="E48" s="508">
        <f>Data!AY9</f>
        <v>0.74190568606740681</v>
      </c>
      <c r="F48" s="508">
        <f>Data!AZ9</f>
        <v>0.66016688404252932</v>
      </c>
      <c r="G48" s="508">
        <f>Data!BA9</f>
        <v>0.73247726322831042</v>
      </c>
      <c r="H48" s="508">
        <f>Data!BB9</f>
        <v>0.74100339394363057</v>
      </c>
      <c r="I48" s="192"/>
      <c r="J48" s="192"/>
      <c r="K48" s="508">
        <f>Data!BE9</f>
        <v>0.73289500849945544</v>
      </c>
      <c r="L48" s="508">
        <f>Data!BF9</f>
        <v>0.73224083747277879</v>
      </c>
      <c r="M48" s="508">
        <f>Data!BG9</f>
        <v>0.74190568606740681</v>
      </c>
      <c r="N48" s="508">
        <f>Data!BH9</f>
        <v>0.66016688404252932</v>
      </c>
      <c r="O48" s="508">
        <f>Data!BI9</f>
        <v>0.7324772632283103</v>
      </c>
      <c r="P48" s="508">
        <f>Data!BJ9</f>
        <v>0.74100339394363079</v>
      </c>
    </row>
    <row r="49" spans="1:16" x14ac:dyDescent="0.2">
      <c r="A49" s="7" t="s">
        <v>19</v>
      </c>
      <c r="B49" s="511">
        <f t="shared" ca="1" si="3"/>
        <v>0.87571895911281938</v>
      </c>
      <c r="C49" s="508">
        <f>Data!AW10</f>
        <v>0.87909387335932276</v>
      </c>
      <c r="D49" s="508">
        <f>Data!AX10</f>
        <v>0.87409588137181282</v>
      </c>
      <c r="E49" s="508">
        <f>Data!AY10</f>
        <v>0.87820248963569991</v>
      </c>
      <c r="F49" s="508">
        <f>Data!AZ10</f>
        <v>0.80586142120701187</v>
      </c>
      <c r="G49" s="508">
        <f>Data!BA10</f>
        <v>0.87659549430297368</v>
      </c>
      <c r="H49" s="508">
        <f>Data!BB10</f>
        <v>0.88166185284618559</v>
      </c>
      <c r="I49" s="192"/>
      <c r="J49" s="192"/>
      <c r="K49" s="508">
        <f>Data!BE10</f>
        <v>0.87909387335932265</v>
      </c>
      <c r="L49" s="508">
        <f>Data!BF10</f>
        <v>0.8740958813718126</v>
      </c>
      <c r="M49" s="508">
        <f>Data!BG10</f>
        <v>0.87820248963569991</v>
      </c>
      <c r="N49" s="508">
        <f>Data!BH10</f>
        <v>0.80586142120701187</v>
      </c>
      <c r="O49" s="508">
        <f>Data!BI10</f>
        <v>0.87659549430297357</v>
      </c>
      <c r="P49" s="508">
        <f>Data!BJ10</f>
        <v>0.88166185284618581</v>
      </c>
    </row>
    <row r="50" spans="1:16" x14ac:dyDescent="0.2">
      <c r="A50" s="7" t="s">
        <v>20</v>
      </c>
      <c r="B50" s="511">
        <f t="shared" ca="1" si="3"/>
        <v>0.92942046332037165</v>
      </c>
      <c r="C50" s="508">
        <f>Data!AW11</f>
        <v>0.93383202622570205</v>
      </c>
      <c r="D50" s="508">
        <f>Data!AX11</f>
        <v>0.92837614609871677</v>
      </c>
      <c r="E50" s="508">
        <f>Data!AY11</f>
        <v>0.92758925354060517</v>
      </c>
      <c r="F50" s="508">
        <f>Data!AZ11</f>
        <v>0.87266317835254281</v>
      </c>
      <c r="G50" s="508">
        <f>Data!BA11</f>
        <v>0.93173196095385558</v>
      </c>
      <c r="H50" s="508">
        <f>Data!BB11</f>
        <v>0.93111555708440763</v>
      </c>
      <c r="I50" s="192"/>
      <c r="J50" s="192"/>
      <c r="K50" s="508">
        <f>Data!BE11</f>
        <v>0.93383202622570194</v>
      </c>
      <c r="L50" s="508">
        <f>Data!BF11</f>
        <v>0.92837614609871655</v>
      </c>
      <c r="M50" s="508">
        <f>Data!BG11</f>
        <v>0.92758925354060517</v>
      </c>
      <c r="N50" s="508">
        <f>Data!BH11</f>
        <v>0.87266317835254292</v>
      </c>
      <c r="O50" s="508">
        <f>Data!BI11</f>
        <v>0.93173196095385546</v>
      </c>
      <c r="P50" s="508">
        <f>Data!BJ11</f>
        <v>0.93111555708440785</v>
      </c>
    </row>
    <row r="51" spans="1:16" x14ac:dyDescent="0.2">
      <c r="A51" s="7" t="s">
        <v>21</v>
      </c>
      <c r="B51" s="511">
        <f t="shared" ca="1" si="3"/>
        <v>0.95812057253245109</v>
      </c>
      <c r="C51" s="508">
        <f>Data!AW12</f>
        <v>0.95356844093311832</v>
      </c>
      <c r="D51" s="508">
        <f>Data!AX12</f>
        <v>0.94777800665301637</v>
      </c>
      <c r="E51" s="508">
        <f>Data!AY12</f>
        <v>0.94524790181229301</v>
      </c>
      <c r="F51" s="508">
        <f>Data!AZ12</f>
        <v>0.90617230927349479</v>
      </c>
      <c r="G51" s="508">
        <f>Data!BA12</f>
        <v>0.9503565314888569</v>
      </c>
      <c r="H51" s="508">
        <f>Data!BB12</f>
        <v>0.94856143575069685</v>
      </c>
      <c r="I51" s="192"/>
      <c r="J51" s="192"/>
      <c r="K51" s="508">
        <f>Data!BE12</f>
        <v>0.95356844093311821</v>
      </c>
      <c r="L51" s="508">
        <f>Data!BF12</f>
        <v>0.94777800665301615</v>
      </c>
      <c r="M51" s="508">
        <f>Data!BG12</f>
        <v>0.94524790181229301</v>
      </c>
      <c r="N51" s="508">
        <f>Data!BH12</f>
        <v>0.9061723092734949</v>
      </c>
      <c r="O51" s="508">
        <f>Data!BI12</f>
        <v>0.95035653148885679</v>
      </c>
      <c r="P51" s="508">
        <f>Data!BJ12</f>
        <v>0.94856143575069707</v>
      </c>
    </row>
    <row r="52" spans="1:16" x14ac:dyDescent="0.2">
      <c r="A52" s="7" t="s">
        <v>22</v>
      </c>
      <c r="B52" s="511">
        <f t="shared" ca="1" si="3"/>
        <v>0.96980738555559087</v>
      </c>
      <c r="C52" s="508">
        <f>Data!AW13</f>
        <v>0.96242769045952814</v>
      </c>
      <c r="D52" s="508">
        <f>Data!AX13</f>
        <v>0.95685483322655829</v>
      </c>
      <c r="E52" s="508">
        <f>Data!AY13</f>
        <v>0.95442563316371398</v>
      </c>
      <c r="F52" s="508">
        <f>Data!AZ13</f>
        <v>0.92793683044965436</v>
      </c>
      <c r="G52" s="508">
        <f>Data!BA13</f>
        <v>0.95967013465751694</v>
      </c>
      <c r="H52" s="508">
        <f>Data!BB13</f>
        <v>0.95780885209330213</v>
      </c>
      <c r="I52" s="192"/>
      <c r="J52" s="192"/>
      <c r="K52" s="508">
        <f>Data!BE13</f>
        <v>0.96242769045952803</v>
      </c>
      <c r="L52" s="508">
        <f>Data!BF13</f>
        <v>0.95685483322655807</v>
      </c>
      <c r="M52" s="508">
        <f>Data!BG13</f>
        <v>0.95442563316371398</v>
      </c>
      <c r="N52" s="508">
        <f>Data!BH13</f>
        <v>0.92793683044965447</v>
      </c>
      <c r="O52" s="508">
        <f>Data!BI13</f>
        <v>0.95967013465751683</v>
      </c>
      <c r="P52" s="508">
        <f>Data!BJ13</f>
        <v>0.95780885209330235</v>
      </c>
    </row>
    <row r="53" spans="1:16" x14ac:dyDescent="0.2">
      <c r="A53" s="7" t="s">
        <v>23</v>
      </c>
      <c r="B53" s="511">
        <f t="shared" ca="1" si="3"/>
        <v>0.97875655222154334</v>
      </c>
      <c r="C53" s="508">
        <f>Data!AW14</f>
        <v>0.96929641614863582</v>
      </c>
      <c r="D53" s="508">
        <f>Data!AX14</f>
        <v>0.96398179238062165</v>
      </c>
      <c r="E53" s="508">
        <f>Data!AY14</f>
        <v>0.96266732516683329</v>
      </c>
      <c r="F53" s="508">
        <f>Data!AZ14</f>
        <v>0.94297653417538729</v>
      </c>
      <c r="G53" s="508">
        <f>Data!BA14</f>
        <v>0.96679619254160809</v>
      </c>
      <c r="H53" s="508">
        <f>Data!BB14</f>
        <v>0.96587441371815064</v>
      </c>
      <c r="I53" s="192"/>
      <c r="J53" s="192"/>
      <c r="K53" s="508">
        <f>Data!BE14</f>
        <v>0.96929641614863571</v>
      </c>
      <c r="L53" s="508">
        <f>Data!BF14</f>
        <v>0.9641460148233526</v>
      </c>
      <c r="M53" s="508">
        <f>Data!BG14</f>
        <v>0.96266732516683329</v>
      </c>
      <c r="N53" s="508">
        <f>Data!BH14</f>
        <v>0.9429765341753874</v>
      </c>
      <c r="O53" s="508">
        <f>Data!BI14</f>
        <v>0.96679619254160798</v>
      </c>
      <c r="P53" s="508">
        <f>Data!BJ14</f>
        <v>0.96587441371815086</v>
      </c>
    </row>
    <row r="54" spans="1:16" x14ac:dyDescent="0.2">
      <c r="A54" s="7" t="s">
        <v>24</v>
      </c>
      <c r="B54" s="511">
        <f t="shared" ca="1" si="3"/>
        <v>0.98892580288523169</v>
      </c>
      <c r="C54" s="508">
        <f>Data!AW15</f>
        <v>0.97605994987273759</v>
      </c>
      <c r="D54" s="508">
        <f>Data!AX15</f>
        <v>0.97132728101712662</v>
      </c>
      <c r="E54" s="508">
        <f>Data!AY15</f>
        <v>0.96975398823719716</v>
      </c>
      <c r="F54" s="508">
        <f>Data!AZ15</f>
        <v>0.95481421391443222</v>
      </c>
      <c r="G54" s="508">
        <f>Data!BA15</f>
        <v>0.97366947266372528</v>
      </c>
      <c r="H54" s="508">
        <f>Data!BB15</f>
        <v>0.97273756151259516</v>
      </c>
      <c r="I54" s="192"/>
      <c r="J54" s="192"/>
      <c r="K54" s="508">
        <f>Data!BE15</f>
        <v>0.97605994987273748</v>
      </c>
      <c r="L54" s="508">
        <f>Data!BF15</f>
        <v>0.9713272810171264</v>
      </c>
      <c r="M54" s="508">
        <f>Data!BG15</f>
        <v>0.96975398823719716</v>
      </c>
      <c r="N54" s="508">
        <f>Data!BH15</f>
        <v>0.95481421391443233</v>
      </c>
      <c r="O54" s="508">
        <f>Data!BI15</f>
        <v>0.97366947266372517</v>
      </c>
      <c r="P54" s="508">
        <f>Data!BJ15</f>
        <v>0.97273756151259538</v>
      </c>
    </row>
    <row r="55" spans="1:16" x14ac:dyDescent="0.2">
      <c r="A55" s="7" t="s">
        <v>25</v>
      </c>
      <c r="B55" s="511">
        <f t="shared" ca="1" si="3"/>
        <v>0.9914512999893047</v>
      </c>
      <c r="C55" s="508">
        <f>Data!AW16</f>
        <v>0.98008004829088269</v>
      </c>
      <c r="D55" s="508">
        <f>Data!AX16</f>
        <v>0.97521571083726688</v>
      </c>
      <c r="E55" s="508">
        <f>Data!AY16</f>
        <v>0.97457072439158232</v>
      </c>
      <c r="F55" s="508">
        <f>Data!AZ16</f>
        <v>0.96180874690162388</v>
      </c>
      <c r="G55" s="508">
        <f>Data!BA16</f>
        <v>0.9775939472766757</v>
      </c>
      <c r="H55" s="508">
        <f>Data!BB16</f>
        <v>0.97737831187969959</v>
      </c>
      <c r="I55" s="192"/>
      <c r="J55" s="192"/>
      <c r="K55" s="508">
        <f>Data!BE16</f>
        <v>0.98008004829088258</v>
      </c>
      <c r="L55" s="508">
        <f>Data!BF16</f>
        <v>0.97521571083726666</v>
      </c>
      <c r="M55" s="508">
        <f>Data!BG16</f>
        <v>0.97457072439158232</v>
      </c>
      <c r="N55" s="508">
        <f>Data!BH16</f>
        <v>0.96180874690162399</v>
      </c>
      <c r="O55" s="508">
        <f>Data!BI16</f>
        <v>0.97759394727667559</v>
      </c>
      <c r="P55" s="508">
        <f>Data!BJ16</f>
        <v>0.97737831187969981</v>
      </c>
    </row>
    <row r="56" spans="1:16" x14ac:dyDescent="0.2">
      <c r="A56" s="7" t="s">
        <v>26</v>
      </c>
      <c r="B56" s="511">
        <f t="shared" ca="1" si="3"/>
        <v>0.99459999112240072</v>
      </c>
      <c r="C56" s="508">
        <f>Data!AW17</f>
        <v>0.98307841292336984</v>
      </c>
      <c r="D56" s="508">
        <f>Data!AX17</f>
        <v>0.97861987373546322</v>
      </c>
      <c r="E56" s="508">
        <f>Data!AY17</f>
        <v>0.97812221495946883</v>
      </c>
      <c r="F56" s="508">
        <f>Data!AZ17</f>
        <v>0.9678020710325459</v>
      </c>
      <c r="G56" s="508">
        <f>Data!BA17</f>
        <v>0.98115334904935636</v>
      </c>
      <c r="H56" s="508">
        <f>Data!BB17</f>
        <v>0.98089684997822646</v>
      </c>
      <c r="I56" s="192"/>
      <c r="J56" s="192"/>
      <c r="K56" s="508">
        <f>Data!BE17</f>
        <v>0.98321760122923363</v>
      </c>
      <c r="L56" s="508">
        <f>Data!BF17</f>
        <v>0.97875893635359446</v>
      </c>
      <c r="M56" s="508">
        <f>Data!BG17</f>
        <v>0.97812221495946883</v>
      </c>
      <c r="N56" s="508">
        <f>Data!BH17</f>
        <v>0.96780207103254601</v>
      </c>
      <c r="O56" s="508">
        <f>Data!BI17</f>
        <v>0.98115334904935625</v>
      </c>
      <c r="P56" s="508">
        <f>Data!BJ17</f>
        <v>0.98089684997822668</v>
      </c>
    </row>
    <row r="57" spans="1:16" x14ac:dyDescent="0.2">
      <c r="A57" s="7" t="s">
        <v>27</v>
      </c>
      <c r="B57" s="511">
        <f t="shared" ca="1" si="3"/>
        <v>0.99527372108522671</v>
      </c>
      <c r="C57" s="508">
        <f>Data!AW18</f>
        <v>0.98622556459580313</v>
      </c>
      <c r="D57" s="508">
        <f>Data!AX18</f>
        <v>0.98217546750704832</v>
      </c>
      <c r="E57" s="508">
        <f>Data!AY18</f>
        <v>0.98158971719507759</v>
      </c>
      <c r="F57" s="508">
        <f>Data!AZ18</f>
        <v>0.97264985576250418</v>
      </c>
      <c r="G57" s="508">
        <f>Data!BA18</f>
        <v>0.98455128166856321</v>
      </c>
      <c r="H57" s="508">
        <f>Data!BB18</f>
        <v>0.98432951543940195</v>
      </c>
      <c r="I57" s="192"/>
      <c r="J57" s="192"/>
      <c r="K57" s="508">
        <f>Data!BE18</f>
        <v>0.98622556459580302</v>
      </c>
      <c r="L57" s="508">
        <f>Data!BF18</f>
        <v>0.98217546750704821</v>
      </c>
      <c r="M57" s="508">
        <f>Data!BG18</f>
        <v>0.98158971719507759</v>
      </c>
      <c r="N57" s="508">
        <f>Data!BH18</f>
        <v>0.97288358546460241</v>
      </c>
      <c r="O57" s="508">
        <f>Data!BI18</f>
        <v>0.98455128166856309</v>
      </c>
      <c r="P57" s="508">
        <f>Data!BJ18</f>
        <v>0.98432951543940217</v>
      </c>
    </row>
    <row r="58" spans="1:16" x14ac:dyDescent="0.2">
      <c r="A58" s="7" t="s">
        <v>28</v>
      </c>
      <c r="B58" s="511">
        <f t="shared" ca="1" si="3"/>
        <v>0.99775091600565879</v>
      </c>
      <c r="C58" s="508">
        <f>Data!AW19</f>
        <v>0.98818794845553182</v>
      </c>
      <c r="D58" s="508">
        <f>Data!AX19</f>
        <v>0.98447441318381057</v>
      </c>
      <c r="E58" s="508">
        <f>Data!AY19</f>
        <v>0.98418334317359979</v>
      </c>
      <c r="F58" s="508">
        <f>Data!AZ19</f>
        <v>0.9777568238372073</v>
      </c>
      <c r="G58" s="508">
        <f>Data!BA19</f>
        <v>0.98690570972219016</v>
      </c>
      <c r="H58" s="508">
        <f>Data!BB19</f>
        <v>0.98677567309757686</v>
      </c>
      <c r="I58" s="192"/>
      <c r="J58" s="192"/>
      <c r="K58" s="508">
        <f>Data!BE19</f>
        <v>0.98849877852637147</v>
      </c>
      <c r="L58" s="508">
        <f>Data!BF19</f>
        <v>0.98512912697869814</v>
      </c>
      <c r="M58" s="508">
        <f>Data!BG19</f>
        <v>0.98418334317359979</v>
      </c>
      <c r="N58" s="508">
        <f>Data!BH19</f>
        <v>0.97775682383720741</v>
      </c>
      <c r="O58" s="508">
        <f>Data!BI19</f>
        <v>0.98764087904085918</v>
      </c>
      <c r="P58" s="508">
        <f>Data!BJ19</f>
        <v>0.98692062346248677</v>
      </c>
    </row>
    <row r="59" spans="1:16" x14ac:dyDescent="0.2">
      <c r="A59" s="7" t="s">
        <v>29</v>
      </c>
      <c r="B59" s="511">
        <f t="shared" ca="1" si="3"/>
        <v>0.99821426756504428</v>
      </c>
      <c r="C59" s="508">
        <f>Data!AW20</f>
        <v>0.99046568560927273</v>
      </c>
      <c r="D59" s="508">
        <f>Data!AX20</f>
        <v>0.98743498618863002</v>
      </c>
      <c r="E59" s="508">
        <f>Data!AY20</f>
        <v>0.98673302468878843</v>
      </c>
      <c r="F59" s="508">
        <f>Data!AZ20</f>
        <v>0.9822669434208634</v>
      </c>
      <c r="G59" s="508">
        <f>Data!BA20</f>
        <v>0.99000269547014852</v>
      </c>
      <c r="H59" s="508">
        <f>Data!BB20</f>
        <v>0.98937322028420827</v>
      </c>
      <c r="I59" s="192"/>
      <c r="J59" s="192"/>
      <c r="K59" s="508">
        <f>Data!BE20</f>
        <v>0.99046568560927273</v>
      </c>
      <c r="L59" s="508">
        <f>Data!BF20</f>
        <v>0.98743498618863002</v>
      </c>
      <c r="M59" s="508">
        <f>Data!BG20</f>
        <v>0.98673302468878843</v>
      </c>
      <c r="N59" s="508">
        <f>Data!BH20</f>
        <v>0.98226694342086351</v>
      </c>
      <c r="O59" s="508">
        <f>Data!BI20</f>
        <v>0.99000269547014841</v>
      </c>
      <c r="P59" s="508">
        <f>Data!BJ20</f>
        <v>0.98937322028420838</v>
      </c>
    </row>
    <row r="60" spans="1:16" x14ac:dyDescent="0.2">
      <c r="A60" s="7" t="s">
        <v>30</v>
      </c>
      <c r="B60" s="511">
        <f t="shared" ca="1" si="3"/>
        <v>0.9987491688956216</v>
      </c>
      <c r="C60" s="508">
        <f>Data!AW21</f>
        <v>0.99230199181628465</v>
      </c>
      <c r="D60" s="508">
        <f>Data!AX21</f>
        <v>0.98959360778579009</v>
      </c>
      <c r="E60" s="508">
        <f>Data!AY21</f>
        <v>0.98866043268139026</v>
      </c>
      <c r="F60" s="508">
        <f>Data!AZ21</f>
        <v>0.98534653086808754</v>
      </c>
      <c r="G60" s="508">
        <f>Data!BA21</f>
        <v>0.99212628164711747</v>
      </c>
      <c r="H60" s="508">
        <f>Data!BB21</f>
        <v>0.99128943284453952</v>
      </c>
      <c r="I60" s="192"/>
      <c r="J60" s="192"/>
      <c r="K60" s="508">
        <f>Data!BE21</f>
        <v>0.99232585644245774</v>
      </c>
      <c r="L60" s="508">
        <f>Data!BF21</f>
        <v>0.98959360778579009</v>
      </c>
      <c r="M60" s="508">
        <f>Data!BG21</f>
        <v>0.98866043268139026</v>
      </c>
      <c r="N60" s="508">
        <f>Data!BH21</f>
        <v>0.98534653086808766</v>
      </c>
      <c r="O60" s="508">
        <f>Data!BI21</f>
        <v>0.99212628164711736</v>
      </c>
      <c r="P60" s="508">
        <f>Data!BJ21</f>
        <v>0.99128943284453963</v>
      </c>
    </row>
    <row r="61" spans="1:16" x14ac:dyDescent="0.2">
      <c r="A61" s="7" t="s">
        <v>31</v>
      </c>
      <c r="B61" s="511">
        <f t="shared" ca="1" si="3"/>
        <v>0.99871232137104626</v>
      </c>
      <c r="C61" s="508">
        <f>Data!AW22</f>
        <v>0.99361516573464881</v>
      </c>
      <c r="D61" s="508">
        <f>Data!AX22</f>
        <v>0.99092526296484351</v>
      </c>
      <c r="E61" s="508">
        <f>Data!AY22</f>
        <v>0.99029516267526208</v>
      </c>
      <c r="F61" s="508">
        <f>Data!AZ22</f>
        <v>0.98748421001778208</v>
      </c>
      <c r="G61" s="508">
        <f>Data!BA22</f>
        <v>0.99345967848968186</v>
      </c>
      <c r="H61" s="508">
        <f>Data!BB22</f>
        <v>0.9928990715119913</v>
      </c>
      <c r="I61" s="192"/>
      <c r="J61" s="192"/>
      <c r="K61" s="508">
        <f>Data!BE22</f>
        <v>0.99416561137394011</v>
      </c>
      <c r="L61" s="508">
        <f>Data!BF22</f>
        <v>0.99118167806823909</v>
      </c>
      <c r="M61" s="508">
        <f>Data!BG22</f>
        <v>0.99029516267526208</v>
      </c>
      <c r="N61" s="508">
        <f>Data!BH22</f>
        <v>0.98748421001778219</v>
      </c>
      <c r="O61" s="508">
        <f>Data!BI22</f>
        <v>0.99372176831283765</v>
      </c>
      <c r="P61" s="508">
        <f>Data!BJ22</f>
        <v>0.99289907151199142</v>
      </c>
    </row>
    <row r="62" spans="1:16" x14ac:dyDescent="0.2">
      <c r="A62" s="7" t="s">
        <v>32</v>
      </c>
      <c r="B62" s="511">
        <f t="shared" ca="1" si="3"/>
        <v>0.99862026857101527</v>
      </c>
      <c r="C62" s="508">
        <f>Data!AW23</f>
        <v>0.9954812515340502</v>
      </c>
      <c r="D62" s="508">
        <f>Data!AX23</f>
        <v>0.99246409817179737</v>
      </c>
      <c r="E62" s="508">
        <f>Data!AY23</f>
        <v>0.99161571476401633</v>
      </c>
      <c r="F62" s="508">
        <f>Data!AZ23</f>
        <v>0.98941379049132128</v>
      </c>
      <c r="G62" s="508">
        <f>Data!BA23</f>
        <v>0.99505730945590287</v>
      </c>
      <c r="H62" s="508">
        <f>Data!BB23</f>
        <v>0.99423139336493305</v>
      </c>
      <c r="I62" s="192"/>
      <c r="J62" s="192"/>
      <c r="K62" s="508">
        <f>Data!BE23</f>
        <v>0.99548125153405032</v>
      </c>
      <c r="L62" s="508">
        <f>Data!BF23</f>
        <v>0.99272091146928843</v>
      </c>
      <c r="M62" s="508">
        <f>Data!BG23</f>
        <v>0.99161571476401633</v>
      </c>
      <c r="N62" s="508">
        <f>Data!BH23</f>
        <v>0.98941379049132139</v>
      </c>
      <c r="O62" s="508">
        <f>Data!BI23</f>
        <v>0.99505730945590265</v>
      </c>
      <c r="P62" s="508">
        <f>Data!BJ23</f>
        <v>0.99423139336493316</v>
      </c>
    </row>
    <row r="63" spans="1:16" x14ac:dyDescent="0.2">
      <c r="A63" s="7" t="s">
        <v>33</v>
      </c>
      <c r="B63" s="511">
        <f t="shared" ca="1" si="3"/>
        <v>0.99857225156919993</v>
      </c>
      <c r="C63" s="508">
        <f>Data!AW24</f>
        <v>0.99583180633719082</v>
      </c>
      <c r="D63" s="508">
        <f>Data!AX24</f>
        <v>0.99302190087320263</v>
      </c>
      <c r="E63" s="508">
        <f>Data!AY24</f>
        <v>0.99280001957186592</v>
      </c>
      <c r="F63" s="508">
        <f>Data!AZ24</f>
        <v>0.99115924258650667</v>
      </c>
      <c r="G63" s="508">
        <f>Data!BA24</f>
        <v>0.99557540077361617</v>
      </c>
      <c r="H63" s="508">
        <f>Data!BB24</f>
        <v>0.99500658140663578</v>
      </c>
      <c r="I63" s="192"/>
      <c r="J63" s="192"/>
      <c r="K63" s="508">
        <f>Data!BE24</f>
        <v>0.99634285123422484</v>
      </c>
      <c r="L63" s="508">
        <f>Data!BF24</f>
        <v>0.99405677493153388</v>
      </c>
      <c r="M63" s="508">
        <f>Data!BG24</f>
        <v>0.99280001957186592</v>
      </c>
      <c r="N63" s="508">
        <f>Data!BH24</f>
        <v>0.99122722875580671</v>
      </c>
      <c r="O63" s="508">
        <f>Data!BI24</f>
        <v>0.99594346919562016</v>
      </c>
      <c r="P63" s="508">
        <f>Data!BJ24</f>
        <v>0.99511068972032002</v>
      </c>
    </row>
    <row r="64" spans="1:16" x14ac:dyDescent="0.2">
      <c r="A64" s="7" t="s">
        <v>34</v>
      </c>
      <c r="B64" s="511">
        <f t="shared" ca="1" si="3"/>
        <v>0.99842648289332014</v>
      </c>
      <c r="C64" s="508">
        <f>Data!AW25</f>
        <v>0.99636767591128361</v>
      </c>
      <c r="D64" s="508">
        <f>Data!AX25</f>
        <v>0.99398298188557066</v>
      </c>
      <c r="E64" s="508">
        <f>Data!AY25</f>
        <v>0.99368976333277237</v>
      </c>
      <c r="F64" s="508">
        <f>Data!AZ25</f>
        <v>0.992562234342654</v>
      </c>
      <c r="G64" s="508">
        <f>Data!BA25</f>
        <v>0.99646202190551969</v>
      </c>
      <c r="H64" s="508">
        <f>Data!BB25</f>
        <v>0.99585572447734771</v>
      </c>
      <c r="I64" s="192"/>
      <c r="J64" s="192"/>
      <c r="K64" s="508">
        <f>Data!BE25</f>
        <v>0.99687899580798089</v>
      </c>
      <c r="L64" s="508">
        <f>Data!BF25</f>
        <v>0.99505055101257567</v>
      </c>
      <c r="M64" s="508">
        <f>Data!BG25</f>
        <v>0.99375997291221108</v>
      </c>
      <c r="N64" s="508">
        <f>Data!BH25</f>
        <v>0.99297587998733794</v>
      </c>
      <c r="O64" s="508">
        <f>Data!BI25</f>
        <v>0.996711210946579</v>
      </c>
      <c r="P64" s="508">
        <f>Data!BJ25</f>
        <v>0.99595992163753289</v>
      </c>
    </row>
    <row r="65" spans="1:20" x14ac:dyDescent="0.2">
      <c r="A65" s="7" t="s">
        <v>35</v>
      </c>
      <c r="B65" s="511">
        <f t="shared" ca="1" si="3"/>
        <v>0.99832611457040044</v>
      </c>
      <c r="C65" s="508">
        <f>Data!AW26</f>
        <v>0.99651700030546342</v>
      </c>
      <c r="D65" s="508">
        <f>Data!AX26</f>
        <v>0.99485353616260019</v>
      </c>
      <c r="E65" s="508">
        <f>Data!AY26</f>
        <v>0.99460193038420153</v>
      </c>
      <c r="F65" s="508">
        <f>Data!AZ26</f>
        <v>0.99438144320444499</v>
      </c>
      <c r="G65" s="508">
        <f>Data!BA26</f>
        <v>0.99723016339258574</v>
      </c>
      <c r="H65" s="508">
        <f>Data!BB26</f>
        <v>0.99673645738808436</v>
      </c>
      <c r="I65" s="192"/>
      <c r="J65" s="192"/>
      <c r="K65" s="508">
        <f>Data!BE26</f>
        <v>0.99731007934130145</v>
      </c>
      <c r="L65" s="508">
        <f>Data!BF26</f>
        <v>0.99601359542285861</v>
      </c>
      <c r="M65" s="508">
        <f>Data!BG26</f>
        <v>0.99467220441319726</v>
      </c>
      <c r="N65" s="508">
        <f>Data!BH26</f>
        <v>0.9943814432044451</v>
      </c>
      <c r="O65" s="508">
        <f>Data!BI26</f>
        <v>0.99723016339258563</v>
      </c>
      <c r="P65" s="508">
        <f>Data!BJ26</f>
        <v>0.99673645738808447</v>
      </c>
    </row>
    <row r="66" spans="1:20" x14ac:dyDescent="0.2">
      <c r="A66" s="7" t="s">
        <v>36</v>
      </c>
      <c r="B66" s="511">
        <f t="shared" ca="1" si="3"/>
        <v>0.99826344906541509</v>
      </c>
      <c r="C66" s="508">
        <f>Data!AW27</f>
        <v>0.99672446837448281</v>
      </c>
      <c r="D66" s="508">
        <f>Data!AX27</f>
        <v>0.99525531193654615</v>
      </c>
      <c r="E66" s="508">
        <f>Data!AY27</f>
        <v>0.99530655873700502</v>
      </c>
      <c r="F66" s="508">
        <f>Data!AZ27</f>
        <v>0.99520939176505718</v>
      </c>
      <c r="G66" s="508">
        <f>Data!BA27</f>
        <v>0.99753456694643461</v>
      </c>
      <c r="H66" s="508">
        <f>Data!BB27</f>
        <v>0.99732902356122322</v>
      </c>
      <c r="I66" s="192"/>
      <c r="J66" s="192"/>
      <c r="K66" s="508">
        <f>Data!BE27</f>
        <v>0.99767848421994321</v>
      </c>
      <c r="L66" s="508">
        <f>Data!BF27</f>
        <v>0.99688592816021593</v>
      </c>
      <c r="M66" s="508">
        <f>Data!BG27</f>
        <v>0.99556362601933834</v>
      </c>
      <c r="N66" s="508">
        <f>Data!BH27</f>
        <v>0.9953285256955362</v>
      </c>
      <c r="O66" s="508">
        <f>Data!BI27</f>
        <v>0.99768110082011685</v>
      </c>
      <c r="P66" s="508">
        <f>Data!BJ27</f>
        <v>0.99732902356122333</v>
      </c>
    </row>
    <row r="67" spans="1:20" x14ac:dyDescent="0.2">
      <c r="A67" s="7" t="s">
        <v>37</v>
      </c>
      <c r="B67" s="511">
        <f t="shared" ca="1" si="3"/>
        <v>0.99826357238955854</v>
      </c>
      <c r="C67" s="508">
        <f>Data!AW28</f>
        <v>0.99715548508501717</v>
      </c>
      <c r="D67" s="508">
        <f>Data!AX28</f>
        <v>0.9958210573764058</v>
      </c>
      <c r="E67" s="508">
        <f>Data!AY28</f>
        <v>0.99595419304663724</v>
      </c>
      <c r="F67" s="508">
        <f>Data!AZ28</f>
        <v>0.9959381101326531</v>
      </c>
      <c r="G67" s="508">
        <f>Data!BA28</f>
        <v>0.99788691701199039</v>
      </c>
      <c r="H67" s="508">
        <f>Data!BB28</f>
        <v>0.99777241109372983</v>
      </c>
      <c r="I67" s="192"/>
      <c r="J67" s="192"/>
      <c r="K67" s="508">
        <f>Data!BE28</f>
        <v>0.99802981276992286</v>
      </c>
      <c r="L67" s="508">
        <f>Data!BF28</f>
        <v>0.99745260051167473</v>
      </c>
      <c r="M67" s="508">
        <f>Data!BG28</f>
        <v>0.99629321548023264</v>
      </c>
      <c r="N67" s="508">
        <f>Data!BH28</f>
        <v>0.99615726282233763</v>
      </c>
      <c r="O67" s="508">
        <f>Data!BI28</f>
        <v>0.99810762989105406</v>
      </c>
      <c r="P67" s="508">
        <f>Data!BJ28</f>
        <v>0.99781473596067161</v>
      </c>
    </row>
    <row r="68" spans="1:20" x14ac:dyDescent="0.2">
      <c r="A68" s="7" t="s">
        <v>38</v>
      </c>
      <c r="B68" s="511">
        <f t="shared" ca="1" si="3"/>
        <v>0.9982025095995315</v>
      </c>
      <c r="C68" s="508">
        <f>Data!AW29</f>
        <v>0.998018533852287</v>
      </c>
      <c r="D68" s="508">
        <f>Data!AX29</f>
        <v>0.99681659724170835</v>
      </c>
      <c r="E68" s="508">
        <f>Data!AY29</f>
        <v>0.99668406873091242</v>
      </c>
      <c r="F68" s="508">
        <f>Data!AZ29</f>
        <v>0.99667105184862093</v>
      </c>
      <c r="G68" s="508">
        <f>Data!BA29</f>
        <v>0.99831353407355816</v>
      </c>
      <c r="H68" s="508">
        <f>Data!BB29</f>
        <v>0.9982583394287593</v>
      </c>
      <c r="I68" s="192"/>
      <c r="J68" s="192"/>
      <c r="K68" s="508">
        <f>Data!BE29</f>
        <v>0.99835346677657777</v>
      </c>
      <c r="L68" s="508">
        <f>Data!BF29</f>
        <v>0.99801320694178541</v>
      </c>
      <c r="M68" s="508">
        <f>Data!BG29</f>
        <v>0.9969990420284095</v>
      </c>
      <c r="N68" s="508">
        <f>Data!BH29</f>
        <v>0.99689036581956059</v>
      </c>
      <c r="O68" s="508">
        <f>Data!BI29</f>
        <v>0.99846018237442358</v>
      </c>
      <c r="P68" s="508">
        <f>Data!BJ29</f>
        <v>0.9982583394287593</v>
      </c>
    </row>
    <row r="69" spans="1:20" x14ac:dyDescent="0.2">
      <c r="A69" s="7" t="s">
        <v>39</v>
      </c>
      <c r="B69" s="511">
        <f t="shared" ca="1" si="3"/>
        <v>0.99818371459379951</v>
      </c>
      <c r="C69" s="508">
        <f>Data!AW30</f>
        <v>0.99828309105703206</v>
      </c>
      <c r="D69" s="508">
        <f>Data!AX30</f>
        <v>0.99841625876203022</v>
      </c>
      <c r="E69" s="508">
        <f>Data!AY30</f>
        <v>0.99764777761707824</v>
      </c>
      <c r="F69" s="508">
        <f>Data!AZ30</f>
        <v>0.99762031504036086</v>
      </c>
      <c r="G69" s="508">
        <f>Data!BA30</f>
        <v>0.99876496139039062</v>
      </c>
      <c r="H69" s="508">
        <f>Data!BB30</f>
        <v>0.99863647525462729</v>
      </c>
      <c r="I69" s="192"/>
      <c r="J69" s="192"/>
      <c r="K69" s="508">
        <f>Data!BE30</f>
        <v>0.99861811276616519</v>
      </c>
      <c r="L69" s="508">
        <f>Data!BF30</f>
        <v>0.99841625876203022</v>
      </c>
      <c r="M69" s="508">
        <f>Data!BG30</f>
        <v>0.99764777761707824</v>
      </c>
      <c r="N69" s="508">
        <f>Data!BH30</f>
        <v>0.99762031504036097</v>
      </c>
      <c r="O69" s="508">
        <f>Data!BI30</f>
        <v>0.9987649613903905</v>
      </c>
      <c r="P69" s="508">
        <f>Data!BJ30</f>
        <v>0.99863647525462729</v>
      </c>
    </row>
    <row r="70" spans="1:20" x14ac:dyDescent="0.2">
      <c r="A70" s="7" t="s">
        <v>40</v>
      </c>
      <c r="B70" s="511">
        <f t="shared" ca="1" si="3"/>
        <v>0.9981617413515177</v>
      </c>
      <c r="C70" s="509">
        <f>Data!AW31</f>
        <v>0.99839909249938441</v>
      </c>
      <c r="D70" s="509">
        <f>Data!AX31</f>
        <v>0.99855960916974185</v>
      </c>
      <c r="E70" s="509">
        <f>Data!AY31</f>
        <v>0.99781957024517764</v>
      </c>
      <c r="F70" s="509">
        <f>Data!AZ31</f>
        <v>0.99781957024517764</v>
      </c>
      <c r="G70" s="509">
        <f>Data!BA31</f>
        <v>0.99888990802774891</v>
      </c>
      <c r="H70" s="509">
        <f>Data!BB31</f>
        <v>0.99879441742157193</v>
      </c>
      <c r="I70" s="192"/>
      <c r="J70" s="192"/>
      <c r="K70" s="509">
        <f>Data!BE31</f>
        <v>0.99885738910167121</v>
      </c>
      <c r="L70" s="509">
        <f>Data!BF31</f>
        <v>0.99869284334431696</v>
      </c>
      <c r="M70" s="509">
        <f>Data!BG31</f>
        <v>0.99808640950974148</v>
      </c>
      <c r="N70" s="509">
        <f>Data!BH31</f>
        <v>0.9980589348586606</v>
      </c>
      <c r="O70" s="509">
        <f>Data!BI31</f>
        <v>0.99895036483883171</v>
      </c>
      <c r="P70" s="509">
        <f>Data!BJ31</f>
        <v>0.99880942415409357</v>
      </c>
    </row>
    <row r="72" spans="1:20" x14ac:dyDescent="0.2">
      <c r="G72" s="504"/>
      <c r="H72" s="504"/>
      <c r="I72" s="504"/>
      <c r="J72" s="504"/>
      <c r="K72" s="504"/>
      <c r="L72" s="504"/>
      <c r="M72" s="505"/>
      <c r="N72" s="505"/>
      <c r="O72" s="504"/>
      <c r="P72" s="504"/>
      <c r="Q72" s="504"/>
      <c r="R72" s="504"/>
      <c r="S72" s="504"/>
      <c r="T72" s="504"/>
    </row>
    <row r="73" spans="1:20" x14ac:dyDescent="0.2">
      <c r="G73" s="506"/>
      <c r="H73" s="506"/>
      <c r="I73" s="506"/>
      <c r="J73" s="506"/>
      <c r="K73" s="506"/>
      <c r="L73" s="506"/>
      <c r="M73" s="507"/>
      <c r="N73" s="507"/>
      <c r="O73" s="506"/>
      <c r="P73" s="506"/>
      <c r="Q73" s="506"/>
      <c r="R73" s="506"/>
      <c r="S73" s="506"/>
      <c r="T73" s="506"/>
    </row>
    <row r="74" spans="1:20" x14ac:dyDescent="0.2">
      <c r="G74" s="506"/>
      <c r="H74" s="506"/>
      <c r="I74" s="506"/>
      <c r="J74" s="506"/>
      <c r="K74" s="506"/>
      <c r="L74" s="506"/>
      <c r="M74" s="507"/>
      <c r="N74" s="507"/>
      <c r="O74" s="506"/>
      <c r="P74" s="506"/>
      <c r="Q74" s="506"/>
      <c r="R74" s="506"/>
      <c r="S74" s="506"/>
      <c r="T74" s="506"/>
    </row>
    <row r="75" spans="1:20" x14ac:dyDescent="0.2">
      <c r="G75" s="506"/>
      <c r="H75" s="506"/>
      <c r="I75" s="506"/>
      <c r="J75" s="506"/>
      <c r="K75" s="506"/>
      <c r="L75" s="506"/>
      <c r="M75" s="507"/>
      <c r="N75" s="507"/>
      <c r="O75" s="506"/>
      <c r="P75" s="506"/>
      <c r="Q75" s="506"/>
      <c r="R75" s="506"/>
      <c r="S75" s="506"/>
      <c r="T75" s="506"/>
    </row>
    <row r="76" spans="1:20" x14ac:dyDescent="0.2">
      <c r="G76" s="506"/>
      <c r="H76" s="506"/>
      <c r="I76" s="506"/>
      <c r="J76" s="506"/>
      <c r="K76" s="506"/>
      <c r="L76" s="506"/>
      <c r="M76" s="507"/>
      <c r="N76" s="507"/>
      <c r="O76" s="506"/>
      <c r="P76" s="506"/>
      <c r="Q76" s="506"/>
      <c r="R76" s="506"/>
      <c r="S76" s="506"/>
      <c r="T76" s="506"/>
    </row>
    <row r="77" spans="1:20" x14ac:dyDescent="0.2">
      <c r="G77" s="506"/>
      <c r="H77" s="506"/>
      <c r="I77" s="506"/>
      <c r="J77" s="506"/>
      <c r="K77" s="506"/>
      <c r="L77" s="506"/>
      <c r="M77" s="507"/>
      <c r="N77" s="507"/>
      <c r="O77" s="506"/>
      <c r="P77" s="506"/>
      <c r="Q77" s="506"/>
      <c r="R77" s="506"/>
      <c r="S77" s="506"/>
      <c r="T77" s="506"/>
    </row>
    <row r="78" spans="1:20" x14ac:dyDescent="0.2">
      <c r="G78" s="506"/>
      <c r="H78" s="506"/>
      <c r="I78" s="506"/>
      <c r="J78" s="506"/>
      <c r="K78" s="506"/>
      <c r="L78" s="506"/>
      <c r="M78" s="507"/>
      <c r="N78" s="507"/>
      <c r="O78" s="506"/>
      <c r="P78" s="506"/>
      <c r="Q78" s="506"/>
      <c r="R78" s="506"/>
      <c r="S78" s="506"/>
      <c r="T78" s="506"/>
    </row>
    <row r="79" spans="1:20" x14ac:dyDescent="0.2">
      <c r="G79" s="506"/>
      <c r="H79" s="506"/>
      <c r="I79" s="506"/>
      <c r="J79" s="506"/>
      <c r="K79" s="506"/>
      <c r="L79" s="506"/>
      <c r="M79" s="507"/>
      <c r="N79" s="507"/>
      <c r="O79" s="506"/>
      <c r="P79" s="506"/>
      <c r="Q79" s="506"/>
      <c r="R79" s="506"/>
      <c r="S79" s="506"/>
      <c r="T79" s="506"/>
    </row>
    <row r="80" spans="1:20" x14ac:dyDescent="0.2">
      <c r="G80" s="506"/>
      <c r="H80" s="506"/>
      <c r="I80" s="506"/>
      <c r="J80" s="506"/>
      <c r="K80" s="506"/>
      <c r="L80" s="506"/>
      <c r="M80" s="507"/>
      <c r="N80" s="507"/>
      <c r="O80" s="506"/>
      <c r="P80" s="506"/>
      <c r="Q80" s="506"/>
      <c r="R80" s="506"/>
      <c r="S80" s="506"/>
      <c r="T80" s="506"/>
    </row>
    <row r="81" spans="7:20" x14ac:dyDescent="0.2">
      <c r="G81" s="506"/>
      <c r="H81" s="506"/>
      <c r="I81" s="506"/>
      <c r="J81" s="506"/>
      <c r="K81" s="506"/>
      <c r="L81" s="506"/>
      <c r="M81" s="507"/>
      <c r="N81" s="507"/>
      <c r="O81" s="506"/>
      <c r="P81" s="506"/>
      <c r="Q81" s="506"/>
      <c r="R81" s="506"/>
      <c r="S81" s="506"/>
      <c r="T81" s="506"/>
    </row>
    <row r="82" spans="7:20" x14ac:dyDescent="0.2">
      <c r="G82" s="506"/>
      <c r="H82" s="506"/>
      <c r="I82" s="506"/>
      <c r="J82" s="506"/>
      <c r="K82" s="506"/>
      <c r="L82" s="506"/>
      <c r="M82" s="507"/>
      <c r="N82" s="507"/>
      <c r="O82" s="506"/>
      <c r="P82" s="506"/>
      <c r="Q82" s="506"/>
      <c r="R82" s="506"/>
      <c r="S82" s="506"/>
      <c r="T82" s="506"/>
    </row>
    <row r="83" spans="7:20" x14ac:dyDescent="0.2">
      <c r="G83" s="506"/>
      <c r="H83" s="506"/>
      <c r="I83" s="506"/>
      <c r="J83" s="506"/>
      <c r="K83" s="506"/>
      <c r="L83" s="506"/>
      <c r="M83" s="507"/>
      <c r="N83" s="507"/>
      <c r="O83" s="506"/>
      <c r="P83" s="506"/>
      <c r="Q83" s="506"/>
      <c r="R83" s="506"/>
      <c r="S83" s="506"/>
      <c r="T83" s="506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/>
  <dimension ref="B2:AR44"/>
  <sheetViews>
    <sheetView topLeftCell="G4" workbookViewId="0">
      <selection activeCell="O7" sqref="O7"/>
    </sheetView>
  </sheetViews>
  <sheetFormatPr defaultRowHeight="11.25" x14ac:dyDescent="0.2"/>
  <cols>
    <col min="1" max="1" width="2" customWidth="1"/>
    <col min="6" max="6" width="31.6640625" customWidth="1"/>
    <col min="8" max="8" width="20.5" customWidth="1"/>
    <col min="10" max="10" width="33.5" customWidth="1"/>
    <col min="11" max="11" width="43.6640625" customWidth="1"/>
    <col min="12" max="12" width="35.1640625" customWidth="1"/>
    <col min="13" max="13" width="37" customWidth="1"/>
  </cols>
  <sheetData>
    <row r="2" spans="2:44" ht="12.75" x14ac:dyDescent="0.2">
      <c r="B2" s="193"/>
      <c r="C2" s="194"/>
      <c r="D2" s="195"/>
      <c r="E2" s="195"/>
      <c r="F2" s="196"/>
      <c r="J2" s="3" t="s">
        <v>12</v>
      </c>
      <c r="O2" s="3"/>
    </row>
    <row r="3" spans="2:44" ht="12.75" x14ac:dyDescent="0.2">
      <c r="B3" s="197"/>
      <c r="C3" s="198" t="s">
        <v>447</v>
      </c>
      <c r="D3" s="199"/>
      <c r="E3" s="199"/>
      <c r="F3" s="200"/>
    </row>
    <row r="4" spans="2:44" ht="12.75" x14ac:dyDescent="0.2">
      <c r="B4" s="197"/>
      <c r="C4" s="199"/>
      <c r="D4" s="199"/>
      <c r="E4" s="199"/>
      <c r="F4" s="200"/>
      <c r="J4" s="2" t="s">
        <v>1</v>
      </c>
      <c r="K4" s="2" t="s">
        <v>1</v>
      </c>
      <c r="L4" s="2" t="s">
        <v>1</v>
      </c>
      <c r="M4" s="2" t="s">
        <v>1</v>
      </c>
      <c r="O4" s="2"/>
    </row>
    <row r="5" spans="2:44" ht="12.75" x14ac:dyDescent="0.2">
      <c r="B5" s="197"/>
      <c r="C5" s="564" t="s">
        <v>971</v>
      </c>
      <c r="D5" s="199"/>
      <c r="E5" s="199"/>
      <c r="F5" s="200"/>
      <c r="J5" s="2" t="s">
        <v>2</v>
      </c>
      <c r="K5" s="2" t="s">
        <v>3</v>
      </c>
      <c r="L5" s="2" t="s">
        <v>4</v>
      </c>
      <c r="M5" s="2" t="s">
        <v>5</v>
      </c>
      <c r="O5" s="2"/>
    </row>
    <row r="6" spans="2:44" ht="12.75" x14ac:dyDescent="0.2">
      <c r="B6" s="197"/>
      <c r="C6" s="201" t="s">
        <v>463</v>
      </c>
      <c r="D6" s="199"/>
      <c r="E6" s="199"/>
      <c r="F6" s="200"/>
      <c r="H6" s="1" t="s">
        <v>0</v>
      </c>
      <c r="J6" s="1" t="s">
        <v>8</v>
      </c>
      <c r="K6" s="1" t="s">
        <v>9</v>
      </c>
      <c r="L6" s="1" t="s">
        <v>10</v>
      </c>
      <c r="M6" s="1" t="s">
        <v>11</v>
      </c>
      <c r="O6" s="1"/>
    </row>
    <row r="7" spans="2:44" ht="12.75" x14ac:dyDescent="0.2">
      <c r="B7" s="197"/>
      <c r="C7" s="202"/>
      <c r="D7" s="199"/>
      <c r="E7" s="199"/>
      <c r="F7" s="200"/>
      <c r="H7" s="1" t="s">
        <v>6</v>
      </c>
      <c r="J7" s="2">
        <v>100</v>
      </c>
      <c r="K7" s="2">
        <v>200</v>
      </c>
      <c r="L7" s="2">
        <v>300</v>
      </c>
      <c r="M7" s="2">
        <v>400</v>
      </c>
      <c r="O7" s="2"/>
    </row>
    <row r="8" spans="2:44" ht="12.75" x14ac:dyDescent="0.2">
      <c r="B8" s="197"/>
      <c r="C8" s="202" t="s">
        <v>448</v>
      </c>
      <c r="D8" s="199"/>
      <c r="E8" s="199"/>
      <c r="F8" s="200"/>
      <c r="H8" s="1"/>
      <c r="J8" s="2"/>
      <c r="K8" s="2"/>
      <c r="L8" s="2"/>
      <c r="M8" s="2"/>
      <c r="O8" s="2"/>
    </row>
    <row r="9" spans="2:44" ht="13.5" thickBot="1" x14ac:dyDescent="0.25">
      <c r="B9" s="197"/>
      <c r="C9" s="202" t="s">
        <v>449</v>
      </c>
      <c r="D9" s="199"/>
      <c r="E9" s="199"/>
      <c r="F9" s="200"/>
      <c r="H9" t="s">
        <v>129</v>
      </c>
    </row>
    <row r="10" spans="2:44" ht="13.5" thickTop="1" x14ac:dyDescent="0.2">
      <c r="B10" s="197"/>
      <c r="C10" s="384" t="s">
        <v>973</v>
      </c>
      <c r="D10" s="199"/>
      <c r="E10" s="199"/>
      <c r="F10" s="200"/>
      <c r="J10" t="s">
        <v>7</v>
      </c>
      <c r="P10" s="485"/>
      <c r="Q10" s="486" t="s">
        <v>896</v>
      </c>
      <c r="R10" s="487"/>
      <c r="S10" s="487"/>
      <c r="T10" s="487"/>
      <c r="U10" s="487"/>
      <c r="V10" s="487"/>
      <c r="W10" s="487"/>
      <c r="X10" s="487"/>
      <c r="Y10" s="487"/>
      <c r="Z10" s="488"/>
      <c r="AE10" s="471"/>
      <c r="AF10" s="472" t="s">
        <v>888</v>
      </c>
      <c r="AG10" s="473"/>
      <c r="AH10" s="473"/>
      <c r="AI10" s="473"/>
      <c r="AJ10" s="473"/>
      <c r="AK10" s="472" t="s">
        <v>893</v>
      </c>
      <c r="AL10" s="473"/>
      <c r="AM10" s="473"/>
      <c r="AN10" s="473"/>
      <c r="AO10" s="473"/>
      <c r="AP10" s="473"/>
      <c r="AQ10" s="473"/>
      <c r="AR10" s="474"/>
    </row>
    <row r="11" spans="2:44" ht="12.75" x14ac:dyDescent="0.2">
      <c r="B11" s="197"/>
      <c r="C11" s="201" t="s">
        <v>450</v>
      </c>
      <c r="D11" s="199"/>
      <c r="E11" s="199"/>
      <c r="F11" s="200"/>
      <c r="H11" t="s">
        <v>130</v>
      </c>
      <c r="I11">
        <v>0</v>
      </c>
      <c r="P11" s="489"/>
      <c r="Q11" s="490"/>
      <c r="R11" s="490"/>
      <c r="S11" s="490"/>
      <c r="T11" s="490"/>
      <c r="U11" s="490"/>
      <c r="V11" s="490"/>
      <c r="W11" s="490"/>
      <c r="X11" s="490"/>
      <c r="Y11" s="490"/>
      <c r="Z11" s="491"/>
      <c r="AE11" s="475"/>
      <c r="AF11" s="476"/>
      <c r="AG11" s="476"/>
      <c r="AH11" s="476"/>
      <c r="AI11" s="476"/>
      <c r="AJ11" s="476"/>
      <c r="AK11" s="476"/>
      <c r="AL11" s="476"/>
      <c r="AM11" s="476"/>
      <c r="AN11" s="476"/>
      <c r="AO11" s="476"/>
      <c r="AP11" s="476"/>
      <c r="AQ11" s="476"/>
      <c r="AR11" s="477"/>
    </row>
    <row r="12" spans="2:44" ht="12.75" x14ac:dyDescent="0.2">
      <c r="B12" s="197"/>
      <c r="C12" s="202" t="s">
        <v>451</v>
      </c>
      <c r="D12" s="199"/>
      <c r="E12" s="199"/>
      <c r="F12" s="200"/>
      <c r="H12" t="s">
        <v>131</v>
      </c>
      <c r="I12">
        <v>1</v>
      </c>
      <c r="J12" s="28" t="s">
        <v>360</v>
      </c>
      <c r="K12" s="28" t="s">
        <v>410</v>
      </c>
      <c r="L12" s="1" t="s">
        <v>394</v>
      </c>
      <c r="M12" s="28" t="s">
        <v>390</v>
      </c>
      <c r="O12" s="1"/>
      <c r="P12" s="489">
        <v>300</v>
      </c>
      <c r="Q12" s="492" t="s">
        <v>394</v>
      </c>
      <c r="R12" s="490"/>
      <c r="S12" s="490"/>
      <c r="T12" s="490"/>
      <c r="U12" s="490">
        <v>300</v>
      </c>
      <c r="V12" s="492" t="s">
        <v>394</v>
      </c>
      <c r="W12" s="490"/>
      <c r="X12" s="490"/>
      <c r="Y12" s="490"/>
      <c r="Z12" s="491"/>
      <c r="AE12" s="475">
        <v>200</v>
      </c>
      <c r="AF12" s="478" t="s">
        <v>410</v>
      </c>
      <c r="AG12" s="476"/>
      <c r="AH12" s="476"/>
      <c r="AI12" s="476"/>
      <c r="AJ12" s="476"/>
      <c r="AK12" s="476">
        <v>200</v>
      </c>
      <c r="AL12" s="478" t="s">
        <v>410</v>
      </c>
      <c r="AM12" s="476"/>
      <c r="AN12" s="476"/>
      <c r="AO12" s="476"/>
      <c r="AP12" s="476"/>
      <c r="AQ12" s="476"/>
      <c r="AR12" s="477"/>
    </row>
    <row r="13" spans="2:44" ht="12.75" x14ac:dyDescent="0.2">
      <c r="B13" s="197"/>
      <c r="C13" s="201" t="s">
        <v>452</v>
      </c>
      <c r="D13" s="199"/>
      <c r="E13" s="199"/>
      <c r="F13" s="200"/>
      <c r="H13" t="s">
        <v>132</v>
      </c>
      <c r="I13">
        <v>2</v>
      </c>
      <c r="J13" t="s">
        <v>361</v>
      </c>
      <c r="K13" s="1" t="s">
        <v>411</v>
      </c>
      <c r="L13" s="1" t="s">
        <v>400</v>
      </c>
      <c r="M13" s="28" t="s">
        <v>391</v>
      </c>
      <c r="P13" s="489">
        <f>1+P12</f>
        <v>301</v>
      </c>
      <c r="Q13" s="492" t="s">
        <v>400</v>
      </c>
      <c r="R13" s="490"/>
      <c r="S13" s="490"/>
      <c r="T13" s="490"/>
      <c r="U13" s="490">
        <f>1+U12</f>
        <v>301</v>
      </c>
      <c r="V13" s="492" t="s">
        <v>400</v>
      </c>
      <c r="W13" s="490"/>
      <c r="X13" s="490"/>
      <c r="Y13" s="490"/>
      <c r="Z13" s="491"/>
      <c r="AE13" s="475">
        <v>201</v>
      </c>
      <c r="AF13" s="479" t="s">
        <v>411</v>
      </c>
      <c r="AG13" s="476"/>
      <c r="AH13" s="476"/>
      <c r="AI13" s="476"/>
      <c r="AJ13" s="476"/>
      <c r="AK13" s="476">
        <v>201</v>
      </c>
      <c r="AL13" s="479" t="s">
        <v>411</v>
      </c>
      <c r="AM13" s="476"/>
      <c r="AN13" s="476"/>
      <c r="AO13" s="476"/>
      <c r="AP13" s="476"/>
      <c r="AQ13" s="476"/>
      <c r="AR13" s="477"/>
    </row>
    <row r="14" spans="2:44" ht="12.75" x14ac:dyDescent="0.2">
      <c r="B14" s="197"/>
      <c r="C14" s="199"/>
      <c r="D14" s="199"/>
      <c r="E14" s="199"/>
      <c r="F14" s="200"/>
      <c r="H14" t="s">
        <v>50</v>
      </c>
      <c r="I14">
        <v>3</v>
      </c>
      <c r="J14" s="249" t="s">
        <v>966</v>
      </c>
      <c r="K14" s="1" t="s">
        <v>412</v>
      </c>
      <c r="L14" s="1" t="s">
        <v>402</v>
      </c>
      <c r="M14" s="28" t="s">
        <v>392</v>
      </c>
      <c r="P14" s="489">
        <f t="shared" ref="P14:P29" si="0">1+P13</f>
        <v>302</v>
      </c>
      <c r="Q14" s="492" t="s">
        <v>402</v>
      </c>
      <c r="R14" s="490"/>
      <c r="S14" s="490"/>
      <c r="T14" s="490"/>
      <c r="U14" s="490">
        <f t="shared" ref="U14:U31" si="1">1+U13</f>
        <v>302</v>
      </c>
      <c r="V14" s="492" t="s">
        <v>402</v>
      </c>
      <c r="W14" s="490"/>
      <c r="X14" s="490"/>
      <c r="Y14" s="490"/>
      <c r="Z14" s="491"/>
      <c r="AE14" s="475">
        <v>202</v>
      </c>
      <c r="AF14" s="479" t="s">
        <v>412</v>
      </c>
      <c r="AG14" s="476"/>
      <c r="AH14" s="476"/>
      <c r="AI14" s="476"/>
      <c r="AJ14" s="476"/>
      <c r="AK14" s="476">
        <v>202</v>
      </c>
      <c r="AL14" s="479" t="s">
        <v>412</v>
      </c>
      <c r="AM14" s="476"/>
      <c r="AN14" s="476"/>
      <c r="AO14" s="476"/>
      <c r="AP14" s="476"/>
      <c r="AQ14" s="476"/>
      <c r="AR14" s="477"/>
    </row>
    <row r="15" spans="2:44" ht="12.75" x14ac:dyDescent="0.2">
      <c r="B15" s="197"/>
      <c r="C15" s="199" t="s">
        <v>453</v>
      </c>
      <c r="D15" s="199"/>
      <c r="E15" s="199"/>
      <c r="F15" s="200"/>
      <c r="H15" t="s">
        <v>133</v>
      </c>
      <c r="I15">
        <v>4</v>
      </c>
      <c r="J15" t="s">
        <v>362</v>
      </c>
      <c r="K15" s="1" t="s">
        <v>413</v>
      </c>
      <c r="L15" s="1" t="s">
        <v>395</v>
      </c>
      <c r="M15" s="28" t="s">
        <v>563</v>
      </c>
      <c r="P15" s="489">
        <f t="shared" si="0"/>
        <v>303</v>
      </c>
      <c r="Q15" s="492" t="s">
        <v>395</v>
      </c>
      <c r="R15" s="490"/>
      <c r="S15" s="490"/>
      <c r="T15" s="490"/>
      <c r="U15" s="490">
        <f t="shared" si="1"/>
        <v>303</v>
      </c>
      <c r="V15" s="492" t="s">
        <v>395</v>
      </c>
      <c r="W15" s="490"/>
      <c r="X15" s="490"/>
      <c r="Y15" s="490"/>
      <c r="Z15" s="491"/>
      <c r="AE15" s="475">
        <v>203</v>
      </c>
      <c r="AF15" s="479" t="s">
        <v>413</v>
      </c>
      <c r="AG15" s="476"/>
      <c r="AH15" s="476"/>
      <c r="AI15" s="476"/>
      <c r="AJ15" s="476"/>
      <c r="AK15" s="476">
        <v>203</v>
      </c>
      <c r="AL15" s="479" t="s">
        <v>413</v>
      </c>
      <c r="AM15" s="476"/>
      <c r="AN15" s="476"/>
      <c r="AO15" s="476"/>
      <c r="AP15" s="476"/>
      <c r="AQ15" s="476"/>
      <c r="AR15" s="477"/>
    </row>
    <row r="16" spans="2:44" ht="12.75" x14ac:dyDescent="0.2">
      <c r="B16" s="197"/>
      <c r="C16" s="199" t="s">
        <v>454</v>
      </c>
      <c r="D16" s="199"/>
      <c r="E16" s="199"/>
      <c r="F16" s="200"/>
      <c r="J16" t="s">
        <v>363</v>
      </c>
      <c r="K16" s="28" t="s">
        <v>967</v>
      </c>
      <c r="L16" s="1" t="s">
        <v>403</v>
      </c>
      <c r="M16" s="1" t="s">
        <v>564</v>
      </c>
      <c r="P16" s="489">
        <f t="shared" si="0"/>
        <v>304</v>
      </c>
      <c r="Q16" s="492" t="s">
        <v>403</v>
      </c>
      <c r="R16" s="490"/>
      <c r="S16" s="490"/>
      <c r="T16" s="490"/>
      <c r="U16" s="490">
        <f t="shared" si="1"/>
        <v>304</v>
      </c>
      <c r="V16" s="492" t="s">
        <v>403</v>
      </c>
      <c r="W16" s="490"/>
      <c r="X16" s="490"/>
      <c r="Y16" s="490"/>
      <c r="Z16" s="491"/>
      <c r="AE16" s="475">
        <v>204</v>
      </c>
      <c r="AF16" s="479" t="s">
        <v>658</v>
      </c>
      <c r="AG16" s="476"/>
      <c r="AH16" s="476"/>
      <c r="AI16" s="476"/>
      <c r="AJ16" s="476"/>
      <c r="AK16" s="476">
        <v>204</v>
      </c>
      <c r="AL16" s="479" t="s">
        <v>658</v>
      </c>
      <c r="AM16" s="476"/>
      <c r="AN16" s="476"/>
      <c r="AO16" s="476"/>
      <c r="AP16" s="476"/>
      <c r="AQ16" s="476"/>
      <c r="AR16" s="477"/>
    </row>
    <row r="17" spans="2:44" ht="12.75" x14ac:dyDescent="0.2">
      <c r="B17" s="197"/>
      <c r="C17" s="202" t="s">
        <v>455</v>
      </c>
      <c r="D17" s="199"/>
      <c r="E17" s="199"/>
      <c r="F17" s="200"/>
      <c r="J17" t="s">
        <v>364</v>
      </c>
      <c r="K17" s="249" t="s">
        <v>968</v>
      </c>
      <c r="L17" s="1" t="s">
        <v>396</v>
      </c>
      <c r="M17" s="28" t="s">
        <v>639</v>
      </c>
      <c r="P17" s="489">
        <f t="shared" si="0"/>
        <v>305</v>
      </c>
      <c r="Q17" s="492" t="s">
        <v>396</v>
      </c>
      <c r="R17" s="490"/>
      <c r="S17" s="490"/>
      <c r="T17" s="490"/>
      <c r="U17" s="490">
        <f t="shared" si="1"/>
        <v>305</v>
      </c>
      <c r="V17" s="492" t="s">
        <v>396</v>
      </c>
      <c r="W17" s="490"/>
      <c r="X17" s="490"/>
      <c r="Y17" s="490"/>
      <c r="Z17" s="491"/>
      <c r="AE17" s="475">
        <v>205</v>
      </c>
      <c r="AF17" s="479" t="s">
        <v>414</v>
      </c>
      <c r="AG17" s="476"/>
      <c r="AH17" s="476"/>
      <c r="AI17" s="476"/>
      <c r="AJ17" s="476"/>
      <c r="AK17" s="476">
        <v>205</v>
      </c>
      <c r="AL17" s="479" t="s">
        <v>414</v>
      </c>
      <c r="AM17" s="476"/>
      <c r="AN17" s="476"/>
      <c r="AO17" s="476"/>
      <c r="AP17" s="476"/>
      <c r="AQ17" s="476"/>
      <c r="AR17" s="477"/>
    </row>
    <row r="18" spans="2:44" ht="12.75" x14ac:dyDescent="0.2">
      <c r="B18" s="197"/>
      <c r="C18" s="199" t="s">
        <v>456</v>
      </c>
      <c r="D18" s="199"/>
      <c r="E18" s="199"/>
      <c r="F18" s="200"/>
      <c r="J18" t="s">
        <v>366</v>
      </c>
      <c r="K18" s="1" t="s">
        <v>414</v>
      </c>
      <c r="L18" s="1" t="s">
        <v>404</v>
      </c>
      <c r="M18" s="28" t="s">
        <v>723</v>
      </c>
      <c r="P18" s="489">
        <f t="shared" si="0"/>
        <v>306</v>
      </c>
      <c r="Q18" s="492" t="s">
        <v>404</v>
      </c>
      <c r="R18" s="490"/>
      <c r="S18" s="490"/>
      <c r="T18" s="490"/>
      <c r="U18" s="490">
        <f t="shared" si="1"/>
        <v>306</v>
      </c>
      <c r="V18" s="492" t="s">
        <v>404</v>
      </c>
      <c r="W18" s="490"/>
      <c r="X18" s="490"/>
      <c r="Y18" s="490"/>
      <c r="Z18" s="491"/>
      <c r="AE18" s="475">
        <v>206</v>
      </c>
      <c r="AF18" s="479" t="s">
        <v>415</v>
      </c>
      <c r="AG18" s="476"/>
      <c r="AH18" s="476"/>
      <c r="AI18" s="476"/>
      <c r="AJ18" s="476"/>
      <c r="AK18" s="476">
        <v>206</v>
      </c>
      <c r="AL18" s="479" t="s">
        <v>415</v>
      </c>
      <c r="AM18" s="476"/>
      <c r="AN18" s="476"/>
      <c r="AO18" s="476"/>
      <c r="AP18" s="476"/>
      <c r="AQ18" s="476"/>
      <c r="AR18" s="477"/>
    </row>
    <row r="19" spans="2:44" ht="12.75" x14ac:dyDescent="0.2">
      <c r="B19" s="197"/>
      <c r="C19" s="199"/>
      <c r="D19" s="199"/>
      <c r="E19" s="199"/>
      <c r="F19" s="200"/>
      <c r="J19" s="249" t="s">
        <v>965</v>
      </c>
      <c r="K19" s="1" t="s">
        <v>415</v>
      </c>
      <c r="L19" s="1" t="s">
        <v>393</v>
      </c>
      <c r="M19" s="28" t="s">
        <v>724</v>
      </c>
      <c r="P19" s="489">
        <f t="shared" si="0"/>
        <v>307</v>
      </c>
      <c r="Q19" s="492" t="s">
        <v>393</v>
      </c>
      <c r="R19" s="490"/>
      <c r="S19" s="490"/>
      <c r="T19" s="490"/>
      <c r="U19" s="490">
        <f t="shared" si="1"/>
        <v>307</v>
      </c>
      <c r="V19" s="492" t="s">
        <v>393</v>
      </c>
      <c r="W19" s="490"/>
      <c r="X19" s="490"/>
      <c r="Y19" s="490"/>
      <c r="Z19" s="491"/>
      <c r="AE19" s="475">
        <v>207</v>
      </c>
      <c r="AF19" s="479" t="s">
        <v>416</v>
      </c>
      <c r="AG19" s="476"/>
      <c r="AH19" s="476"/>
      <c r="AI19" s="476"/>
      <c r="AJ19" s="476"/>
      <c r="AK19" s="476">
        <v>207</v>
      </c>
      <c r="AL19" s="479" t="s">
        <v>416</v>
      </c>
      <c r="AM19" s="476"/>
      <c r="AN19" s="476"/>
      <c r="AO19" s="476"/>
      <c r="AP19" s="476"/>
      <c r="AQ19" s="476"/>
      <c r="AR19" s="477"/>
    </row>
    <row r="20" spans="2:44" ht="12.75" x14ac:dyDescent="0.2">
      <c r="B20" s="197"/>
      <c r="C20" s="199" t="s">
        <v>457</v>
      </c>
      <c r="D20" s="199"/>
      <c r="E20" s="199"/>
      <c r="F20" s="200"/>
      <c r="J20" s="249" t="s">
        <v>964</v>
      </c>
      <c r="K20" s="249" t="s">
        <v>969</v>
      </c>
      <c r="L20" s="1" t="s">
        <v>399</v>
      </c>
      <c r="M20" s="28" t="s">
        <v>725</v>
      </c>
      <c r="P20" s="489">
        <f t="shared" si="0"/>
        <v>308</v>
      </c>
      <c r="Q20" s="492" t="s">
        <v>399</v>
      </c>
      <c r="R20" s="490"/>
      <c r="S20" s="490"/>
      <c r="T20" s="490"/>
      <c r="U20" s="490">
        <f t="shared" si="1"/>
        <v>308</v>
      </c>
      <c r="V20" s="492" t="s">
        <v>399</v>
      </c>
      <c r="W20" s="490"/>
      <c r="X20" s="490"/>
      <c r="Y20" s="490"/>
      <c r="Z20" s="491"/>
      <c r="AE20" s="475">
        <v>208</v>
      </c>
      <c r="AF20" s="478" t="s">
        <v>474</v>
      </c>
      <c r="AG20" s="476"/>
      <c r="AH20" s="476"/>
      <c r="AI20" s="476"/>
      <c r="AJ20" s="476"/>
      <c r="AK20" s="476">
        <v>208</v>
      </c>
      <c r="AL20" s="478" t="s">
        <v>474</v>
      </c>
      <c r="AM20" s="476"/>
      <c r="AN20" s="476"/>
      <c r="AO20" s="476"/>
      <c r="AP20" s="476"/>
      <c r="AQ20" s="476"/>
      <c r="AR20" s="477"/>
    </row>
    <row r="21" spans="2:44" ht="12.75" x14ac:dyDescent="0.2">
      <c r="B21" s="197"/>
      <c r="C21" s="199" t="s">
        <v>458</v>
      </c>
      <c r="D21" s="199"/>
      <c r="E21" s="199"/>
      <c r="F21" s="200"/>
      <c r="J21" t="s">
        <v>365</v>
      </c>
      <c r="K21" s="1" t="s">
        <v>975</v>
      </c>
      <c r="L21" s="1" t="s">
        <v>405</v>
      </c>
      <c r="M21" s="28" t="s">
        <v>740</v>
      </c>
      <c r="P21" s="489">
        <f t="shared" si="0"/>
        <v>309</v>
      </c>
      <c r="Q21" s="492" t="s">
        <v>405</v>
      </c>
      <c r="R21" s="490"/>
      <c r="S21" s="490"/>
      <c r="T21" s="490"/>
      <c r="U21" s="490">
        <f t="shared" si="1"/>
        <v>309</v>
      </c>
      <c r="V21" s="492" t="s">
        <v>405</v>
      </c>
      <c r="W21" s="490"/>
      <c r="X21" s="490"/>
      <c r="Y21" s="490"/>
      <c r="Z21" s="491"/>
      <c r="AE21" s="475">
        <v>209</v>
      </c>
      <c r="AF21" s="479" t="s">
        <v>475</v>
      </c>
      <c r="AG21" s="476"/>
      <c r="AH21" s="476"/>
      <c r="AI21" s="476"/>
      <c r="AJ21" s="476"/>
      <c r="AK21" s="476">
        <v>209</v>
      </c>
      <c r="AL21" s="479" t="s">
        <v>475</v>
      </c>
      <c r="AM21" s="476"/>
      <c r="AN21" s="476"/>
      <c r="AO21" s="476"/>
      <c r="AP21" s="476"/>
      <c r="AQ21" s="476"/>
      <c r="AR21" s="477"/>
    </row>
    <row r="22" spans="2:44" ht="12.75" x14ac:dyDescent="0.2">
      <c r="B22" s="197"/>
      <c r="C22" s="199" t="s">
        <v>459</v>
      </c>
      <c r="D22" s="199"/>
      <c r="E22" s="199"/>
      <c r="F22" s="200"/>
      <c r="J22" t="s">
        <v>367</v>
      </c>
      <c r="K22" s="28" t="s">
        <v>474</v>
      </c>
      <c r="L22" s="1" t="s">
        <v>397</v>
      </c>
      <c r="P22" s="489">
        <f t="shared" si="0"/>
        <v>310</v>
      </c>
      <c r="Q22" s="492" t="s">
        <v>397</v>
      </c>
      <c r="R22" s="490"/>
      <c r="S22" s="490"/>
      <c r="T22" s="490"/>
      <c r="U22" s="490">
        <f t="shared" si="1"/>
        <v>310</v>
      </c>
      <c r="V22" s="492" t="s">
        <v>397</v>
      </c>
      <c r="W22" s="490"/>
      <c r="X22" s="490"/>
      <c r="Y22" s="490"/>
      <c r="Z22" s="491"/>
      <c r="AE22" s="475">
        <v>210</v>
      </c>
      <c r="AF22" s="479" t="s">
        <v>621</v>
      </c>
      <c r="AG22" s="476"/>
      <c r="AH22" s="476"/>
      <c r="AI22" s="476"/>
      <c r="AJ22" s="476"/>
      <c r="AK22" s="476">
        <v>210</v>
      </c>
      <c r="AL22" s="479" t="s">
        <v>621</v>
      </c>
      <c r="AM22" s="476"/>
      <c r="AN22" s="476"/>
      <c r="AO22" s="476"/>
      <c r="AP22" s="476"/>
      <c r="AQ22" s="476"/>
      <c r="AR22" s="477"/>
    </row>
    <row r="23" spans="2:44" ht="12.75" x14ac:dyDescent="0.2">
      <c r="B23" s="197"/>
      <c r="C23" s="199"/>
      <c r="D23" s="199"/>
      <c r="E23" s="199"/>
      <c r="F23" s="200"/>
      <c r="J23" t="s">
        <v>368</v>
      </c>
      <c r="K23" s="1" t="s">
        <v>475</v>
      </c>
      <c r="L23" s="1" t="s">
        <v>406</v>
      </c>
      <c r="P23" s="489">
        <f t="shared" si="0"/>
        <v>311</v>
      </c>
      <c r="Q23" s="492" t="s">
        <v>406</v>
      </c>
      <c r="R23" s="490"/>
      <c r="S23" s="490"/>
      <c r="T23" s="490"/>
      <c r="U23" s="490">
        <f t="shared" si="1"/>
        <v>311</v>
      </c>
      <c r="V23" s="492" t="s">
        <v>406</v>
      </c>
      <c r="W23" s="490"/>
      <c r="X23" s="490"/>
      <c r="Y23" s="490"/>
      <c r="Z23" s="491"/>
      <c r="AE23" s="475">
        <v>211</v>
      </c>
      <c r="AF23" s="479" t="s">
        <v>620</v>
      </c>
      <c r="AG23" s="476"/>
      <c r="AH23" s="476"/>
      <c r="AI23" s="476"/>
      <c r="AJ23" s="476"/>
      <c r="AK23" s="476">
        <v>211</v>
      </c>
      <c r="AL23" s="479" t="s">
        <v>620</v>
      </c>
      <c r="AM23" s="476"/>
      <c r="AN23" s="476"/>
      <c r="AO23" s="476"/>
      <c r="AP23" s="476"/>
      <c r="AQ23" s="476"/>
      <c r="AR23" s="477"/>
    </row>
    <row r="24" spans="2:44" ht="12.75" x14ac:dyDescent="0.2">
      <c r="B24" s="197"/>
      <c r="C24" s="199" t="s">
        <v>460</v>
      </c>
      <c r="D24" s="199"/>
      <c r="E24" s="199"/>
      <c r="F24" s="200"/>
      <c r="J24" s="1" t="s">
        <v>369</v>
      </c>
      <c r="K24" s="1" t="s">
        <v>621</v>
      </c>
      <c r="L24" s="1" t="s">
        <v>398</v>
      </c>
      <c r="P24" s="489">
        <f t="shared" si="0"/>
        <v>312</v>
      </c>
      <c r="Q24" s="492" t="s">
        <v>398</v>
      </c>
      <c r="R24" s="490"/>
      <c r="S24" s="490"/>
      <c r="T24" s="490"/>
      <c r="U24" s="490">
        <f t="shared" si="1"/>
        <v>312</v>
      </c>
      <c r="V24" s="492" t="s">
        <v>398</v>
      </c>
      <c r="W24" s="490"/>
      <c r="X24" s="490"/>
      <c r="Y24" s="490"/>
      <c r="Z24" s="491"/>
      <c r="AE24" s="475">
        <v>212</v>
      </c>
      <c r="AF24" s="479" t="s">
        <v>622</v>
      </c>
      <c r="AG24" s="476"/>
      <c r="AH24" s="476"/>
      <c r="AI24" s="476"/>
      <c r="AJ24" s="476"/>
      <c r="AK24" s="476">
        <v>212</v>
      </c>
      <c r="AL24" s="480" t="s">
        <v>892</v>
      </c>
      <c r="AM24" s="476"/>
      <c r="AN24" s="476"/>
      <c r="AO24" s="476"/>
      <c r="AP24" s="476"/>
      <c r="AQ24" s="476"/>
      <c r="AR24" s="477"/>
    </row>
    <row r="25" spans="2:44" ht="12.75" x14ac:dyDescent="0.2">
      <c r="B25" s="197"/>
      <c r="C25" s="199" t="s">
        <v>461</v>
      </c>
      <c r="D25" s="199"/>
      <c r="E25" s="199"/>
      <c r="F25" s="200"/>
      <c r="J25" t="s">
        <v>370</v>
      </c>
      <c r="K25" s="1" t="s">
        <v>620</v>
      </c>
      <c r="L25" s="1" t="s">
        <v>407</v>
      </c>
      <c r="P25" s="489">
        <f t="shared" si="0"/>
        <v>313</v>
      </c>
      <c r="Q25" s="492" t="s">
        <v>407</v>
      </c>
      <c r="R25" s="490"/>
      <c r="S25" s="490"/>
      <c r="T25" s="490"/>
      <c r="U25" s="490">
        <f t="shared" si="1"/>
        <v>313</v>
      </c>
      <c r="V25" s="492" t="s">
        <v>407</v>
      </c>
      <c r="W25" s="490"/>
      <c r="X25" s="490"/>
      <c r="Y25" s="490"/>
      <c r="Z25" s="491"/>
      <c r="AE25" s="475">
        <v>213</v>
      </c>
      <c r="AF25" s="479" t="s">
        <v>630</v>
      </c>
      <c r="AG25" s="476"/>
      <c r="AH25" s="476"/>
      <c r="AI25" s="476"/>
      <c r="AJ25" s="476"/>
      <c r="AK25" s="476">
        <v>213</v>
      </c>
      <c r="AL25" s="479" t="s">
        <v>630</v>
      </c>
      <c r="AM25" s="476"/>
      <c r="AN25" s="476"/>
      <c r="AO25" s="476"/>
      <c r="AP25" s="476"/>
      <c r="AQ25" s="476"/>
      <c r="AR25" s="477"/>
    </row>
    <row r="26" spans="2:44" ht="12.75" x14ac:dyDescent="0.2">
      <c r="B26" s="197"/>
      <c r="C26" s="199"/>
      <c r="D26" s="199"/>
      <c r="E26" s="199"/>
      <c r="F26" s="200"/>
      <c r="J26" t="s">
        <v>371</v>
      </c>
      <c r="K26" s="1" t="s">
        <v>892</v>
      </c>
      <c r="L26" s="1" t="s">
        <v>476</v>
      </c>
      <c r="P26" s="489">
        <f t="shared" si="0"/>
        <v>314</v>
      </c>
      <c r="Q26" s="492" t="s">
        <v>476</v>
      </c>
      <c r="R26" s="490"/>
      <c r="S26" s="490"/>
      <c r="T26" s="490"/>
      <c r="U26" s="490">
        <f t="shared" si="1"/>
        <v>314</v>
      </c>
      <c r="V26" s="492" t="s">
        <v>476</v>
      </c>
      <c r="W26" s="490"/>
      <c r="X26" s="490"/>
      <c r="Y26" s="490"/>
      <c r="Z26" s="491"/>
      <c r="AE26" s="475">
        <v>214</v>
      </c>
      <c r="AF26" s="478" t="s">
        <v>566</v>
      </c>
      <c r="AG26" s="476"/>
      <c r="AH26" s="476"/>
      <c r="AI26" s="476"/>
      <c r="AJ26" s="476"/>
      <c r="AK26" s="476">
        <v>214</v>
      </c>
      <c r="AL26" s="480" t="s">
        <v>890</v>
      </c>
      <c r="AM26" s="476"/>
      <c r="AN26" s="476"/>
      <c r="AO26" s="476"/>
      <c r="AP26" s="476"/>
      <c r="AQ26" s="476"/>
      <c r="AR26" s="477"/>
    </row>
    <row r="27" spans="2:44" ht="12.75" x14ac:dyDescent="0.2">
      <c r="B27" s="197"/>
      <c r="C27" s="199" t="s">
        <v>462</v>
      </c>
      <c r="D27" s="199"/>
      <c r="E27" s="199"/>
      <c r="F27" s="200"/>
      <c r="J27" t="s">
        <v>372</v>
      </c>
      <c r="K27" s="1" t="s">
        <v>630</v>
      </c>
      <c r="L27" s="1" t="s">
        <v>477</v>
      </c>
      <c r="P27" s="489">
        <f t="shared" si="0"/>
        <v>315</v>
      </c>
      <c r="Q27" s="492" t="s">
        <v>477</v>
      </c>
      <c r="R27" s="490"/>
      <c r="S27" s="490"/>
      <c r="T27" s="490"/>
      <c r="U27" s="490">
        <f t="shared" si="1"/>
        <v>315</v>
      </c>
      <c r="V27" s="492" t="s">
        <v>477</v>
      </c>
      <c r="W27" s="490"/>
      <c r="X27" s="490"/>
      <c r="Y27" s="490"/>
      <c r="Z27" s="491"/>
      <c r="AE27" s="475">
        <v>215</v>
      </c>
      <c r="AF27" s="478" t="s">
        <v>581</v>
      </c>
      <c r="AG27" s="476"/>
      <c r="AH27" s="476"/>
      <c r="AI27" s="476"/>
      <c r="AJ27" s="476"/>
      <c r="AK27" s="476">
        <v>215</v>
      </c>
      <c r="AL27" s="479" t="s">
        <v>755</v>
      </c>
      <c r="AM27" s="476"/>
      <c r="AN27" s="476"/>
      <c r="AO27" s="476"/>
      <c r="AP27" s="476"/>
      <c r="AQ27" s="476"/>
      <c r="AR27" s="477"/>
    </row>
    <row r="28" spans="2:44" ht="12.75" x14ac:dyDescent="0.2">
      <c r="B28" s="197"/>
      <c r="C28" s="384" t="s">
        <v>972</v>
      </c>
      <c r="F28" s="200"/>
      <c r="J28" t="s">
        <v>373</v>
      </c>
      <c r="K28" s="28" t="s">
        <v>890</v>
      </c>
      <c r="L28" s="28" t="s">
        <v>619</v>
      </c>
      <c r="P28" s="489">
        <f t="shared" si="0"/>
        <v>316</v>
      </c>
      <c r="Q28" s="493" t="s">
        <v>619</v>
      </c>
      <c r="R28" s="490"/>
      <c r="S28" s="490"/>
      <c r="T28" s="490"/>
      <c r="U28" s="490">
        <f t="shared" si="1"/>
        <v>316</v>
      </c>
      <c r="V28" s="493" t="s">
        <v>619</v>
      </c>
      <c r="W28" s="490"/>
      <c r="X28" s="490"/>
      <c r="Y28" s="490"/>
      <c r="Z28" s="491"/>
      <c r="AE28" s="475">
        <v>216</v>
      </c>
      <c r="AF28" s="478" t="s">
        <v>709</v>
      </c>
      <c r="AG28" s="476"/>
      <c r="AH28" s="476"/>
      <c r="AI28" s="476"/>
      <c r="AJ28" s="476"/>
      <c r="AK28" s="476">
        <v>216</v>
      </c>
      <c r="AL28" s="480" t="s">
        <v>891</v>
      </c>
      <c r="AM28" s="476"/>
      <c r="AN28" s="476"/>
      <c r="AO28" s="476"/>
      <c r="AP28" s="476"/>
      <c r="AQ28" s="476"/>
      <c r="AR28" s="477"/>
    </row>
    <row r="29" spans="2:44" x14ac:dyDescent="0.2">
      <c r="B29" s="203"/>
      <c r="C29" s="7"/>
      <c r="D29" s="7"/>
      <c r="E29" s="7"/>
      <c r="F29" s="204"/>
      <c r="J29" t="s">
        <v>374</v>
      </c>
      <c r="K29" s="28" t="s">
        <v>755</v>
      </c>
      <c r="L29" s="28" t="s">
        <v>898</v>
      </c>
      <c r="P29" s="489">
        <f t="shared" si="0"/>
        <v>317</v>
      </c>
      <c r="Q29" s="493" t="s">
        <v>754</v>
      </c>
      <c r="R29" s="490"/>
      <c r="S29" s="490"/>
      <c r="T29" s="490"/>
      <c r="U29" s="490">
        <f t="shared" si="1"/>
        <v>317</v>
      </c>
      <c r="V29" s="494" t="s">
        <v>898</v>
      </c>
      <c r="W29" s="490"/>
      <c r="X29" s="490"/>
      <c r="Y29" s="490"/>
      <c r="Z29" s="491"/>
      <c r="AE29" s="475">
        <v>217</v>
      </c>
      <c r="AF29" s="479" t="s">
        <v>755</v>
      </c>
      <c r="AG29" s="476"/>
      <c r="AH29" s="476"/>
      <c r="AI29" s="476"/>
      <c r="AJ29" s="476"/>
      <c r="AK29" s="476">
        <v>217</v>
      </c>
      <c r="AL29" s="480" t="s">
        <v>895</v>
      </c>
      <c r="AM29" s="476"/>
      <c r="AN29" s="476"/>
      <c r="AO29" s="476"/>
      <c r="AP29" s="476"/>
      <c r="AQ29" s="476"/>
      <c r="AR29" s="477"/>
    </row>
    <row r="30" spans="2:44" x14ac:dyDescent="0.2">
      <c r="J30" t="s">
        <v>375</v>
      </c>
      <c r="K30" s="28" t="s">
        <v>891</v>
      </c>
      <c r="L30" s="1" t="s">
        <v>754</v>
      </c>
      <c r="P30" s="489"/>
      <c r="Q30" s="490"/>
      <c r="R30" s="490"/>
      <c r="S30" s="490"/>
      <c r="T30" s="490"/>
      <c r="U30" s="490">
        <f t="shared" si="1"/>
        <v>318</v>
      </c>
      <c r="V30" s="493" t="s">
        <v>754</v>
      </c>
      <c r="W30" s="490"/>
      <c r="X30" s="490"/>
      <c r="Y30" s="490"/>
      <c r="Z30" s="491"/>
      <c r="AE30" s="475">
        <v>218</v>
      </c>
      <c r="AF30" s="478" t="s">
        <v>830</v>
      </c>
      <c r="AG30" s="476"/>
      <c r="AH30" s="476"/>
      <c r="AI30" s="476"/>
      <c r="AJ30" s="476"/>
      <c r="AK30" s="476">
        <v>218</v>
      </c>
      <c r="AL30" s="480" t="s">
        <v>894</v>
      </c>
      <c r="AM30" s="476"/>
      <c r="AN30" s="476"/>
      <c r="AO30" s="476"/>
      <c r="AP30" s="476"/>
      <c r="AQ30" s="476"/>
      <c r="AR30" s="477"/>
    </row>
    <row r="31" spans="2:44" x14ac:dyDescent="0.2">
      <c r="J31" t="s">
        <v>653</v>
      </c>
      <c r="K31" s="1" t="s">
        <v>895</v>
      </c>
      <c r="L31" s="1" t="s">
        <v>899</v>
      </c>
      <c r="P31" s="489"/>
      <c r="Q31" s="490"/>
      <c r="R31" s="490"/>
      <c r="S31" s="490"/>
      <c r="T31" s="490"/>
      <c r="U31" s="490">
        <f t="shared" si="1"/>
        <v>319</v>
      </c>
      <c r="V31" s="494" t="s">
        <v>899</v>
      </c>
      <c r="W31" s="490"/>
      <c r="X31" s="490"/>
      <c r="Y31" s="490"/>
      <c r="Z31" s="491"/>
      <c r="AE31" s="475"/>
      <c r="AF31" s="476"/>
      <c r="AG31" s="476"/>
      <c r="AH31" s="476"/>
      <c r="AI31" s="476"/>
      <c r="AJ31" s="476"/>
      <c r="AK31" s="476">
        <f>1+AK30</f>
        <v>219</v>
      </c>
      <c r="AL31" s="478" t="s">
        <v>566</v>
      </c>
      <c r="AM31" s="476"/>
      <c r="AN31" s="476"/>
      <c r="AO31" s="476"/>
      <c r="AP31" s="476"/>
      <c r="AQ31" s="476"/>
      <c r="AR31" s="477"/>
    </row>
    <row r="32" spans="2:44" x14ac:dyDescent="0.2">
      <c r="J32" s="1" t="s">
        <v>768</v>
      </c>
      <c r="K32" s="28" t="s">
        <v>894</v>
      </c>
      <c r="P32" s="489"/>
      <c r="Q32" s="495" t="s">
        <v>897</v>
      </c>
      <c r="R32" s="490"/>
      <c r="S32" s="490"/>
      <c r="T32" s="490"/>
      <c r="U32" s="490"/>
      <c r="V32" s="490"/>
      <c r="W32" s="490"/>
      <c r="X32" s="490"/>
      <c r="Y32" s="490"/>
      <c r="Z32" s="491"/>
      <c r="AE32" s="475"/>
      <c r="AF32" s="476"/>
      <c r="AG32" s="476"/>
      <c r="AH32" s="476"/>
      <c r="AI32" s="476"/>
      <c r="AJ32" s="476"/>
      <c r="AK32" s="476">
        <f t="shared" ref="AK32:AK34" si="2">1+AK31</f>
        <v>220</v>
      </c>
      <c r="AL32" s="478" t="s">
        <v>581</v>
      </c>
      <c r="AM32" s="476"/>
      <c r="AN32" s="476"/>
      <c r="AO32" s="476"/>
      <c r="AP32" s="476"/>
      <c r="AQ32" s="476"/>
      <c r="AR32" s="477"/>
    </row>
    <row r="33" spans="10:44" x14ac:dyDescent="0.2">
      <c r="J33" t="s">
        <v>722</v>
      </c>
      <c r="K33" t="s">
        <v>566</v>
      </c>
      <c r="P33" s="489"/>
      <c r="Q33" s="490"/>
      <c r="R33" s="490"/>
      <c r="S33" s="490"/>
      <c r="T33" s="490"/>
      <c r="U33" s="490"/>
      <c r="V33" s="490"/>
      <c r="W33" s="490"/>
      <c r="X33" s="490"/>
      <c r="Y33" s="490"/>
      <c r="Z33" s="491"/>
      <c r="AE33" s="475"/>
      <c r="AF33" s="481" t="s">
        <v>887</v>
      </c>
      <c r="AG33" s="476"/>
      <c r="AH33" s="476"/>
      <c r="AI33" s="476"/>
      <c r="AJ33" s="476"/>
      <c r="AK33" s="476">
        <f t="shared" si="2"/>
        <v>221</v>
      </c>
      <c r="AL33" s="478" t="s">
        <v>709</v>
      </c>
      <c r="AM33" s="476"/>
      <c r="AN33" s="476"/>
      <c r="AO33" s="476"/>
      <c r="AP33" s="476"/>
      <c r="AQ33" s="476"/>
      <c r="AR33" s="477"/>
    </row>
    <row r="34" spans="10:44" x14ac:dyDescent="0.2">
      <c r="J34" t="s">
        <v>753</v>
      </c>
      <c r="K34" t="s">
        <v>581</v>
      </c>
      <c r="P34" s="489"/>
      <c r="Q34" s="494" t="s">
        <v>898</v>
      </c>
      <c r="R34" s="490"/>
      <c r="S34" s="490"/>
      <c r="T34" s="490"/>
      <c r="U34" s="490"/>
      <c r="V34" s="490"/>
      <c r="W34" s="490"/>
      <c r="X34" s="490"/>
      <c r="Y34" s="490"/>
      <c r="Z34" s="491"/>
      <c r="AE34" s="475"/>
      <c r="AF34" s="480" t="s">
        <v>892</v>
      </c>
      <c r="AG34" s="476"/>
      <c r="AH34" s="476"/>
      <c r="AI34" s="476"/>
      <c r="AJ34" s="476"/>
      <c r="AK34" s="476">
        <f t="shared" si="2"/>
        <v>222</v>
      </c>
      <c r="AL34" s="478" t="s">
        <v>830</v>
      </c>
      <c r="AM34" s="476"/>
      <c r="AN34" s="476"/>
      <c r="AO34" s="476"/>
      <c r="AP34" s="476"/>
      <c r="AQ34" s="476"/>
      <c r="AR34" s="477"/>
    </row>
    <row r="35" spans="10:44" x14ac:dyDescent="0.2">
      <c r="J35" s="249" t="s">
        <v>886</v>
      </c>
      <c r="K35" t="s">
        <v>709</v>
      </c>
      <c r="P35" s="489"/>
      <c r="Q35" s="494" t="s">
        <v>899</v>
      </c>
      <c r="R35" s="490"/>
      <c r="S35" s="490"/>
      <c r="T35" s="490"/>
      <c r="U35" s="490"/>
      <c r="V35" s="490"/>
      <c r="W35" s="490"/>
      <c r="X35" s="490"/>
      <c r="Y35" s="490"/>
      <c r="Z35" s="491"/>
      <c r="AE35" s="475"/>
      <c r="AF35" s="480" t="s">
        <v>891</v>
      </c>
      <c r="AG35" s="476"/>
      <c r="AH35" s="476"/>
      <c r="AI35" s="476"/>
      <c r="AJ35" s="476"/>
      <c r="AK35" s="476"/>
      <c r="AL35" s="476"/>
      <c r="AM35" s="476"/>
      <c r="AN35" s="476"/>
      <c r="AO35" s="476"/>
      <c r="AP35" s="476"/>
      <c r="AQ35" s="476"/>
      <c r="AR35" s="477"/>
    </row>
    <row r="36" spans="10:44" x14ac:dyDescent="0.2">
      <c r="J36" t="s">
        <v>829</v>
      </c>
      <c r="K36" t="s">
        <v>830</v>
      </c>
      <c r="P36" s="489"/>
      <c r="Q36" s="490"/>
      <c r="R36" s="490"/>
      <c r="S36" s="490"/>
      <c r="T36" s="490"/>
      <c r="U36" s="490"/>
      <c r="V36" s="490"/>
      <c r="W36" s="490"/>
      <c r="X36" s="490"/>
      <c r="Y36" s="490"/>
      <c r="Z36" s="491"/>
      <c r="AE36" s="475"/>
      <c r="AF36" s="480" t="s">
        <v>890</v>
      </c>
      <c r="AG36" s="476"/>
      <c r="AH36" s="476"/>
      <c r="AI36" s="476"/>
      <c r="AJ36" s="476"/>
      <c r="AK36" s="476"/>
      <c r="AL36" s="476"/>
      <c r="AM36" s="476"/>
      <c r="AN36" s="476"/>
      <c r="AO36" s="476"/>
      <c r="AP36" s="476"/>
      <c r="AQ36" s="476"/>
      <c r="AR36" s="477"/>
    </row>
    <row r="37" spans="10:44" x14ac:dyDescent="0.2">
      <c r="P37" s="496"/>
      <c r="Q37" s="497"/>
      <c r="R37" s="497"/>
      <c r="S37" s="497"/>
      <c r="T37" s="497"/>
      <c r="U37" s="497"/>
      <c r="V37" s="497"/>
      <c r="W37" s="497"/>
      <c r="X37" s="497"/>
      <c r="Y37" s="497"/>
      <c r="Z37" s="498"/>
      <c r="AE37" s="475"/>
      <c r="AF37" s="476"/>
      <c r="AG37" s="476"/>
      <c r="AH37" s="476"/>
      <c r="AI37" s="476"/>
      <c r="AJ37" s="476"/>
      <c r="AK37" s="476"/>
      <c r="AL37" s="476"/>
      <c r="AM37" s="476"/>
      <c r="AN37" s="476"/>
      <c r="AO37" s="476"/>
      <c r="AP37" s="476"/>
      <c r="AQ37" s="476"/>
      <c r="AR37" s="477"/>
    </row>
    <row r="38" spans="10:44" x14ac:dyDescent="0.2">
      <c r="K38" s="1" t="s">
        <v>620</v>
      </c>
      <c r="AE38" s="475"/>
      <c r="AF38" s="476"/>
      <c r="AG38" s="476"/>
      <c r="AH38" s="476"/>
      <c r="AI38" s="476"/>
      <c r="AJ38" s="476"/>
      <c r="AK38" s="476"/>
      <c r="AL38" s="476"/>
      <c r="AM38" s="476"/>
      <c r="AN38" s="476"/>
      <c r="AO38" s="476"/>
      <c r="AP38" s="476"/>
      <c r="AQ38" s="476"/>
      <c r="AR38" s="477"/>
    </row>
    <row r="39" spans="10:44" x14ac:dyDescent="0.2">
      <c r="AE39" s="475"/>
      <c r="AF39" s="476"/>
      <c r="AG39" s="476"/>
      <c r="AH39" s="476"/>
      <c r="AI39" s="476"/>
      <c r="AJ39" s="476"/>
      <c r="AK39" s="476"/>
      <c r="AL39" s="476"/>
      <c r="AM39" s="476"/>
      <c r="AN39" s="476"/>
      <c r="AO39" s="476"/>
      <c r="AP39" s="476"/>
      <c r="AQ39" s="476"/>
      <c r="AR39" s="477"/>
    </row>
    <row r="40" spans="10:44" x14ac:dyDescent="0.2">
      <c r="AE40" s="475"/>
      <c r="AF40" s="481" t="s">
        <v>889</v>
      </c>
      <c r="AG40" s="476"/>
      <c r="AH40" s="476"/>
      <c r="AI40" s="476"/>
      <c r="AJ40" s="476"/>
      <c r="AK40" s="476"/>
      <c r="AL40" s="476"/>
      <c r="AM40" s="476"/>
      <c r="AN40" s="476"/>
      <c r="AO40" s="476"/>
      <c r="AP40" s="476"/>
      <c r="AQ40" s="476"/>
      <c r="AR40" s="477"/>
    </row>
    <row r="41" spans="10:44" x14ac:dyDescent="0.2">
      <c r="AE41" s="475"/>
      <c r="AF41" s="479" t="s">
        <v>622</v>
      </c>
      <c r="AG41" s="476"/>
      <c r="AH41" s="476"/>
      <c r="AI41" s="476"/>
      <c r="AJ41" s="476"/>
      <c r="AK41" s="476"/>
      <c r="AL41" s="476"/>
      <c r="AM41" s="476"/>
      <c r="AN41" s="476"/>
      <c r="AO41" s="476"/>
      <c r="AP41" s="476"/>
      <c r="AQ41" s="476"/>
      <c r="AR41" s="477"/>
    </row>
    <row r="42" spans="10:44" x14ac:dyDescent="0.2">
      <c r="AE42" s="475"/>
      <c r="AF42" s="476"/>
      <c r="AG42" s="476"/>
      <c r="AH42" s="476"/>
      <c r="AI42" s="476"/>
      <c r="AJ42" s="476"/>
      <c r="AK42" s="476"/>
      <c r="AL42" s="476"/>
      <c r="AM42" s="476"/>
      <c r="AN42" s="476"/>
      <c r="AO42" s="476"/>
      <c r="AP42" s="476"/>
      <c r="AQ42" s="476"/>
      <c r="AR42" s="477"/>
    </row>
    <row r="43" spans="10:44" ht="12" thickBot="1" x14ac:dyDescent="0.25">
      <c r="AE43" s="482"/>
      <c r="AF43" s="483"/>
      <c r="AG43" s="483"/>
      <c r="AH43" s="483"/>
      <c r="AI43" s="483"/>
      <c r="AJ43" s="483"/>
      <c r="AK43" s="483"/>
      <c r="AL43" s="483"/>
      <c r="AM43" s="483"/>
      <c r="AN43" s="483"/>
      <c r="AO43" s="483"/>
      <c r="AP43" s="483"/>
      <c r="AQ43" s="483"/>
      <c r="AR43" s="484"/>
    </row>
    <row r="44" spans="10:44" ht="12" thickTop="1" x14ac:dyDescent="0.2"/>
  </sheetData>
  <sheetProtection selectLockedCells="1" selectUnlockedCells="1"/>
  <phoneticPr fontId="0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PrintBox">
                <anchor moveWithCells="1" sizeWithCells="1">
                  <from>
                    <xdr:col>7</xdr:col>
                    <xdr:colOff>66675</xdr:colOff>
                    <xdr:row>0</xdr:row>
                    <xdr:rowOff>57150</xdr:rowOff>
                  </from>
                  <to>
                    <xdr:col>8</xdr:col>
                    <xdr:colOff>447675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221</vt:i4>
      </vt:variant>
    </vt:vector>
  </HeadingPairs>
  <TitlesOfParts>
    <vt:vector size="238" baseType="lpstr">
      <vt:lpstr>Data</vt:lpstr>
      <vt:lpstr>Final</vt:lpstr>
      <vt:lpstr>PMPM</vt:lpstr>
      <vt:lpstr>Log</vt:lpstr>
      <vt:lpstr>Backlog</vt:lpstr>
      <vt:lpstr>Incurred Per Day</vt:lpstr>
      <vt:lpstr>Charts</vt:lpstr>
      <vt:lpstr>SmCharts</vt:lpstr>
      <vt:lpstr>SmCharts2</vt:lpstr>
      <vt:lpstr>Seasonality</vt:lpstr>
      <vt:lpstr>Trends</vt:lpstr>
      <vt:lpstr>PAD</vt:lpstr>
      <vt:lpstr>LeastSq</vt:lpstr>
      <vt:lpstr>Transport</vt:lpstr>
      <vt:lpstr>Update</vt:lpstr>
      <vt:lpstr>Credibility Testing</vt:lpstr>
      <vt:lpstr>MacroLists</vt:lpstr>
      <vt:lpstr>_Cum1</vt:lpstr>
      <vt:lpstr>_Cum2</vt:lpstr>
      <vt:lpstr>_Cum3</vt:lpstr>
      <vt:lpstr>_Lag1</vt:lpstr>
      <vt:lpstr>_Lag2</vt:lpstr>
      <vt:lpstr>_Lag3</vt:lpstr>
      <vt:lpstr>_PAD1</vt:lpstr>
      <vt:lpstr>_PAD2</vt:lpstr>
      <vt:lpstr>BacklogReserve</vt:lpstr>
      <vt:lpstr>CFOverride</vt:lpstr>
      <vt:lpstr>ChartMax</vt:lpstr>
      <vt:lpstr>ChartMin</vt:lpstr>
      <vt:lpstr>ChartsBWSmall</vt:lpstr>
      <vt:lpstr>ChartsBWSmallPDF</vt:lpstr>
      <vt:lpstr>ChBWCompFx</vt:lpstr>
      <vt:lpstr>ChBWMember</vt:lpstr>
      <vt:lpstr>ChBWMemberPerDiem</vt:lpstr>
      <vt:lpstr>ChBWPaid</vt:lpstr>
      <vt:lpstr>ChBWPMPM</vt:lpstr>
      <vt:lpstr>ChBWStd</vt:lpstr>
      <vt:lpstr>ChBWStdPD</vt:lpstr>
      <vt:lpstr>ChColCompFx</vt:lpstr>
      <vt:lpstr>ChColMember</vt:lpstr>
      <vt:lpstr>ChColMemberPerDiem</vt:lpstr>
      <vt:lpstr>ChColorCompFx</vt:lpstr>
      <vt:lpstr>ChColorMember</vt:lpstr>
      <vt:lpstr>ChColorMemberPerDiem</vt:lpstr>
      <vt:lpstr>ChColorPaid</vt:lpstr>
      <vt:lpstr>ChColorPMPM</vt:lpstr>
      <vt:lpstr>ChColorStd</vt:lpstr>
      <vt:lpstr>ChColorStdPD</vt:lpstr>
      <vt:lpstr>ChColPaid</vt:lpstr>
      <vt:lpstr>ChColPMPM</vt:lpstr>
      <vt:lpstr>Claims1</vt:lpstr>
      <vt:lpstr>Claims1AdjSL</vt:lpstr>
      <vt:lpstr>Claims1SL</vt:lpstr>
      <vt:lpstr>Claims2</vt:lpstr>
      <vt:lpstr>Claims2AdjSL</vt:lpstr>
      <vt:lpstr>Claims2SL</vt:lpstr>
      <vt:lpstr>Claims3</vt:lpstr>
      <vt:lpstr>Claims3AdjSL</vt:lpstr>
      <vt:lpstr>Claims3SL</vt:lpstr>
      <vt:lpstr>ClosedMos</vt:lpstr>
      <vt:lpstr>CompFxSum1</vt:lpstr>
      <vt:lpstr>CompFxSum2</vt:lpstr>
      <vt:lpstr>CompletionGrid</vt:lpstr>
      <vt:lpstr>CompletionGrid2</vt:lpstr>
      <vt:lpstr>CompletionMax</vt:lpstr>
      <vt:lpstr>CompletionMax2</vt:lpstr>
      <vt:lpstr>CompletionMin</vt:lpstr>
      <vt:lpstr>CompletionMin2</vt:lpstr>
      <vt:lpstr>Cumm1</vt:lpstr>
      <vt:lpstr>Cumm2</vt:lpstr>
      <vt:lpstr>Cumm3</vt:lpstr>
      <vt:lpstr>FinalComp</vt:lpstr>
      <vt:lpstr>FinalRes</vt:lpstr>
      <vt:lpstr>FinalReserveTemp</vt:lpstr>
      <vt:lpstr>FinalRestate</vt:lpstr>
      <vt:lpstr>FinalRestatements</vt:lpstr>
      <vt:lpstr>FirstResA</vt:lpstr>
      <vt:lpstr>FirstResB</vt:lpstr>
      <vt:lpstr>FSAT</vt:lpstr>
      <vt:lpstr>GChartAveAge</vt:lpstr>
      <vt:lpstr>GChartBottom</vt:lpstr>
      <vt:lpstr>GChartCompFx</vt:lpstr>
      <vt:lpstr>GChartIBNR</vt:lpstr>
      <vt:lpstr>GChartMember</vt:lpstr>
      <vt:lpstr>GChartPaid</vt:lpstr>
      <vt:lpstr>GChartPerDiem</vt:lpstr>
      <vt:lpstr>GChartPMPM</vt:lpstr>
      <vt:lpstr>GChartQtrCompFx</vt:lpstr>
      <vt:lpstr>GClaimData</vt:lpstr>
      <vt:lpstr>GCompare</vt:lpstr>
      <vt:lpstr>GFeeSched</vt:lpstr>
      <vt:lpstr>GFinalRes</vt:lpstr>
      <vt:lpstr>GLog</vt:lpstr>
      <vt:lpstr>GMember</vt:lpstr>
      <vt:lpstr>GMMYY</vt:lpstr>
      <vt:lpstr>GPMPMInit</vt:lpstr>
      <vt:lpstr>GRestate</vt:lpstr>
      <vt:lpstr>GSeason</vt:lpstr>
      <vt:lpstr>Hindsight</vt:lpstr>
      <vt:lpstr>HSRes</vt:lpstr>
      <vt:lpstr>HSRestate</vt:lpstr>
      <vt:lpstr>InitEstLog</vt:lpstr>
      <vt:lpstr>InitEstPMPM</vt:lpstr>
      <vt:lpstr>InitMethod</vt:lpstr>
      <vt:lpstr>lag12rs</vt:lpstr>
      <vt:lpstr>lag12rus</vt:lpstr>
      <vt:lpstr>lag12s</vt:lpstr>
      <vt:lpstr>lag12us</vt:lpstr>
      <vt:lpstr>lag3s</vt:lpstr>
      <vt:lpstr>lag3us</vt:lpstr>
      <vt:lpstr>lag6rs</vt:lpstr>
      <vt:lpstr>lag6rus</vt:lpstr>
      <vt:lpstr>lag6s</vt:lpstr>
      <vt:lpstr>lag6us</vt:lpstr>
      <vt:lpstr>lagalls</vt:lpstr>
      <vt:lpstr>lagallus</vt:lpstr>
      <vt:lpstr>Lagg1</vt:lpstr>
      <vt:lpstr>Lagg2</vt:lpstr>
      <vt:lpstr>Lagg3</vt:lpstr>
      <vt:lpstr>lagQ1s</vt:lpstr>
      <vt:lpstr>lagQ1us</vt:lpstr>
      <vt:lpstr>lagQ2s</vt:lpstr>
      <vt:lpstr>lagQ2us</vt:lpstr>
      <vt:lpstr>lagQ3s</vt:lpstr>
      <vt:lpstr>lagQ3us</vt:lpstr>
      <vt:lpstr>LagSum1</vt:lpstr>
      <vt:lpstr>LagSum2</vt:lpstr>
      <vt:lpstr>Members</vt:lpstr>
      <vt:lpstr>Name</vt:lpstr>
      <vt:lpstr>Numbmos</vt:lpstr>
      <vt:lpstr>PADD1</vt:lpstr>
      <vt:lpstr>PADD2</vt:lpstr>
      <vt:lpstr>Backlog!Print_Area</vt:lpstr>
      <vt:lpstr>Charts!Print_Area</vt:lpstr>
      <vt:lpstr>Data!Print_Area</vt:lpstr>
      <vt:lpstr>Final!Print_Area</vt:lpstr>
      <vt:lpstr>Log!Print_Area</vt:lpstr>
      <vt:lpstr>PAD!Print_Area</vt:lpstr>
      <vt:lpstr>PMPM!Print_Area</vt:lpstr>
      <vt:lpstr>Seasonality!Print_Area</vt:lpstr>
      <vt:lpstr>SmCharts!Print_Area</vt:lpstr>
      <vt:lpstr>SmCharts2!Print_Area</vt:lpstr>
      <vt:lpstr>Transport!Print_Area</vt:lpstr>
      <vt:lpstr>Trends!Print_Area</vt:lpstr>
      <vt:lpstr>PAD!Print_Titles</vt:lpstr>
      <vt:lpstr>Seasonality!Print_Titles</vt:lpstr>
      <vt:lpstr>Trends!Print_Titles</vt:lpstr>
      <vt:lpstr>PrintList1</vt:lpstr>
      <vt:lpstr>PrintList100</vt:lpstr>
      <vt:lpstr>PrintList2</vt:lpstr>
      <vt:lpstr>PrintList3</vt:lpstr>
      <vt:lpstr>PrintList4</vt:lpstr>
      <vt:lpstr>Prior1</vt:lpstr>
      <vt:lpstr>Prior10</vt:lpstr>
      <vt:lpstr>Prior11</vt:lpstr>
      <vt:lpstr>Prior2</vt:lpstr>
      <vt:lpstr>Prior3</vt:lpstr>
      <vt:lpstr>Prior4</vt:lpstr>
      <vt:lpstr>Prior5</vt:lpstr>
      <vt:lpstr>Prior6</vt:lpstr>
      <vt:lpstr>Prior7</vt:lpstr>
      <vt:lpstr>Prior8</vt:lpstr>
      <vt:lpstr>Prior9</vt:lpstr>
      <vt:lpstr>PriorA1</vt:lpstr>
      <vt:lpstr>PriorA10</vt:lpstr>
      <vt:lpstr>PriorA11</vt:lpstr>
      <vt:lpstr>PriorA2</vt:lpstr>
      <vt:lpstr>PriorA3</vt:lpstr>
      <vt:lpstr>PriorA4</vt:lpstr>
      <vt:lpstr>PriorA5</vt:lpstr>
      <vt:lpstr>PriorA6</vt:lpstr>
      <vt:lpstr>PriorA7</vt:lpstr>
      <vt:lpstr>PriorA8</vt:lpstr>
      <vt:lpstr>PriorA9</vt:lpstr>
      <vt:lpstr>Reserve</vt:lpstr>
      <vt:lpstr>ReserveBegin</vt:lpstr>
      <vt:lpstr>ResetAccum</vt:lpstr>
      <vt:lpstr>ResetClaims</vt:lpstr>
      <vt:lpstr>ResetDaysAdj</vt:lpstr>
      <vt:lpstr>ResetFeeSched</vt:lpstr>
      <vt:lpstr>ResetFormalEst</vt:lpstr>
      <vt:lpstr>ResetMembers</vt:lpstr>
      <vt:lpstr>ResetMethod</vt:lpstr>
      <vt:lpstr>ResetNameDate</vt:lpstr>
      <vt:lpstr>ResetPerDiems</vt:lpstr>
      <vt:lpstr>ResetSeason</vt:lpstr>
      <vt:lpstr>ResetTail</vt:lpstr>
      <vt:lpstr>ResetTrend</vt:lpstr>
      <vt:lpstr>ResMonth</vt:lpstr>
      <vt:lpstr>ResYear</vt:lpstr>
      <vt:lpstr>RSClaims</vt:lpstr>
      <vt:lpstr>RSClaimsSL</vt:lpstr>
      <vt:lpstr>RSDaysAdj</vt:lpstr>
      <vt:lpstr>RSFeeSched</vt:lpstr>
      <vt:lpstr>RSFormalEst</vt:lpstr>
      <vt:lpstr>RSMembers</vt:lpstr>
      <vt:lpstr>RSMethod</vt:lpstr>
      <vt:lpstr>RSNameDate</vt:lpstr>
      <vt:lpstr>RSPerDiems</vt:lpstr>
      <vt:lpstr>RSSeason</vt:lpstr>
      <vt:lpstr>RSTail</vt:lpstr>
      <vt:lpstr>RSTrend</vt:lpstr>
      <vt:lpstr>SeasonalityExhibit</vt:lpstr>
      <vt:lpstr>SeasonBase1</vt:lpstr>
      <vt:lpstr>SeasonBase2</vt:lpstr>
      <vt:lpstr>SeasonClientNew</vt:lpstr>
      <vt:lpstr>SeasonClientSpecific</vt:lpstr>
      <vt:lpstr>SeasonFx</vt:lpstr>
      <vt:lpstr>SeasonMax</vt:lpstr>
      <vt:lpstr>SeasonMin</vt:lpstr>
      <vt:lpstr>SeasonSpot</vt:lpstr>
      <vt:lpstr>SmallCharts</vt:lpstr>
      <vt:lpstr>SmCharts2BW</vt:lpstr>
      <vt:lpstr>SmCharts2BW2</vt:lpstr>
      <vt:lpstr>SmCharts2Color</vt:lpstr>
      <vt:lpstr>SmChartsBW</vt:lpstr>
      <vt:lpstr>SmChartsBW2</vt:lpstr>
      <vt:lpstr>SmChartsColor</vt:lpstr>
      <vt:lpstr>SmChartsColor2</vt:lpstr>
      <vt:lpstr>TempData1</vt:lpstr>
      <vt:lpstr>TempData2</vt:lpstr>
      <vt:lpstr>TestForDataErrorRange</vt:lpstr>
      <vt:lpstr>TestForDataErrorSpot</vt:lpstr>
      <vt:lpstr>TestForDataErrorSpot2</vt:lpstr>
      <vt:lpstr>TransferResults</vt:lpstr>
      <vt:lpstr>TransportAccum</vt:lpstr>
      <vt:lpstr>TransportOldest</vt:lpstr>
      <vt:lpstr>TrendExhibit</vt:lpstr>
      <vt:lpstr>TrendMin</vt:lpstr>
      <vt:lpstr>UpdateData1</vt:lpstr>
      <vt:lpstr>UpdateData2</vt:lpstr>
      <vt:lpstr>UpdateDataSL1</vt:lpstr>
      <vt:lpstr>UpdateDataSL2</vt:lpstr>
      <vt:lpstr>UpdateFinishSpot</vt:lpstr>
      <vt:lpstr>UpdateMembers0</vt:lpstr>
      <vt:lpstr>UpdateMembers1</vt:lpstr>
      <vt:lpstr>UpdateMembers2</vt:lpstr>
      <vt:lpstr>UpdateMembers3</vt:lpstr>
    </vt:vector>
  </TitlesOfParts>
  <Company>Ernst &amp; Young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F. Larimer</dc:creator>
  <cp:lastModifiedBy>Brian Forman</cp:lastModifiedBy>
  <cp:lastPrinted>2019-03-03T22:44:22Z</cp:lastPrinted>
  <dcterms:created xsi:type="dcterms:W3CDTF">1999-11-01T14:57:06Z</dcterms:created>
  <dcterms:modified xsi:type="dcterms:W3CDTF">2024-04-22T15:53:00Z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{68C155CC-6371-4308-8A4F-0C3515AB1FC5}</vt:lpwstr>
  </property>
</Properties>
</file>